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filterPrivacy="1" defaultThemeVersion="166925"/>
  <bookViews>
    <workbookView xWindow="930" yWindow="0" windowWidth="21570" windowHeight="7425"/>
  </bookViews>
  <sheets>
    <sheet name="2018 Initial Personal Care Rate" sheetId="1" r:id="rId1"/>
  </sheets>
  <calcPr calcId="171027"/>
</workbook>
</file>

<file path=xl/calcChain.xml><?xml version="1.0" encoding="utf-8"?>
<calcChain xmlns="http://schemas.openxmlformats.org/spreadsheetml/2006/main">
  <c r="A132" i="1" l="1"/>
  <c r="C132" i="1"/>
  <c r="D132" i="1"/>
  <c r="A284" i="1"/>
  <c r="C284" i="1"/>
  <c r="D284" i="1"/>
  <c r="A131" i="1"/>
  <c r="C131" i="1"/>
  <c r="D131" i="1"/>
  <c r="A283" i="1"/>
  <c r="C283" i="1"/>
  <c r="D283" i="1"/>
  <c r="A339" i="1"/>
  <c r="C339" i="1"/>
  <c r="D339" i="1"/>
  <c r="A139" i="1"/>
  <c r="C139" i="1"/>
  <c r="D139" i="1"/>
  <c r="A150" i="1"/>
  <c r="C150" i="1"/>
  <c r="D150" i="1"/>
  <c r="A17" i="1"/>
  <c r="C17" i="1"/>
  <c r="D17" i="1"/>
  <c r="A50" i="1"/>
  <c r="C50" i="1"/>
  <c r="D50" i="1"/>
  <c r="A58" i="1"/>
  <c r="C58" i="1"/>
  <c r="D58" i="1"/>
  <c r="A69" i="1"/>
  <c r="C69" i="1"/>
  <c r="D69" i="1"/>
  <c r="A92" i="1"/>
  <c r="C92" i="1"/>
  <c r="D92" i="1"/>
  <c r="A95" i="1"/>
  <c r="C95" i="1"/>
  <c r="D95" i="1"/>
  <c r="A113" i="1"/>
  <c r="C113" i="1"/>
  <c r="D113" i="1"/>
  <c r="A125" i="1"/>
  <c r="C125" i="1"/>
  <c r="D125" i="1"/>
  <c r="A153" i="1"/>
  <c r="C153" i="1"/>
  <c r="D153" i="1"/>
  <c r="A185" i="1"/>
  <c r="C185" i="1"/>
  <c r="D185" i="1"/>
  <c r="A197" i="1"/>
  <c r="C197" i="1"/>
  <c r="D197" i="1"/>
  <c r="A212" i="1"/>
  <c r="C212" i="1"/>
  <c r="D212" i="1"/>
  <c r="A237" i="1"/>
  <c r="C237" i="1"/>
  <c r="D237" i="1"/>
  <c r="A282" i="1"/>
  <c r="C282" i="1"/>
  <c r="D282" i="1"/>
  <c r="A302" i="1"/>
  <c r="C302" i="1"/>
  <c r="D302" i="1"/>
  <c r="A323" i="1"/>
  <c r="C323" i="1"/>
  <c r="D323" i="1"/>
  <c r="A366" i="1"/>
  <c r="C366" i="1"/>
  <c r="D366" i="1"/>
  <c r="A248" i="1"/>
  <c r="C248" i="1"/>
  <c r="D248" i="1"/>
  <c r="A327" i="1"/>
  <c r="C327" i="1"/>
  <c r="D327" i="1"/>
  <c r="A333" i="1"/>
  <c r="C333" i="1"/>
  <c r="D333" i="1"/>
  <c r="A148" i="1"/>
  <c r="C148" i="1"/>
  <c r="D148" i="1"/>
  <c r="A297" i="1"/>
  <c r="C297" i="1"/>
  <c r="D297" i="1"/>
  <c r="A300" i="1"/>
  <c r="C300" i="1"/>
  <c r="D300" i="1"/>
  <c r="A120" i="1"/>
  <c r="C120" i="1"/>
  <c r="D120" i="1"/>
  <c r="A352" i="1"/>
  <c r="C352" i="1"/>
  <c r="D352" i="1"/>
  <c r="A351" i="1"/>
  <c r="C351" i="1"/>
  <c r="D351" i="1"/>
  <c r="A355" i="1"/>
  <c r="C355" i="1"/>
  <c r="D355" i="1"/>
  <c r="A362" i="1"/>
  <c r="C362" i="1"/>
  <c r="D362" i="1"/>
  <c r="A338" i="1"/>
  <c r="C338" i="1"/>
  <c r="D338" i="1"/>
  <c r="A258" i="1"/>
  <c r="C258" i="1"/>
  <c r="D258" i="1"/>
  <c r="A175" i="1"/>
  <c r="C175" i="1"/>
  <c r="D175" i="1"/>
  <c r="A114" i="1"/>
  <c r="C114" i="1"/>
  <c r="D114" i="1"/>
  <c r="A174" i="1"/>
  <c r="C174" i="1"/>
  <c r="D174" i="1"/>
  <c r="A200" i="1"/>
  <c r="C200" i="1"/>
  <c r="D200" i="1"/>
  <c r="A21" i="1"/>
  <c r="C21" i="1"/>
  <c r="D21" i="1"/>
  <c r="A24" i="1"/>
  <c r="C24" i="1"/>
  <c r="D24" i="1"/>
  <c r="A309" i="1"/>
  <c r="C309" i="1"/>
  <c r="D309" i="1"/>
  <c r="A155" i="1"/>
  <c r="C155" i="1"/>
  <c r="D155" i="1"/>
  <c r="A367" i="1"/>
  <c r="C367" i="1"/>
  <c r="D367" i="1"/>
  <c r="A135" i="1"/>
  <c r="C135" i="1"/>
  <c r="D135" i="1"/>
  <c r="A289" i="1"/>
  <c r="C289" i="1"/>
  <c r="D289" i="1"/>
  <c r="A345" i="1"/>
  <c r="C345" i="1"/>
  <c r="D345" i="1"/>
  <c r="A35" i="1"/>
  <c r="C35" i="1"/>
  <c r="D35" i="1"/>
  <c r="A40" i="1"/>
  <c r="C40" i="1"/>
  <c r="D40" i="1"/>
  <c r="A76" i="1"/>
  <c r="C76" i="1"/>
  <c r="D76" i="1"/>
  <c r="A82" i="1"/>
  <c r="C82" i="1"/>
  <c r="D82" i="1"/>
  <c r="A102" i="1"/>
  <c r="C102" i="1"/>
  <c r="D102" i="1"/>
  <c r="A273" i="1"/>
  <c r="C273" i="1"/>
  <c r="D273" i="1"/>
  <c r="A312" i="1"/>
  <c r="C312" i="1"/>
  <c r="D312" i="1"/>
  <c r="A32" i="1"/>
  <c r="C32" i="1"/>
  <c r="D32" i="1"/>
  <c r="A34" i="1"/>
  <c r="C34" i="1"/>
  <c r="D34" i="1"/>
  <c r="A140" i="1"/>
  <c r="C140" i="1"/>
  <c r="D140" i="1"/>
  <c r="A291" i="1"/>
  <c r="C291" i="1"/>
  <c r="D291" i="1"/>
  <c r="A8" i="1"/>
  <c r="C8" i="1"/>
  <c r="D8" i="1"/>
  <c r="A71" i="1"/>
  <c r="C71" i="1"/>
  <c r="D71" i="1"/>
  <c r="A116" i="1"/>
  <c r="C116" i="1"/>
  <c r="D116" i="1"/>
  <c r="A133" i="1"/>
  <c r="C133" i="1"/>
  <c r="D133" i="1"/>
  <c r="A157" i="1"/>
  <c r="C157" i="1"/>
  <c r="D157" i="1"/>
  <c r="A171" i="1"/>
  <c r="C171" i="1"/>
  <c r="D171" i="1"/>
  <c r="A217" i="1"/>
  <c r="C217" i="1"/>
  <c r="D217" i="1"/>
  <c r="A242" i="1"/>
  <c r="C242" i="1"/>
  <c r="D242" i="1"/>
  <c r="A252" i="1"/>
  <c r="C252" i="1"/>
  <c r="D252" i="1"/>
  <c r="A286" i="1"/>
  <c r="C286" i="1"/>
  <c r="D286" i="1"/>
  <c r="A342" i="1"/>
  <c r="C342" i="1"/>
  <c r="D342" i="1"/>
  <c r="A134" i="1"/>
  <c r="C134" i="1"/>
  <c r="D134" i="1"/>
  <c r="A287" i="1"/>
  <c r="C287" i="1"/>
  <c r="D287" i="1"/>
  <c r="A77" i="1"/>
  <c r="C77" i="1"/>
  <c r="D77" i="1"/>
  <c r="A161" i="1"/>
  <c r="C161" i="1"/>
  <c r="D161" i="1"/>
  <c r="A46" i="1"/>
  <c r="C46" i="1"/>
  <c r="D46" i="1"/>
  <c r="A81" i="1"/>
  <c r="C81" i="1"/>
  <c r="D81" i="1"/>
  <c r="A83" i="1"/>
  <c r="C83" i="1"/>
  <c r="D83" i="1"/>
  <c r="A274" i="1"/>
  <c r="C274" i="1"/>
  <c r="D274" i="1"/>
  <c r="A328" i="1"/>
  <c r="C328" i="1"/>
  <c r="D328" i="1"/>
  <c r="A20" i="1"/>
  <c r="C20" i="1"/>
  <c r="D20" i="1"/>
  <c r="A28" i="1"/>
  <c r="C28" i="1"/>
  <c r="D28" i="1"/>
  <c r="A90" i="1"/>
  <c r="C90" i="1"/>
  <c r="D90" i="1"/>
  <c r="A372" i="1"/>
  <c r="C372" i="1"/>
  <c r="D372" i="1"/>
  <c r="A39" i="1"/>
  <c r="C39" i="1"/>
  <c r="D39" i="1"/>
  <c r="A226" i="1"/>
  <c r="C226" i="1"/>
  <c r="D226" i="1"/>
  <c r="A238" i="1"/>
  <c r="C238" i="1"/>
  <c r="D238" i="1"/>
  <c r="A10" i="1"/>
  <c r="C10" i="1"/>
  <c r="D10" i="1"/>
  <c r="A219" i="1"/>
  <c r="C219" i="1"/>
  <c r="D219" i="1"/>
  <c r="A244" i="1"/>
  <c r="C244" i="1"/>
  <c r="D244" i="1"/>
  <c r="A254" i="1"/>
  <c r="C254" i="1"/>
  <c r="D254" i="1"/>
  <c r="A322" i="1"/>
  <c r="C322" i="1"/>
  <c r="D322" i="1"/>
  <c r="A280" i="1"/>
  <c r="C280" i="1"/>
  <c r="D280" i="1"/>
  <c r="A165" i="1"/>
  <c r="C165" i="1"/>
  <c r="D165" i="1"/>
  <c r="A64" i="1"/>
  <c r="C64" i="1"/>
  <c r="D64" i="1"/>
  <c r="A318" i="1"/>
  <c r="C318" i="1"/>
  <c r="D318" i="1"/>
  <c r="A272" i="1"/>
  <c r="C272" i="1"/>
  <c r="D272" i="1"/>
  <c r="A72" i="1"/>
  <c r="C72" i="1"/>
  <c r="D72" i="1"/>
  <c r="A43" i="1"/>
  <c r="C43" i="1"/>
  <c r="D43" i="1"/>
  <c r="A56" i="1"/>
  <c r="C56" i="1"/>
  <c r="D56" i="1"/>
  <c r="A87" i="1"/>
  <c r="C87" i="1"/>
  <c r="D87" i="1"/>
  <c r="A100" i="1"/>
  <c r="C100" i="1"/>
  <c r="D100" i="1"/>
  <c r="A103" i="1"/>
  <c r="C103" i="1"/>
  <c r="D103" i="1"/>
  <c r="A109" i="1"/>
  <c r="C109" i="1"/>
  <c r="D109" i="1"/>
  <c r="A115" i="1"/>
  <c r="C115" i="1"/>
  <c r="D115" i="1"/>
  <c r="A127" i="1"/>
  <c r="C127" i="1"/>
  <c r="D127" i="1"/>
  <c r="A168" i="1"/>
  <c r="C168" i="1"/>
  <c r="D168" i="1"/>
  <c r="A205" i="1"/>
  <c r="C205" i="1"/>
  <c r="D205" i="1"/>
  <c r="A263" i="1"/>
  <c r="C263" i="1"/>
  <c r="D263" i="1"/>
  <c r="A364" i="1"/>
  <c r="C364" i="1"/>
  <c r="D364" i="1"/>
  <c r="A9" i="1"/>
  <c r="C9" i="1"/>
  <c r="D9" i="1"/>
  <c r="A47" i="1"/>
  <c r="C47" i="1"/>
  <c r="D47" i="1"/>
  <c r="A62" i="1"/>
  <c r="C62" i="1"/>
  <c r="D62" i="1"/>
  <c r="A93" i="1"/>
  <c r="C93" i="1"/>
  <c r="D93" i="1"/>
  <c r="A188" i="1"/>
  <c r="C188" i="1"/>
  <c r="D188" i="1"/>
  <c r="A210" i="1"/>
  <c r="C210" i="1"/>
  <c r="D210" i="1"/>
  <c r="A218" i="1"/>
  <c r="C218" i="1"/>
  <c r="D218" i="1"/>
  <c r="A227" i="1"/>
  <c r="C227" i="1"/>
  <c r="D227" i="1"/>
  <c r="A243" i="1"/>
  <c r="C243" i="1"/>
  <c r="D243" i="1"/>
  <c r="A253" i="1"/>
  <c r="C253" i="1"/>
  <c r="D253" i="1"/>
  <c r="A305" i="1"/>
  <c r="C305" i="1"/>
  <c r="D305" i="1"/>
  <c r="A316" i="1"/>
  <c r="C316" i="1"/>
  <c r="D316" i="1"/>
  <c r="A343" i="1"/>
  <c r="C343" i="1"/>
  <c r="D343" i="1"/>
  <c r="A23" i="1"/>
  <c r="C23" i="1"/>
  <c r="D23" i="1"/>
  <c r="A61" i="1"/>
  <c r="C61" i="1"/>
  <c r="D61" i="1"/>
  <c r="A209" i="1"/>
  <c r="C209" i="1"/>
  <c r="D209" i="1"/>
  <c r="A340" i="1"/>
  <c r="C340" i="1"/>
  <c r="D340" i="1"/>
  <c r="A73" i="1"/>
  <c r="C73" i="1"/>
  <c r="D73" i="1"/>
  <c r="A78" i="1"/>
  <c r="C78" i="1"/>
  <c r="D78" i="1"/>
  <c r="A162" i="1"/>
  <c r="C162" i="1"/>
  <c r="D162" i="1"/>
  <c r="A26" i="1"/>
  <c r="C26" i="1"/>
  <c r="D26" i="1"/>
  <c r="A31" i="1"/>
  <c r="C31" i="1"/>
  <c r="D31" i="1"/>
  <c r="A41" i="1"/>
  <c r="C41" i="1"/>
  <c r="D41" i="1"/>
  <c r="A44" i="1"/>
  <c r="C44" i="1"/>
  <c r="D44" i="1"/>
  <c r="A53" i="1"/>
  <c r="C53" i="1"/>
  <c r="D53" i="1"/>
  <c r="A104" i="1"/>
  <c r="C104" i="1"/>
  <c r="D104" i="1"/>
  <c r="A169" i="1"/>
  <c r="C169" i="1"/>
  <c r="D169" i="1"/>
  <c r="A178" i="1"/>
  <c r="C178" i="1"/>
  <c r="D178" i="1"/>
  <c r="A201" i="1"/>
  <c r="C201" i="1"/>
  <c r="D201" i="1"/>
  <c r="A268" i="1"/>
  <c r="C268" i="1"/>
  <c r="D268" i="1"/>
  <c r="A270" i="1"/>
  <c r="C270" i="1"/>
  <c r="D270" i="1"/>
  <c r="A281" i="1"/>
  <c r="C281" i="1"/>
  <c r="D281" i="1"/>
  <c r="A311" i="1"/>
  <c r="C311" i="1"/>
  <c r="D311" i="1"/>
  <c r="A313" i="1"/>
  <c r="C313" i="1"/>
  <c r="D313" i="1"/>
  <c r="A189" i="1"/>
  <c r="C189" i="1"/>
  <c r="D189" i="1"/>
  <c r="A229" i="1"/>
  <c r="C229" i="1"/>
  <c r="D229" i="1"/>
  <c r="A347" i="1"/>
  <c r="C347" i="1"/>
  <c r="D347" i="1"/>
  <c r="A57" i="1"/>
  <c r="C57" i="1"/>
  <c r="D57" i="1"/>
  <c r="A105" i="1"/>
  <c r="C105" i="1"/>
  <c r="D105" i="1"/>
  <c r="A110" i="1"/>
  <c r="C110" i="1"/>
  <c r="D110" i="1"/>
  <c r="A170" i="1"/>
  <c r="C170" i="1"/>
  <c r="D170" i="1"/>
  <c r="A206" i="1"/>
  <c r="C206" i="1"/>
  <c r="D206" i="1"/>
  <c r="A7" i="1"/>
  <c r="C7" i="1"/>
  <c r="D7" i="1"/>
  <c r="A216" i="1"/>
  <c r="C216" i="1"/>
  <c r="D216" i="1"/>
  <c r="A241" i="1"/>
  <c r="C241" i="1"/>
  <c r="D241" i="1"/>
  <c r="A145" i="1"/>
  <c r="C145" i="1"/>
  <c r="D145" i="1"/>
  <c r="A195" i="1"/>
  <c r="C195" i="1"/>
  <c r="D195" i="1"/>
  <c r="A234" i="1"/>
  <c r="C234" i="1"/>
  <c r="D234" i="1"/>
  <c r="A360" i="1"/>
  <c r="C360" i="1"/>
  <c r="D360" i="1"/>
  <c r="A152" i="1"/>
  <c r="C152" i="1"/>
  <c r="D152" i="1"/>
  <c r="A301" i="1"/>
  <c r="C301" i="1"/>
  <c r="D301" i="1"/>
  <c r="A365" i="1"/>
  <c r="C365" i="1"/>
  <c r="D365" i="1"/>
  <c r="A147" i="1"/>
  <c r="C147" i="1"/>
  <c r="D147" i="1"/>
  <c r="A296" i="1"/>
  <c r="C296" i="1"/>
  <c r="D296" i="1"/>
  <c r="A361" i="1"/>
  <c r="C361" i="1"/>
  <c r="D361" i="1"/>
  <c r="A6" i="1"/>
  <c r="C6" i="1"/>
  <c r="D6" i="1"/>
  <c r="A215" i="1"/>
  <c r="C215" i="1"/>
  <c r="D215" i="1"/>
  <c r="A154" i="1"/>
  <c r="C154" i="1"/>
  <c r="D154" i="1"/>
  <c r="A303" i="1"/>
  <c r="C303" i="1"/>
  <c r="D303" i="1"/>
  <c r="A63" i="1"/>
  <c r="C63" i="1"/>
  <c r="D63" i="1"/>
  <c r="A317" i="1"/>
  <c r="C317" i="1"/>
  <c r="D317" i="1"/>
  <c r="A33" i="1"/>
  <c r="C33" i="1"/>
  <c r="D33" i="1"/>
  <c r="A70" i="1"/>
  <c r="C70" i="1"/>
  <c r="D70" i="1"/>
  <c r="A156" i="1"/>
  <c r="C156" i="1"/>
  <c r="D156" i="1"/>
  <c r="A101" i="1"/>
  <c r="C101" i="1"/>
  <c r="D101" i="1"/>
  <c r="A128" i="1"/>
  <c r="C128" i="1"/>
  <c r="D128" i="1"/>
  <c r="A136" i="1"/>
  <c r="C136" i="1"/>
  <c r="D136" i="1"/>
  <c r="A68" i="1"/>
  <c r="C68" i="1"/>
  <c r="D68" i="1"/>
  <c r="A60" i="1"/>
  <c r="C60" i="1"/>
  <c r="D60" i="1"/>
  <c r="A186" i="1"/>
  <c r="C186" i="1"/>
  <c r="D186" i="1"/>
  <c r="A208" i="1"/>
  <c r="C208" i="1"/>
  <c r="D208" i="1"/>
  <c r="A225" i="1"/>
  <c r="C225" i="1"/>
  <c r="D225" i="1"/>
  <c r="A314" i="1"/>
  <c r="C314" i="1"/>
  <c r="D314" i="1"/>
  <c r="A173" i="1"/>
  <c r="C173" i="1"/>
  <c r="D173" i="1"/>
  <c r="A67" i="1"/>
  <c r="C67" i="1"/>
  <c r="D67" i="1"/>
  <c r="A299" i="1"/>
  <c r="C299" i="1"/>
  <c r="D299" i="1"/>
  <c r="A5" i="1"/>
  <c r="C5" i="1"/>
  <c r="D5" i="1"/>
  <c r="A214" i="1"/>
  <c r="C214" i="1"/>
  <c r="D214" i="1"/>
  <c r="A240" i="1"/>
  <c r="C240" i="1"/>
  <c r="D240" i="1"/>
  <c r="A251" i="1"/>
  <c r="C251" i="1"/>
  <c r="D251" i="1"/>
  <c r="A144" i="1"/>
  <c r="C144" i="1"/>
  <c r="D144" i="1"/>
  <c r="A142" i="1"/>
  <c r="C142" i="1"/>
  <c r="D142" i="1"/>
  <c r="A370" i="1"/>
  <c r="C370" i="1"/>
  <c r="D370" i="1"/>
  <c r="A213" i="1"/>
  <c r="C213" i="1"/>
  <c r="D213" i="1"/>
  <c r="A368" i="1"/>
  <c r="C368" i="1"/>
  <c r="D368" i="1"/>
  <c r="A112" i="1"/>
  <c r="C112" i="1"/>
  <c r="D112" i="1"/>
  <c r="A118" i="1"/>
  <c r="C118" i="1"/>
  <c r="D118" i="1"/>
  <c r="A181" i="1"/>
  <c r="C181" i="1"/>
  <c r="D181" i="1"/>
  <c r="A269" i="1"/>
  <c r="C269" i="1"/>
  <c r="D269" i="1"/>
  <c r="A336" i="1"/>
  <c r="C336" i="1"/>
  <c r="D336" i="1"/>
  <c r="A375" i="1"/>
  <c r="C375" i="1"/>
  <c r="D375" i="1"/>
  <c r="A138" i="1"/>
  <c r="C138" i="1"/>
  <c r="D138" i="1"/>
  <c r="A146" i="1"/>
  <c r="C146" i="1"/>
  <c r="D146" i="1"/>
  <c r="A295" i="1"/>
  <c r="C295" i="1"/>
  <c r="D295" i="1"/>
  <c r="A141" i="1"/>
  <c r="C141" i="1"/>
  <c r="D141" i="1"/>
  <c r="A293" i="1"/>
  <c r="C293" i="1"/>
  <c r="D293" i="1"/>
  <c r="A259" i="1"/>
  <c r="C259" i="1"/>
  <c r="D259" i="1"/>
  <c r="A151" i="1"/>
  <c r="C151" i="1"/>
  <c r="D151" i="1"/>
  <c r="A222" i="1"/>
  <c r="C222" i="1"/>
  <c r="D222" i="1"/>
  <c r="A354" i="1"/>
  <c r="C354" i="1"/>
  <c r="D354" i="1"/>
  <c r="A369" i="1"/>
  <c r="C369" i="1"/>
  <c r="D369" i="1"/>
  <c r="A348" i="1"/>
  <c r="C348" i="1"/>
  <c r="D348" i="1"/>
  <c r="A235" i="1"/>
  <c r="C235" i="1"/>
  <c r="D235" i="1"/>
  <c r="A357" i="1"/>
  <c r="C357" i="1"/>
  <c r="D357" i="1"/>
  <c r="A356" i="1"/>
  <c r="C356" i="1"/>
  <c r="D356" i="1"/>
  <c r="A18" i="1"/>
  <c r="C18" i="1"/>
  <c r="D18" i="1"/>
  <c r="A51" i="1"/>
  <c r="C51" i="1"/>
  <c r="D51" i="1"/>
  <c r="A59" i="1"/>
  <c r="C59" i="1"/>
  <c r="D59" i="1"/>
  <c r="A88" i="1"/>
  <c r="C88" i="1"/>
  <c r="D88" i="1"/>
  <c r="A96" i="1"/>
  <c r="C96" i="1"/>
  <c r="D96" i="1"/>
  <c r="A130" i="1"/>
  <c r="C130" i="1"/>
  <c r="D130" i="1"/>
  <c r="A207" i="1"/>
  <c r="C207" i="1"/>
  <c r="D207" i="1"/>
  <c r="A224" i="1"/>
  <c r="C224" i="1"/>
  <c r="D224" i="1"/>
  <c r="A250" i="1"/>
  <c r="C250" i="1"/>
  <c r="D250" i="1"/>
  <c r="A261" i="1"/>
  <c r="C261" i="1"/>
  <c r="D261" i="1"/>
  <c r="A265" i="1"/>
  <c r="C265" i="1"/>
  <c r="D265" i="1"/>
  <c r="A329" i="1"/>
  <c r="C329" i="1"/>
  <c r="D329" i="1"/>
  <c r="A334" i="1"/>
  <c r="C334" i="1"/>
  <c r="D334" i="1"/>
  <c r="A29" i="1"/>
  <c r="C29" i="1"/>
  <c r="D29" i="1"/>
  <c r="A167" i="1"/>
  <c r="C167" i="1"/>
  <c r="D167" i="1"/>
  <c r="A149" i="1"/>
  <c r="C149" i="1"/>
  <c r="D149" i="1"/>
  <c r="A363" i="1"/>
  <c r="C363" i="1"/>
  <c r="D363" i="1"/>
  <c r="A172" i="1"/>
  <c r="C172" i="1"/>
  <c r="D172" i="1"/>
  <c r="A199" i="1"/>
  <c r="C199" i="1"/>
  <c r="D199" i="1"/>
  <c r="A187" i="1"/>
  <c r="C187" i="1"/>
  <c r="D187" i="1"/>
  <c r="A304" i="1"/>
  <c r="C304" i="1"/>
  <c r="D304" i="1"/>
  <c r="A315" i="1"/>
  <c r="C315" i="1"/>
  <c r="D315" i="1"/>
  <c r="A66" i="1"/>
  <c r="C66" i="1"/>
  <c r="D66" i="1"/>
  <c r="A193" i="1"/>
  <c r="C193" i="1"/>
  <c r="D193" i="1"/>
  <c r="A307" i="1"/>
  <c r="C307" i="1"/>
  <c r="D307" i="1"/>
  <c r="A320" i="1"/>
  <c r="C320" i="1"/>
  <c r="D320" i="1"/>
  <c r="A194" i="1"/>
  <c r="C194" i="1"/>
  <c r="D194" i="1"/>
  <c r="A321" i="1"/>
  <c r="C321" i="1"/>
  <c r="D321" i="1"/>
  <c r="A84" i="1"/>
  <c r="C84" i="1"/>
  <c r="D84" i="1"/>
  <c r="A106" i="1"/>
  <c r="C106" i="1"/>
  <c r="D106" i="1"/>
  <c r="A275" i="1"/>
  <c r="C275" i="1"/>
  <c r="D275" i="1"/>
  <c r="A25" i="1"/>
  <c r="C25" i="1"/>
  <c r="D25" i="1"/>
  <c r="A310" i="1"/>
  <c r="C310" i="1"/>
  <c r="D310" i="1"/>
  <c r="A232" i="1"/>
  <c r="C232" i="1"/>
  <c r="D232" i="1"/>
  <c r="A52" i="1"/>
  <c r="C52" i="1"/>
  <c r="D52" i="1"/>
  <c r="A80" i="1"/>
  <c r="C80" i="1"/>
  <c r="D80" i="1"/>
  <c r="A324" i="1"/>
  <c r="C324" i="1"/>
  <c r="D324" i="1"/>
  <c r="A330" i="1"/>
  <c r="C330" i="1"/>
  <c r="D330" i="1"/>
  <c r="A353" i="1"/>
  <c r="C353" i="1"/>
  <c r="D353" i="1"/>
  <c r="A143" i="1"/>
  <c r="C143" i="1"/>
  <c r="D143" i="1"/>
  <c r="A19" i="1"/>
  <c r="C19" i="1"/>
  <c r="D19" i="1"/>
  <c r="A37" i="1"/>
  <c r="C37" i="1"/>
  <c r="D37" i="1"/>
  <c r="A266" i="1"/>
  <c r="C266" i="1"/>
  <c r="D266" i="1"/>
  <c r="A278" i="1"/>
  <c r="C278" i="1"/>
  <c r="D278" i="1"/>
  <c r="A308" i="1"/>
  <c r="C308" i="1"/>
  <c r="D308" i="1"/>
  <c r="A191" i="1"/>
  <c r="C191" i="1"/>
  <c r="D191" i="1"/>
  <c r="A180" i="1"/>
  <c r="C180" i="1"/>
  <c r="D180" i="1"/>
  <c r="A12" i="1"/>
  <c r="C12" i="1"/>
  <c r="D12" i="1"/>
  <c r="A48" i="1"/>
  <c r="C48" i="1"/>
  <c r="D48" i="1"/>
  <c r="A94" i="1"/>
  <c r="C94" i="1"/>
  <c r="D94" i="1"/>
  <c r="A246" i="1"/>
  <c r="C246" i="1"/>
  <c r="D246" i="1"/>
  <c r="A256" i="1"/>
  <c r="C256" i="1"/>
  <c r="D256" i="1"/>
  <c r="A38" i="1"/>
  <c r="C38" i="1"/>
  <c r="D38" i="1"/>
  <c r="A89" i="1"/>
  <c r="C89" i="1"/>
  <c r="D89" i="1"/>
  <c r="A111" i="1"/>
  <c r="C111" i="1"/>
  <c r="D111" i="1"/>
  <c r="A117" i="1"/>
  <c r="C117" i="1"/>
  <c r="D117" i="1"/>
  <c r="A179" i="1"/>
  <c r="C179" i="1"/>
  <c r="D179" i="1"/>
  <c r="A198" i="1"/>
  <c r="C198" i="1"/>
  <c r="D198" i="1"/>
  <c r="A267" i="1"/>
  <c r="C267" i="1"/>
  <c r="D267" i="1"/>
  <c r="A279" i="1"/>
  <c r="C279" i="1"/>
  <c r="D279" i="1"/>
  <c r="A335" i="1"/>
  <c r="C335" i="1"/>
  <c r="D335" i="1"/>
  <c r="A371" i="1"/>
  <c r="C371" i="1"/>
  <c r="D371" i="1"/>
  <c r="A374" i="1"/>
  <c r="C374" i="1"/>
  <c r="D374" i="1"/>
  <c r="A74" i="1"/>
  <c r="C74" i="1"/>
  <c r="D74" i="1"/>
  <c r="A158" i="1"/>
  <c r="C158" i="1"/>
  <c r="D158" i="1"/>
  <c r="A13" i="1"/>
  <c r="C13" i="1"/>
  <c r="D13" i="1"/>
  <c r="A220" i="1"/>
  <c r="C220" i="1"/>
  <c r="D220" i="1"/>
  <c r="A288" i="1"/>
  <c r="C288" i="1"/>
  <c r="D288" i="1"/>
  <c r="A14" i="1"/>
  <c r="C14" i="1"/>
  <c r="D14" i="1"/>
  <c r="A49" i="1"/>
  <c r="C49" i="1"/>
  <c r="D49" i="1"/>
  <c r="A221" i="1"/>
  <c r="C221" i="1"/>
  <c r="D221" i="1"/>
  <c r="A247" i="1"/>
  <c r="C247" i="1"/>
  <c r="D247" i="1"/>
  <c r="A257" i="1"/>
  <c r="C257" i="1"/>
  <c r="D257" i="1"/>
  <c r="A326" i="1"/>
  <c r="C326" i="1"/>
  <c r="D326" i="1"/>
  <c r="A331" i="1"/>
  <c r="C331" i="1"/>
  <c r="D331" i="1"/>
  <c r="A15" i="1"/>
  <c r="C15" i="1"/>
  <c r="D15" i="1"/>
  <c r="A223" i="1"/>
  <c r="C223" i="1"/>
  <c r="D223" i="1"/>
  <c r="A249" i="1"/>
  <c r="C249" i="1"/>
  <c r="D249" i="1"/>
  <c r="A260" i="1"/>
  <c r="C260" i="1"/>
  <c r="D260" i="1"/>
  <c r="A190" i="1"/>
  <c r="C190" i="1"/>
  <c r="D190" i="1"/>
  <c r="A231" i="1"/>
  <c r="C231" i="1"/>
  <c r="D231" i="1"/>
  <c r="A16" i="1"/>
  <c r="C16" i="1"/>
  <c r="D16" i="1"/>
  <c r="A122" i="1"/>
  <c r="C122" i="1"/>
  <c r="D122" i="1"/>
  <c r="A160" i="1"/>
  <c r="C160" i="1"/>
  <c r="D160" i="1"/>
  <c r="A176" i="1"/>
  <c r="C176" i="1"/>
  <c r="D176" i="1"/>
  <c r="A184" i="1"/>
  <c r="C184" i="1"/>
  <c r="D184" i="1"/>
  <c r="A294" i="1"/>
  <c r="C294" i="1"/>
  <c r="D294" i="1"/>
  <c r="A358" i="1"/>
  <c r="C358" i="1"/>
  <c r="D358" i="1"/>
  <c r="A79" i="1"/>
  <c r="C79" i="1"/>
  <c r="D79" i="1"/>
  <c r="A85" i="1"/>
  <c r="C85" i="1"/>
  <c r="D85" i="1"/>
  <c r="A107" i="1"/>
  <c r="C107" i="1"/>
  <c r="D107" i="1"/>
  <c r="A163" i="1"/>
  <c r="C163" i="1"/>
  <c r="D163" i="1"/>
  <c r="A277" i="1"/>
  <c r="C277" i="1"/>
  <c r="D277" i="1"/>
  <c r="A373" i="1"/>
  <c r="C373" i="1"/>
  <c r="D373" i="1"/>
  <c r="A11" i="1"/>
  <c r="C11" i="1"/>
  <c r="D11" i="1"/>
  <c r="A45" i="1"/>
  <c r="C45" i="1"/>
  <c r="D45" i="1"/>
  <c r="A55" i="1"/>
  <c r="C55" i="1"/>
  <c r="D55" i="1"/>
  <c r="A97" i="1"/>
  <c r="C97" i="1"/>
  <c r="D97" i="1"/>
  <c r="A137" i="1"/>
  <c r="C137" i="1"/>
  <c r="D137" i="1"/>
  <c r="A211" i="1"/>
  <c r="C211" i="1"/>
  <c r="D211" i="1"/>
  <c r="A245" i="1"/>
  <c r="C245" i="1"/>
  <c r="D245" i="1"/>
  <c r="A255" i="1"/>
  <c r="C255" i="1"/>
  <c r="D255" i="1"/>
  <c r="A325" i="1"/>
  <c r="C325" i="1"/>
  <c r="D325" i="1"/>
  <c r="A349" i="1"/>
  <c r="C349" i="1"/>
  <c r="D349" i="1"/>
  <c r="A196" i="1"/>
  <c r="C196" i="1"/>
  <c r="D196" i="1"/>
  <c r="A108" i="1"/>
  <c r="C108" i="1"/>
  <c r="D108" i="1"/>
  <c r="A166" i="1"/>
  <c r="C166" i="1"/>
  <c r="D166" i="1"/>
  <c r="A204" i="1"/>
  <c r="C204" i="1"/>
  <c r="D204" i="1"/>
  <c r="A203" i="1"/>
  <c r="C203" i="1"/>
  <c r="D203" i="1"/>
  <c r="A42" i="1"/>
  <c r="C42" i="1"/>
  <c r="D42" i="1"/>
  <c r="A54" i="1"/>
  <c r="C54" i="1"/>
  <c r="D54" i="1"/>
  <c r="A99" i="1"/>
  <c r="C99" i="1"/>
  <c r="D99" i="1"/>
  <c r="A202" i="1"/>
  <c r="C202" i="1"/>
  <c r="D202" i="1"/>
  <c r="A262" i="1"/>
  <c r="C262" i="1"/>
  <c r="D262" i="1"/>
  <c r="A124" i="1"/>
  <c r="C124" i="1"/>
  <c r="D124" i="1"/>
  <c r="A276" i="1"/>
  <c r="C276" i="1"/>
  <c r="D276" i="1"/>
  <c r="A98" i="1"/>
  <c r="C98" i="1"/>
  <c r="D98" i="1"/>
  <c r="A332" i="1"/>
  <c r="C332" i="1"/>
  <c r="D332" i="1"/>
  <c r="A228" i="1"/>
  <c r="C228" i="1"/>
  <c r="D228" i="1"/>
  <c r="A123" i="1"/>
  <c r="C123" i="1"/>
  <c r="D123" i="1"/>
  <c r="A65" i="1"/>
  <c r="C65" i="1"/>
  <c r="D65" i="1"/>
  <c r="A192" i="1"/>
  <c r="C192" i="1"/>
  <c r="D192" i="1"/>
  <c r="A306" i="1"/>
  <c r="C306" i="1"/>
  <c r="D306" i="1"/>
  <c r="A319" i="1"/>
  <c r="C319" i="1"/>
  <c r="D319" i="1"/>
  <c r="A164" i="1"/>
  <c r="C164" i="1"/>
  <c r="D164" i="1"/>
  <c r="A271" i="1"/>
  <c r="C271" i="1"/>
  <c r="D271" i="1"/>
  <c r="A177" i="1"/>
  <c r="C177" i="1"/>
  <c r="D177" i="1"/>
  <c r="A344" i="1"/>
  <c r="C344" i="1"/>
  <c r="D344" i="1"/>
  <c r="A359" i="1"/>
  <c r="C359" i="1"/>
  <c r="D359" i="1"/>
  <c r="A129" i="1"/>
  <c r="C129" i="1"/>
  <c r="D129" i="1"/>
  <c r="A264" i="1"/>
  <c r="C264" i="1"/>
  <c r="D264" i="1"/>
  <c r="A86" i="1"/>
  <c r="C86" i="1"/>
  <c r="D86" i="1"/>
  <c r="A126" i="1"/>
  <c r="C126" i="1"/>
  <c r="D126" i="1"/>
  <c r="A341" i="1"/>
  <c r="C341" i="1"/>
  <c r="D341" i="1"/>
  <c r="A30" i="1"/>
  <c r="C30" i="1"/>
  <c r="D30" i="1"/>
  <c r="A230" i="1"/>
  <c r="C230" i="1"/>
  <c r="D230" i="1"/>
  <c r="A350" i="1"/>
  <c r="C350" i="1"/>
  <c r="D350" i="1"/>
  <c r="A346" i="1"/>
  <c r="C346" i="1"/>
  <c r="D346" i="1"/>
  <c r="A119" i="1"/>
  <c r="C119" i="1"/>
  <c r="D119" i="1"/>
  <c r="A182" i="1"/>
  <c r="C182" i="1"/>
  <c r="D182" i="1"/>
  <c r="A337" i="1"/>
  <c r="C337" i="1"/>
  <c r="D337" i="1"/>
  <c r="A75" i="1"/>
  <c r="C75" i="1"/>
  <c r="D75" i="1"/>
  <c r="A91" i="1"/>
  <c r="C91" i="1"/>
  <c r="D91" i="1"/>
  <c r="A121" i="1"/>
  <c r="C121" i="1"/>
  <c r="D121" i="1"/>
  <c r="A159" i="1"/>
  <c r="C159" i="1"/>
  <c r="D159" i="1"/>
  <c r="A183" i="1"/>
  <c r="C183" i="1"/>
  <c r="D183" i="1"/>
  <c r="A292" i="1"/>
  <c r="C292" i="1"/>
  <c r="D292" i="1"/>
  <c r="A298" i="1"/>
  <c r="C298" i="1"/>
  <c r="D298" i="1"/>
  <c r="A36" i="1"/>
  <c r="C36" i="1"/>
  <c r="D36" i="1"/>
  <c r="A236" i="1"/>
  <c r="C236" i="1"/>
  <c r="D236" i="1"/>
  <c r="A290" i="1"/>
  <c r="C290" i="1"/>
  <c r="D290" i="1"/>
  <c r="A239" i="1"/>
  <c r="C239" i="1"/>
  <c r="D239" i="1"/>
  <c r="A233" i="1"/>
  <c r="C233" i="1"/>
  <c r="D233" i="1"/>
  <c r="A27" i="1"/>
  <c r="C27" i="1"/>
  <c r="D27" i="1"/>
  <c r="A22" i="1"/>
  <c r="C22" i="1"/>
  <c r="D22" i="1"/>
  <c r="A285" i="1"/>
  <c r="C285" i="1"/>
  <c r="D285" i="1"/>
</calcChain>
</file>

<file path=xl/sharedStrings.xml><?xml version="1.0" encoding="utf-8"?>
<sst xmlns="http://schemas.openxmlformats.org/spreadsheetml/2006/main" count="389" uniqueCount="173">
  <si>
    <t>Organization</t>
  </si>
  <si>
    <t>Name</t>
  </si>
  <si>
    <t>Date</t>
  </si>
  <si>
    <t>AIDES AT HOME</t>
  </si>
  <si>
    <t>ABLE HEALTH CARE SERVICE INC.</t>
  </si>
  <si>
    <t>HEALTH ACQUISITION CORP DBA ALLEN HEALTH CARE SERV</t>
  </si>
  <si>
    <t>RECCO HOME CARE</t>
  </si>
  <si>
    <t>UNLIMITED CARE</t>
  </si>
  <si>
    <t>GREATER ADIRONDACK HOME AIDES</t>
  </si>
  <si>
    <t>PERSONAL TOUCH HOME CARE</t>
  </si>
  <si>
    <t>HCR</t>
  </si>
  <si>
    <t>FAMILY SERVICES OF WESTCHESTER</t>
  </si>
  <si>
    <t>FAMILY SERVICE SOCIETY OF YONKERS</t>
  </si>
  <si>
    <t>HOME HEALTH SVS. WEST. JEWISH</t>
  </si>
  <si>
    <t>A &amp; A STAFFING HEALTH CARE</t>
  </si>
  <si>
    <t>FAMILY AND CHILD SERVICE</t>
  </si>
  <si>
    <t>INTERIM HEALTHCARE OF SYRACUSE,INC.</t>
  </si>
  <si>
    <t>HOME AIDES OF CENTRAL NEW YORK</t>
  </si>
  <si>
    <t>HOME AIDES OF CENTRAL NEW YORK, INC.</t>
  </si>
  <si>
    <t>FAMILY AND CHILDREN'S SOCIETY OF BROOME COUNTY</t>
  </si>
  <si>
    <t>INTERIM HEALTHCARE OF BINGHAMTON, INC.</t>
  </si>
  <si>
    <t>VIP HEALTH CARE SERVICES</t>
  </si>
  <si>
    <t>BEST CARE</t>
  </si>
  <si>
    <t>HOMEMAKERS OF WESTERN NY, INC DBA CAREGIVERS</t>
  </si>
  <si>
    <t>ACCREDITED CARE INC.</t>
  </si>
  <si>
    <t>CHAUTAUQUA OPPORTUNITIES</t>
  </si>
  <si>
    <t>HELPING HANDS HOMEMAKING SERV</t>
  </si>
  <si>
    <t>ALL METRO HEALTH CARE</t>
  </si>
  <si>
    <t>ATTENTIVE CARE</t>
  </si>
  <si>
    <t>MERCY HOMECARE</t>
  </si>
  <si>
    <t>NORTH COUNTRY HOME SERVICES, INC.</t>
  </si>
  <si>
    <t>COMMUNITY CARE OF WNY</t>
  </si>
  <si>
    <t>FAMILY SERVICES OF CHEMUNG</t>
  </si>
  <si>
    <t>ACCREDITED AIDES PLUS</t>
  </si>
  <si>
    <t>ULSTER CO. HOME HEALTH</t>
  </si>
  <si>
    <t>HOME &amp; HEALTH CARE SERVICES</t>
  </si>
  <si>
    <t>HOMEMAKERS OF MOHAWK VALLEY, INC DBA CAREGIVERS</t>
  </si>
  <si>
    <t>HUDSON VALLEY HOME CARE</t>
  </si>
  <si>
    <t>HEALTH SERVICES OF NORTHERN NY</t>
  </si>
  <si>
    <t>ALLCARE FAMILY SVCS</t>
  </si>
  <si>
    <t>RESOURCE CENTER FOR INDEPENDENT LIVING, INC.</t>
  </si>
  <si>
    <t>RESOURCE CENTER FOR INDEPENDANT LIVING</t>
  </si>
  <si>
    <t>ANY-TIME HOME CARE</t>
  </si>
  <si>
    <t>HOMEMAKERS OF BROOME, INC DBA CAREGIVERS</t>
  </si>
  <si>
    <t>ACCENTCARE OF NY</t>
  </si>
  <si>
    <t>AMAK HEALTHCARE</t>
  </si>
  <si>
    <t>PEOPLE INC.</t>
  </si>
  <si>
    <t>STAFKINGS HEALTHCARE SYSTEMS</t>
  </si>
  <si>
    <t>COMMUNITY HEALTH AIDE SERVICES</t>
  </si>
  <si>
    <t>U.S. CARE SYSTEMS</t>
  </si>
  <si>
    <t>ADEPT HEALTH CARE SERVICE, INC.</t>
  </si>
  <si>
    <t>NEW YORK HEALTH CARE INC</t>
  </si>
  <si>
    <t>NEW YORK HEALTH CARE INC.</t>
  </si>
  <si>
    <t>SOUTH SHORE HOME HEALTH SERVICE</t>
  </si>
  <si>
    <t>PEOPLE CARE INC</t>
  </si>
  <si>
    <t>ACCU CARE HEALTH SERVICES</t>
  </si>
  <si>
    <t>UTOPIA HOME CARE</t>
  </si>
  <si>
    <t>HOME HEALTH CARE &amp; COMPANION AGENCY, INC.</t>
  </si>
  <si>
    <t>AFTERCARE NURSING SERVICES, INC.</t>
  </si>
  <si>
    <t>AFTERCARE NURSING SERVICE INC</t>
  </si>
  <si>
    <t>SUPERIOR HOME HEALTH CARE</t>
  </si>
  <si>
    <t>BETTER HOME HEALTH CARE</t>
  </si>
  <si>
    <t>ST. FRANCIS HOME CARE SERVICES</t>
  </si>
  <si>
    <t>A &amp; T HEALTHCARE</t>
  </si>
  <si>
    <t>ENABLE</t>
  </si>
  <si>
    <t>PREMIER HOME HEALTH SERVICES INC.</t>
  </si>
  <si>
    <t>ACCENT HEALTH CARE SERVICES INC</t>
  </si>
  <si>
    <t>ACCENT HEALTH CARE SERVICES, INC.</t>
  </si>
  <si>
    <t>MARIAN CARE INC.</t>
  </si>
  <si>
    <t>LONG ISLAND CARE AT HOME</t>
  </si>
  <si>
    <t>WESTCHESTER CARE AT HOME</t>
  </si>
  <si>
    <t>VISITING NURSE ASSOCIATION HOME HEALTH SERVICES</t>
  </si>
  <si>
    <t>GENESEE REGION HOME CARE OF ONTARIO COUN</t>
  </si>
  <si>
    <t>GENESEE REGION HOME CARE OF ONTARIO COUNTY, INC.</t>
  </si>
  <si>
    <t>G.E.M HEALTH CARE AGENCY INC.</t>
  </si>
  <si>
    <t>NURSES ON HAND REGISTRY</t>
  </si>
  <si>
    <t>JZANUS HOME CARE INC.</t>
  </si>
  <si>
    <t>GENTLE HOME HEALTH CARE</t>
  </si>
  <si>
    <t>REGION CARE INC</t>
  </si>
  <si>
    <t>INDEPENDENT LIVING CENTER OF THE HUDSON VALLEY</t>
  </si>
  <si>
    <t>WARTBURG RESIDENTIAL COMMUNITY INC.</t>
  </si>
  <si>
    <t>CONCEPT CARE INC</t>
  </si>
  <si>
    <t>ROCKLAND INDEPENDENT LIVING CENTER, INC.</t>
  </si>
  <si>
    <t>LOWER WEST SIDE HOUSEHOLD SERVICES CORP</t>
  </si>
  <si>
    <t>J &amp; K HEALTHCARE SERVICES</t>
  </si>
  <si>
    <t>VISITING NURSES HOME CARE CORP</t>
  </si>
  <si>
    <t>COMPREHENSIVE TECHNOLOGY CTR</t>
  </si>
  <si>
    <t>PRESBYTERIAN RESIDENTIAL COMMUNITY, INC.</t>
  </si>
  <si>
    <t>PRIORITY HOME CARE, INC</t>
  </si>
  <si>
    <t>ARISE, INC.</t>
  </si>
  <si>
    <t>ACCESS SUPPORTS FOR LIVING INC</t>
  </si>
  <si>
    <t>INDEPENDENT LIVING INC.</t>
  </si>
  <si>
    <t>MID-HUDSON MANAGED HOME CARE, INC.</t>
  </si>
  <si>
    <t>UNITED CEREBRAL PALSY ASSOC. OF THE NORTH COUNTRY</t>
  </si>
  <si>
    <t>SOUTHERN TIER INDEPENDENCE CENTER</t>
  </si>
  <si>
    <t>JAWANIO, INC.</t>
  </si>
  <si>
    <t>CORTLAND COMMUNITY ACTION PROGRAM</t>
  </si>
  <si>
    <t>COMMUNITY WORK AND INDEPENDENCE</t>
  </si>
  <si>
    <t>COMMUNITY WORK AND INDEPENDENCE INC</t>
  </si>
  <si>
    <t>GRACE CHURCH COMMUNITY CTR DBA NEIGHBORS PROGRAM</t>
  </si>
  <si>
    <t>LONG ISLAND CENTER FOR INDEPENDENT LIVING</t>
  </si>
  <si>
    <t>ACCESS TO INDEPENDENCE AND MOBILITY</t>
  </si>
  <si>
    <t>HOLDEN HOME LICENSED HOME CARE AGENCY</t>
  </si>
  <si>
    <t>FINGER LAKES HOME CARE</t>
  </si>
  <si>
    <t>CONSUMER DIRECTED CHOICES</t>
  </si>
  <si>
    <t>CENTER FOR DISABILITY RIGHTS</t>
  </si>
  <si>
    <t>HEALTH FORCE</t>
  </si>
  <si>
    <t>EDDY LICENSED HOME CARE AGENCY INC</t>
  </si>
  <si>
    <t>BAYSHORE HOME HEALTHCARE, INC.</t>
  </si>
  <si>
    <t>ENS HLTH CARE MGMT (Interim Healthcare)</t>
  </si>
  <si>
    <t>ENS HLTH CARE MGMT (Interim Health Care)</t>
  </si>
  <si>
    <t>ENS HLTH MGMT(Interim Healthcare</t>
  </si>
  <si>
    <t>LIVING RESOURCES HOME CARE AGENCY,INC</t>
  </si>
  <si>
    <t>HAMASPIK OF ORANGE COUNTY</t>
  </si>
  <si>
    <t>HAMASPIK OF ROCKLAND COUNTY, INC.</t>
  </si>
  <si>
    <t>MAXIM OF NY LLC</t>
  </si>
  <si>
    <t>MAXIM HEALTHCARE SERVICES</t>
  </si>
  <si>
    <t>WNY INDEPENDENT LIVING PROJECT</t>
  </si>
  <si>
    <t>WESTERN NY INDEPENDENT LIVING PROJECT</t>
  </si>
  <si>
    <t>WESTERN NY INDEPENDENT LIVING CENTER</t>
  </si>
  <si>
    <t>CONCEPTS OF INDEPENDENT CHOICES</t>
  </si>
  <si>
    <t>CONCEPTS OF INDEPENDENT CHOICES, INC.</t>
  </si>
  <si>
    <t>PRIORITY HOME CARE</t>
  </si>
  <si>
    <t>PLAN-IT STAFFING</t>
  </si>
  <si>
    <t>PLAN IT STAFFING</t>
  </si>
  <si>
    <t>OTSEGO COUNTY PUBLIC HEALTH</t>
  </si>
  <si>
    <t>AT HOME CARE PARTNERS INC</t>
  </si>
  <si>
    <t>AT HOME CARE PARTNERS, INC</t>
  </si>
  <si>
    <t>UNITY AT HOME</t>
  </si>
  <si>
    <t>UNITED HELPERS HOME HEALTH SERVICES</t>
  </si>
  <si>
    <t>FORT HUDSON HOMECARE</t>
  </si>
  <si>
    <t>AT HOME LTD</t>
  </si>
  <si>
    <t>MEDICAL SOLUTIONS, INC.</t>
  </si>
  <si>
    <t>INDEPENDENT HOME CARE INC</t>
  </si>
  <si>
    <t>AT HOME INDEPENDENT CARE, INC</t>
  </si>
  <si>
    <t>AT HOME INDEPENDENT CARE INC.</t>
  </si>
  <si>
    <t>SELF DIRECT INC</t>
  </si>
  <si>
    <t>AZOR HOME CARE SERVICES</t>
  </si>
  <si>
    <t>MRS G's SERVICES LLC</t>
  </si>
  <si>
    <t>TOP QUALITY HOME CARE LLC</t>
  </si>
  <si>
    <t>RAMA ASSOCIATES</t>
  </si>
  <si>
    <t>ACS HOME CARE LLC</t>
  </si>
  <si>
    <t>ELDERCHOICE INC</t>
  </si>
  <si>
    <t>FAMILY CARE PED HC A DIVISION OF TRI-BOROUG</t>
  </si>
  <si>
    <t>CARING PROFESSIONALS INC</t>
  </si>
  <si>
    <t>GLIDEDOWAN LLC</t>
  </si>
  <si>
    <t>WAYNE COUNTY CHAPTER NYSARC INC</t>
  </si>
  <si>
    <t>HERITAGE CHRISTIAN SERVICES INC</t>
  </si>
  <si>
    <t>HOME SWEET HOMECARE OF LI INC</t>
  </si>
  <si>
    <t>PREFERRED HOME CARE OF NEW YORK</t>
  </si>
  <si>
    <t>TRUSTED NURSE STAFFING LLC</t>
  </si>
  <si>
    <t>THE ELIOT AT ERIE STATION LHESA</t>
  </si>
  <si>
    <t>COMMUNITY CARE COMPANIONS INC</t>
  </si>
  <si>
    <t>WHITE GLOVE COMMUNITY CARE INC</t>
  </si>
  <si>
    <t>MARQUIS HOME CARE</t>
  </si>
  <si>
    <t>SUSQUEHANNA HOME HEALTH CARE AGENCY</t>
  </si>
  <si>
    <t>HILLTOP MANOR WEST</t>
  </si>
  <si>
    <t>ALL COUNTY HEALTH CARE OF NEW YORK, INC</t>
  </si>
  <si>
    <t xml:space="preserve">       New York State Department of Health</t>
  </si>
  <si>
    <t xml:space="preserve">  Bureau of Long Term Care Reimbursement</t>
  </si>
  <si>
    <t>County</t>
  </si>
  <si>
    <t xml:space="preserve">Level One </t>
  </si>
  <si>
    <t xml:space="preserve">Level Two </t>
  </si>
  <si>
    <t xml:space="preserve">Level Two Hard To Serve </t>
  </si>
  <si>
    <t xml:space="preserve">Live In </t>
  </si>
  <si>
    <t xml:space="preserve">Shared Aid Level I </t>
  </si>
  <si>
    <t xml:space="preserve">Shared Aid Level Two </t>
  </si>
  <si>
    <t xml:space="preserve">Nursing Supervision </t>
  </si>
  <si>
    <t xml:space="preserve">Nursing Assessment </t>
  </si>
  <si>
    <t xml:space="preserve">Consumer Directed </t>
  </si>
  <si>
    <t xml:space="preserve">Consumer Directed Enhanced </t>
  </si>
  <si>
    <t>Consumer Directed Live In</t>
  </si>
  <si>
    <t xml:space="preserve">                   2018 Personal Care Rates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</si>
</sst>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19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57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14" fontId="0" fillId="0" borderId="0" xfId="0" applyNumberFormat="1"/>
    <xf numFmtId="0" fontId="0" fillId="0" borderId="0" xfId="0" applyAlignment="1"/>
    <xf numFmtId="0" fontId="18" fillId="0" borderId="0" xfId="0" applyFont="1" applyAlignment="1">
      <alignment horizontal="center" wrapText="1"/>
    </xf>
    <xf numFmtId="49" fontId="0" fillId="0" borderId="0" xfId="0" applyNumberFormat="1"/>
    <xf numFmtId="8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5"/>
  <sheetViews>
    <sheetView tabSelected="1" topLeftCell="C1" workbookViewId="0">
      <selection activeCell="S14" sqref="S14"/>
    </sheetView>
  </sheetViews>
  <sheetFormatPr defaultRowHeight="14.25" x14ac:dyDescent="0.2"/>
  <cols>
    <col min="1" max="1" width="11.25" style="4" bestFit="1" customWidth="1"/>
    <col min="2" max="2" width="58.375" bestFit="1" customWidth="1"/>
    <col min="3" max="3" width="7.875" bestFit="1" customWidth="1"/>
    <col min="4" max="4" width="15.375" bestFit="1" customWidth="1"/>
    <col min="5" max="7" width="8.5" bestFit="1" customWidth="1"/>
    <col min="8" max="10" width="9.5" bestFit="1" customWidth="1"/>
    <col min="11" max="11" width="10" bestFit="1" customWidth="1"/>
    <col min="12" max="12" width="10.125" bestFit="1" customWidth="1"/>
    <col min="13" max="15" width="9.5" bestFit="1" customWidth="1"/>
  </cols>
  <sheetData>
    <row r="1" spans="1:15" x14ac:dyDescent="0.2">
      <c r="E1" t="s">
        <v>158</v>
      </c>
      <c r="O1" s="1">
        <v>43199</v>
      </c>
    </row>
    <row r="2" spans="1:15" x14ac:dyDescent="0.2">
      <c r="E2" s="2" t="s">
        <v>159</v>
      </c>
    </row>
    <row r="3" spans="1:15" x14ac:dyDescent="0.2">
      <c r="E3" s="2" t="s">
        <v>172</v>
      </c>
    </row>
    <row r="4" spans="1:15" ht="45" x14ac:dyDescent="0.25">
      <c r="A4" s="4" t="s">
        <v>0</v>
      </c>
      <c r="B4" t="s">
        <v>1</v>
      </c>
      <c r="C4" t="s">
        <v>2</v>
      </c>
      <c r="D4" t="s">
        <v>160</v>
      </c>
      <c r="E4" s="3" t="s">
        <v>161</v>
      </c>
      <c r="F4" s="3" t="s">
        <v>162</v>
      </c>
      <c r="G4" s="3" t="s">
        <v>163</v>
      </c>
      <c r="H4" s="3" t="s">
        <v>164</v>
      </c>
      <c r="I4" s="3" t="s">
        <v>165</v>
      </c>
      <c r="J4" s="3" t="s">
        <v>166</v>
      </c>
      <c r="K4" s="3" t="s">
        <v>167</v>
      </c>
      <c r="L4" s="3" t="s">
        <v>168</v>
      </c>
      <c r="M4" s="3" t="s">
        <v>169</v>
      </c>
      <c r="N4" s="3" t="s">
        <v>170</v>
      </c>
      <c r="O4" s="3" t="s">
        <v>171</v>
      </c>
    </row>
    <row r="5" spans="1:15" x14ac:dyDescent="0.2">
      <c r="A5" s="4" t="str">
        <f>"0134883801"</f>
        <v>0134883801</v>
      </c>
      <c r="B5" t="s">
        <v>66</v>
      </c>
      <c r="C5" t="str">
        <f t="shared" ref="C5:C68" si="0">"18/01/01"</f>
        <v>18/01/01</v>
      </c>
      <c r="D5" t="str">
        <f t="shared" ref="D5:D18" si="1">"ALBANY"</f>
        <v>ALBANY</v>
      </c>
      <c r="E5" s="5">
        <v>22.02</v>
      </c>
      <c r="F5" s="5">
        <v>22.35</v>
      </c>
      <c r="G5" s="5">
        <v>20.95</v>
      </c>
      <c r="H5" s="5">
        <v>295.01</v>
      </c>
      <c r="I5" s="5">
        <v>21.53</v>
      </c>
      <c r="J5" s="5">
        <v>21.95</v>
      </c>
      <c r="K5" s="5">
        <v>96.37</v>
      </c>
      <c r="L5" s="5">
        <v>90.99</v>
      </c>
      <c r="M5" s="5">
        <v>0</v>
      </c>
      <c r="N5" s="5">
        <v>0</v>
      </c>
      <c r="O5" s="5">
        <v>0</v>
      </c>
    </row>
    <row r="6" spans="1:15" x14ac:dyDescent="0.2">
      <c r="A6" s="4" t="str">
        <f>"0112364201"</f>
        <v>0112364201</v>
      </c>
      <c r="B6" t="s">
        <v>55</v>
      </c>
      <c r="C6" t="str">
        <f t="shared" si="0"/>
        <v>18/01/01</v>
      </c>
      <c r="D6" t="str">
        <f t="shared" si="1"/>
        <v>ALBANY</v>
      </c>
      <c r="E6" s="5">
        <v>21.77</v>
      </c>
      <c r="F6" s="5">
        <v>20.170000000000002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18.75</v>
      </c>
      <c r="N6" s="5">
        <v>0</v>
      </c>
      <c r="O6" s="5">
        <v>0</v>
      </c>
    </row>
    <row r="7" spans="1:15" x14ac:dyDescent="0.2">
      <c r="A7" s="4" t="str">
        <f>"0106459301"</f>
        <v>0106459301</v>
      </c>
      <c r="B7" t="s">
        <v>50</v>
      </c>
      <c r="C7" t="str">
        <f t="shared" si="0"/>
        <v>18/01/01</v>
      </c>
      <c r="D7" t="str">
        <f t="shared" si="1"/>
        <v>ALBANY</v>
      </c>
      <c r="E7" s="5">
        <v>21.76</v>
      </c>
      <c r="F7" s="5">
        <v>22.6</v>
      </c>
      <c r="G7" s="5">
        <v>21.2</v>
      </c>
      <c r="H7" s="5">
        <v>0</v>
      </c>
      <c r="I7" s="5">
        <v>19.59</v>
      </c>
      <c r="J7" s="5">
        <v>20.78</v>
      </c>
      <c r="K7" s="5">
        <v>107.75</v>
      </c>
      <c r="L7" s="5">
        <v>108.03</v>
      </c>
      <c r="M7" s="5">
        <v>0</v>
      </c>
      <c r="N7" s="5">
        <v>0</v>
      </c>
      <c r="O7" s="5">
        <v>0</v>
      </c>
    </row>
    <row r="8" spans="1:15" x14ac:dyDescent="0.2">
      <c r="A8" s="4" t="str">
        <f>"0084696001"</f>
        <v>0084696001</v>
      </c>
      <c r="B8" t="s">
        <v>27</v>
      </c>
      <c r="C8" t="str">
        <f t="shared" si="0"/>
        <v>18/01/01</v>
      </c>
      <c r="D8" t="str">
        <f t="shared" si="1"/>
        <v>ALBANY</v>
      </c>
      <c r="E8" s="5">
        <v>17.190000000000001</v>
      </c>
      <c r="F8" s="5">
        <v>17.649999999999999</v>
      </c>
      <c r="G8" s="5">
        <v>24.43</v>
      </c>
      <c r="H8" s="5">
        <v>241.36</v>
      </c>
      <c r="I8" s="5">
        <v>16.62</v>
      </c>
      <c r="J8" s="5">
        <v>17.260000000000002</v>
      </c>
      <c r="K8" s="5">
        <v>102.44</v>
      </c>
      <c r="L8" s="5">
        <v>102.44</v>
      </c>
      <c r="M8" s="5">
        <v>18.2</v>
      </c>
      <c r="N8" s="5">
        <v>24.84</v>
      </c>
      <c r="O8" s="5">
        <v>247.52</v>
      </c>
    </row>
    <row r="9" spans="1:15" x14ac:dyDescent="0.2">
      <c r="A9" s="4" t="str">
        <f>"0099143301"</f>
        <v>0099143301</v>
      </c>
      <c r="B9" t="s">
        <v>42</v>
      </c>
      <c r="C9" t="str">
        <f t="shared" si="0"/>
        <v>18/01/01</v>
      </c>
      <c r="D9" t="str">
        <f t="shared" si="1"/>
        <v>ALBANY</v>
      </c>
      <c r="E9" s="5">
        <v>21.49</v>
      </c>
      <c r="F9" s="5">
        <v>20.89</v>
      </c>
      <c r="G9" s="5">
        <v>29.77</v>
      </c>
      <c r="H9" s="5">
        <v>307.35000000000002</v>
      </c>
      <c r="I9" s="5">
        <v>29.22</v>
      </c>
      <c r="J9" s="5">
        <v>27.28</v>
      </c>
      <c r="K9" s="5">
        <v>129.22</v>
      </c>
      <c r="L9" s="5">
        <v>156.59</v>
      </c>
      <c r="M9" s="5">
        <v>18.72</v>
      </c>
      <c r="N9" s="5">
        <v>19.63</v>
      </c>
      <c r="O9" s="5">
        <v>329.39</v>
      </c>
    </row>
    <row r="10" spans="1:15" x14ac:dyDescent="0.2">
      <c r="A10" s="4" t="str">
        <f>"0090869001"</f>
        <v>0090869001</v>
      </c>
      <c r="B10" t="s">
        <v>28</v>
      </c>
      <c r="C10" t="str">
        <f t="shared" si="0"/>
        <v>18/01/01</v>
      </c>
      <c r="D10" t="str">
        <f t="shared" si="1"/>
        <v>ALBANY</v>
      </c>
      <c r="E10" s="5">
        <v>20.11</v>
      </c>
      <c r="F10" s="5">
        <v>20.93</v>
      </c>
      <c r="G10" s="5">
        <v>20.16</v>
      </c>
      <c r="H10" s="5">
        <v>264.56</v>
      </c>
      <c r="I10" s="5">
        <v>20.14</v>
      </c>
      <c r="J10" s="5">
        <v>24.92</v>
      </c>
      <c r="K10" s="5">
        <v>83.83</v>
      </c>
      <c r="L10" s="5">
        <v>147.04</v>
      </c>
      <c r="M10" s="5">
        <v>18.989999999999998</v>
      </c>
      <c r="N10" s="5">
        <v>23.52</v>
      </c>
      <c r="O10" s="5">
        <v>0</v>
      </c>
    </row>
    <row r="11" spans="1:15" x14ac:dyDescent="0.2">
      <c r="A11" s="4" t="str">
        <f>"0240779801"</f>
        <v>0240779801</v>
      </c>
      <c r="B11" t="s">
        <v>120</v>
      </c>
      <c r="C11" t="str">
        <f t="shared" si="0"/>
        <v>18/01/01</v>
      </c>
      <c r="D11" t="str">
        <f t="shared" si="1"/>
        <v>ALBANY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19.54</v>
      </c>
      <c r="N11" s="5">
        <v>20.91</v>
      </c>
      <c r="O11" s="5">
        <v>243.77</v>
      </c>
    </row>
    <row r="12" spans="1:15" x14ac:dyDescent="0.2">
      <c r="A12" s="4" t="str">
        <f>"0188056001"</f>
        <v>0188056001</v>
      </c>
      <c r="B12" t="s">
        <v>104</v>
      </c>
      <c r="C12" t="str">
        <f t="shared" si="0"/>
        <v>18/01/01</v>
      </c>
      <c r="D12" t="str">
        <f t="shared" si="1"/>
        <v>ALBANY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17.11</v>
      </c>
      <c r="N12" s="5">
        <v>18.68</v>
      </c>
      <c r="O12" s="5">
        <v>221.45</v>
      </c>
    </row>
    <row r="13" spans="1:15" x14ac:dyDescent="0.2">
      <c r="A13" s="4" t="str">
        <f>"0200188901"</f>
        <v>0200188901</v>
      </c>
      <c r="B13" t="s">
        <v>107</v>
      </c>
      <c r="C13" t="str">
        <f t="shared" si="0"/>
        <v>18/01/01</v>
      </c>
      <c r="D13" t="str">
        <f t="shared" si="1"/>
        <v>ALBANY</v>
      </c>
      <c r="E13" s="5">
        <v>18.34</v>
      </c>
      <c r="F13" s="5">
        <v>19.11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82.13</v>
      </c>
      <c r="M13" s="5">
        <v>0</v>
      </c>
      <c r="N13" s="5">
        <v>0</v>
      </c>
      <c r="O13" s="5">
        <v>0</v>
      </c>
    </row>
    <row r="14" spans="1:15" x14ac:dyDescent="0.2">
      <c r="A14" s="4" t="str">
        <f>"0215044301"</f>
        <v>0215044301</v>
      </c>
      <c r="B14" t="s">
        <v>109</v>
      </c>
      <c r="C14" t="str">
        <f t="shared" si="0"/>
        <v>18/01/01</v>
      </c>
      <c r="D14" t="str">
        <f t="shared" si="1"/>
        <v>ALBANY</v>
      </c>
      <c r="E14" s="5">
        <v>23.71</v>
      </c>
      <c r="F14" s="5">
        <v>23.24</v>
      </c>
      <c r="G14" s="5">
        <v>0</v>
      </c>
      <c r="H14" s="5">
        <v>0</v>
      </c>
      <c r="I14" s="5">
        <v>22.5</v>
      </c>
      <c r="J14" s="5">
        <v>23.35</v>
      </c>
      <c r="K14" s="5">
        <v>87.68</v>
      </c>
      <c r="L14" s="5">
        <v>87.86</v>
      </c>
      <c r="M14" s="5">
        <v>19.77</v>
      </c>
      <c r="N14" s="5">
        <v>0</v>
      </c>
      <c r="O14" s="5">
        <v>0</v>
      </c>
    </row>
    <row r="15" spans="1:15" x14ac:dyDescent="0.2">
      <c r="A15" s="4" t="str">
        <f>"0217285601"</f>
        <v>0217285601</v>
      </c>
      <c r="B15" t="s">
        <v>112</v>
      </c>
      <c r="C15" t="str">
        <f t="shared" si="0"/>
        <v>18/01/01</v>
      </c>
      <c r="D15" t="str">
        <f t="shared" si="1"/>
        <v>ALBANY</v>
      </c>
      <c r="E15" s="5">
        <v>26.36</v>
      </c>
      <c r="F15" s="5">
        <v>26.36</v>
      </c>
      <c r="G15" s="5">
        <v>0</v>
      </c>
      <c r="H15" s="5">
        <v>0</v>
      </c>
      <c r="I15" s="5">
        <v>0</v>
      </c>
      <c r="J15" s="5">
        <v>0</v>
      </c>
      <c r="K15" s="5">
        <v>128.19999999999999</v>
      </c>
      <c r="L15" s="5">
        <v>156.13</v>
      </c>
      <c r="M15" s="5">
        <v>0</v>
      </c>
      <c r="N15" s="5">
        <v>0</v>
      </c>
      <c r="O15" s="5">
        <v>0</v>
      </c>
    </row>
    <row r="16" spans="1:15" x14ac:dyDescent="0.2">
      <c r="A16" s="4" t="str">
        <f>"0231917501"</f>
        <v>0231917501</v>
      </c>
      <c r="B16" t="s">
        <v>115</v>
      </c>
      <c r="C16" t="str">
        <f t="shared" si="0"/>
        <v>18/01/01</v>
      </c>
      <c r="D16" t="str">
        <f t="shared" si="1"/>
        <v>ALBANY</v>
      </c>
      <c r="E16" s="5">
        <v>24.24</v>
      </c>
      <c r="F16" s="5">
        <v>24.24</v>
      </c>
      <c r="G16" s="5">
        <v>26.3</v>
      </c>
      <c r="H16" s="5">
        <v>385.68</v>
      </c>
      <c r="I16" s="5">
        <v>0</v>
      </c>
      <c r="J16" s="5">
        <v>0</v>
      </c>
      <c r="K16" s="5">
        <v>78.680000000000007</v>
      </c>
      <c r="L16" s="5">
        <v>0</v>
      </c>
      <c r="M16" s="5">
        <v>24.24</v>
      </c>
      <c r="N16" s="5">
        <v>24.24</v>
      </c>
      <c r="O16" s="5">
        <v>376.21</v>
      </c>
    </row>
    <row r="17" spans="1:15" x14ac:dyDescent="0.2">
      <c r="A17" s="4" t="str">
        <f>"0035491201"</f>
        <v>0035491201</v>
      </c>
      <c r="B17" t="s">
        <v>7</v>
      </c>
      <c r="C17" t="str">
        <f t="shared" si="0"/>
        <v>18/01/01</v>
      </c>
      <c r="D17" t="str">
        <f t="shared" si="1"/>
        <v>ALBANY</v>
      </c>
      <c r="E17" s="5">
        <v>28.07</v>
      </c>
      <c r="F17" s="5">
        <v>27.92</v>
      </c>
      <c r="G17" s="5">
        <v>27.26</v>
      </c>
      <c r="H17" s="5">
        <v>335.16</v>
      </c>
      <c r="I17" s="5">
        <v>25.99</v>
      </c>
      <c r="J17" s="5">
        <v>25.13</v>
      </c>
      <c r="K17" s="5">
        <v>145.49</v>
      </c>
      <c r="L17" s="5">
        <v>137.13</v>
      </c>
      <c r="M17" s="5">
        <v>23.42</v>
      </c>
      <c r="N17" s="5">
        <v>24.99</v>
      </c>
      <c r="O17" s="5">
        <v>284.04000000000002</v>
      </c>
    </row>
    <row r="18" spans="1:15" x14ac:dyDescent="0.2">
      <c r="A18" s="4" t="str">
        <f>"0170109101"</f>
        <v>0170109101</v>
      </c>
      <c r="B18" t="s">
        <v>85</v>
      </c>
      <c r="C18" t="str">
        <f t="shared" si="0"/>
        <v>18/01/01</v>
      </c>
      <c r="D18" t="str">
        <f t="shared" si="1"/>
        <v>ALBANY</v>
      </c>
      <c r="E18" s="5">
        <v>22.02</v>
      </c>
      <c r="F18" s="5">
        <v>22.81</v>
      </c>
      <c r="G18" s="5">
        <v>24.22</v>
      </c>
      <c r="H18" s="5">
        <v>370.94</v>
      </c>
      <c r="I18" s="5">
        <v>22.61</v>
      </c>
      <c r="J18" s="5">
        <v>23.47</v>
      </c>
      <c r="K18" s="5">
        <v>78.72</v>
      </c>
      <c r="L18" s="5">
        <v>78.72</v>
      </c>
      <c r="M18" s="5">
        <v>19.600000000000001</v>
      </c>
      <c r="N18" s="5">
        <v>21.17</v>
      </c>
      <c r="O18" s="5">
        <v>309.85000000000002</v>
      </c>
    </row>
    <row r="19" spans="1:15" x14ac:dyDescent="0.2">
      <c r="A19" s="4" t="str">
        <f>"0179766202"</f>
        <v>0179766202</v>
      </c>
      <c r="B19" t="s">
        <v>101</v>
      </c>
      <c r="C19" t="str">
        <f t="shared" si="0"/>
        <v>18/01/01</v>
      </c>
      <c r="D19" t="str">
        <f>"ALLEGANY"</f>
        <v>ALLEGANY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16.38</v>
      </c>
      <c r="N19" s="5">
        <v>0</v>
      </c>
      <c r="O19" s="5">
        <v>0</v>
      </c>
    </row>
    <row r="20" spans="1:15" x14ac:dyDescent="0.2">
      <c r="A20" s="4" t="str">
        <f>"0090452702"</f>
        <v>0090452702</v>
      </c>
      <c r="B20" t="s">
        <v>31</v>
      </c>
      <c r="C20" t="str">
        <f t="shared" si="0"/>
        <v>18/01/01</v>
      </c>
      <c r="D20" t="str">
        <f>"ALLEGANY"</f>
        <v>ALLEGANY</v>
      </c>
      <c r="E20" s="5">
        <v>25.69</v>
      </c>
      <c r="F20" s="5">
        <v>26.22</v>
      </c>
      <c r="G20" s="5">
        <v>0</v>
      </c>
      <c r="H20" s="5">
        <v>0</v>
      </c>
      <c r="I20" s="5">
        <v>0</v>
      </c>
      <c r="J20" s="5">
        <v>0</v>
      </c>
      <c r="K20" s="5">
        <v>74.17</v>
      </c>
      <c r="L20" s="5">
        <v>74.2</v>
      </c>
      <c r="M20" s="5">
        <v>0</v>
      </c>
      <c r="N20" s="5">
        <v>0</v>
      </c>
      <c r="O20" s="5">
        <v>0</v>
      </c>
    </row>
    <row r="21" spans="1:15" x14ac:dyDescent="0.2">
      <c r="A21" s="4" t="str">
        <f>"0059034503"</f>
        <v>0059034503</v>
      </c>
      <c r="B21" t="s">
        <v>19</v>
      </c>
      <c r="C21" t="str">
        <f t="shared" si="0"/>
        <v>18/01/01</v>
      </c>
      <c r="D21" t="str">
        <f t="shared" ref="D21:D27" si="2">"BROOME"</f>
        <v>BROOME</v>
      </c>
      <c r="E21" s="5">
        <v>22.66</v>
      </c>
      <c r="F21" s="5">
        <v>23.44</v>
      </c>
      <c r="G21" s="5">
        <v>0</v>
      </c>
      <c r="H21" s="5">
        <v>0</v>
      </c>
      <c r="I21" s="5">
        <v>22.69</v>
      </c>
      <c r="J21" s="5">
        <v>23.55</v>
      </c>
      <c r="K21" s="5">
        <v>106.38</v>
      </c>
      <c r="L21" s="5">
        <v>106.38</v>
      </c>
      <c r="M21" s="5">
        <v>0</v>
      </c>
      <c r="N21" s="5">
        <v>0</v>
      </c>
      <c r="O21" s="5">
        <v>0</v>
      </c>
    </row>
    <row r="22" spans="1:15" x14ac:dyDescent="0.2">
      <c r="A22" s="4" t="str">
        <f>"0449064403"</f>
        <v>0449064403</v>
      </c>
      <c r="B22" t="s">
        <v>156</v>
      </c>
      <c r="C22" t="str">
        <f t="shared" si="0"/>
        <v>18/01/01</v>
      </c>
      <c r="D22" t="str">
        <f t="shared" si="2"/>
        <v>BROOME</v>
      </c>
      <c r="E22" s="5">
        <v>15.02</v>
      </c>
      <c r="F22" s="5">
        <v>15.8</v>
      </c>
      <c r="G22" s="5">
        <v>0</v>
      </c>
      <c r="H22" s="5">
        <v>0</v>
      </c>
      <c r="I22" s="5">
        <v>0</v>
      </c>
      <c r="J22" s="5">
        <v>0</v>
      </c>
      <c r="K22" s="5">
        <v>50.11</v>
      </c>
      <c r="L22" s="5">
        <v>0</v>
      </c>
      <c r="M22" s="5">
        <v>0</v>
      </c>
      <c r="N22" s="5">
        <v>0</v>
      </c>
      <c r="O22" s="5">
        <v>0</v>
      </c>
    </row>
    <row r="23" spans="1:15" x14ac:dyDescent="0.2">
      <c r="A23" s="4" t="str">
        <f>"0099144203"</f>
        <v>0099144203</v>
      </c>
      <c r="B23" t="s">
        <v>43</v>
      </c>
      <c r="C23" t="str">
        <f t="shared" si="0"/>
        <v>18/01/01</v>
      </c>
      <c r="D23" t="str">
        <f t="shared" si="2"/>
        <v>BROOME</v>
      </c>
      <c r="E23" s="5">
        <v>20.69</v>
      </c>
      <c r="F23" s="5">
        <v>21.82</v>
      </c>
      <c r="G23" s="5">
        <v>0</v>
      </c>
      <c r="H23" s="5">
        <v>0</v>
      </c>
      <c r="I23" s="5">
        <v>20.71</v>
      </c>
      <c r="J23" s="5">
        <v>21.06</v>
      </c>
      <c r="K23" s="5">
        <v>84.74</v>
      </c>
      <c r="L23" s="5">
        <v>0</v>
      </c>
      <c r="M23" s="5">
        <v>0</v>
      </c>
      <c r="N23" s="5">
        <v>0</v>
      </c>
      <c r="O23" s="5">
        <v>0</v>
      </c>
    </row>
    <row r="24" spans="1:15" x14ac:dyDescent="0.2">
      <c r="A24" s="4" t="str">
        <f>"0059035403"</f>
        <v>0059035403</v>
      </c>
      <c r="B24" t="s">
        <v>20</v>
      </c>
      <c r="C24" t="str">
        <f t="shared" si="0"/>
        <v>18/01/01</v>
      </c>
      <c r="D24" t="str">
        <f t="shared" si="2"/>
        <v>BROOME</v>
      </c>
      <c r="E24" s="5">
        <v>23.09</v>
      </c>
      <c r="F24" s="5">
        <v>23.87</v>
      </c>
      <c r="G24" s="5">
        <v>24.22</v>
      </c>
      <c r="H24" s="5">
        <v>285.74</v>
      </c>
      <c r="I24" s="5">
        <v>23.12</v>
      </c>
      <c r="J24" s="5">
        <v>23.97</v>
      </c>
      <c r="K24" s="5">
        <v>94.17</v>
      </c>
      <c r="L24" s="5">
        <v>156.22999999999999</v>
      </c>
      <c r="M24" s="5">
        <v>22.5</v>
      </c>
      <c r="N24" s="5">
        <v>24.6</v>
      </c>
      <c r="O24" s="5">
        <v>256.93</v>
      </c>
    </row>
    <row r="25" spans="1:15" x14ac:dyDescent="0.2">
      <c r="A25" s="4" t="str">
        <f>"0174116603"</f>
        <v>0174116603</v>
      </c>
      <c r="B25" t="s">
        <v>94</v>
      </c>
      <c r="C25" t="str">
        <f t="shared" si="0"/>
        <v>18/01/01</v>
      </c>
      <c r="D25" t="str">
        <f t="shared" si="2"/>
        <v>BROOME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16.28</v>
      </c>
      <c r="N25" s="5">
        <v>18.89</v>
      </c>
      <c r="O25" s="5">
        <v>0</v>
      </c>
    </row>
    <row r="26" spans="1:15" x14ac:dyDescent="0.2">
      <c r="A26" s="4" t="str">
        <f>"0105243703"</f>
        <v>0105243703</v>
      </c>
      <c r="B26" t="s">
        <v>47</v>
      </c>
      <c r="C26" t="str">
        <f t="shared" si="0"/>
        <v>18/01/01</v>
      </c>
      <c r="D26" t="str">
        <f t="shared" si="2"/>
        <v>BROOME</v>
      </c>
      <c r="E26" s="5">
        <v>24.3</v>
      </c>
      <c r="F26" s="5">
        <v>24.6</v>
      </c>
      <c r="G26" s="5">
        <v>27.07</v>
      </c>
      <c r="H26" s="5">
        <v>274.70999999999998</v>
      </c>
      <c r="I26" s="5">
        <v>22.93</v>
      </c>
      <c r="J26" s="5">
        <v>27.25</v>
      </c>
      <c r="K26" s="5">
        <v>130.91999999999999</v>
      </c>
      <c r="L26" s="5">
        <v>0</v>
      </c>
      <c r="M26" s="5">
        <v>22.04</v>
      </c>
      <c r="N26" s="5">
        <v>24.44</v>
      </c>
      <c r="O26" s="5">
        <v>280.86</v>
      </c>
    </row>
    <row r="27" spans="1:15" x14ac:dyDescent="0.2">
      <c r="A27" s="4" t="str">
        <f>"0447334103"</f>
        <v>0447334103</v>
      </c>
      <c r="B27" t="s">
        <v>155</v>
      </c>
      <c r="C27" t="str">
        <f t="shared" si="0"/>
        <v>18/01/01</v>
      </c>
      <c r="D27" t="str">
        <f t="shared" si="2"/>
        <v>BROOME</v>
      </c>
      <c r="E27" s="5">
        <v>22.26</v>
      </c>
      <c r="F27" s="5">
        <v>22.68</v>
      </c>
      <c r="G27" s="5">
        <v>23.9</v>
      </c>
      <c r="H27" s="5">
        <v>275.86</v>
      </c>
      <c r="I27" s="5">
        <v>22.3</v>
      </c>
      <c r="J27" s="5">
        <v>23.14</v>
      </c>
      <c r="K27" s="5">
        <v>51.82</v>
      </c>
      <c r="L27" s="5">
        <v>51.82</v>
      </c>
      <c r="M27" s="5">
        <v>21.18</v>
      </c>
      <c r="N27" s="5">
        <v>22.75</v>
      </c>
      <c r="O27" s="5">
        <v>260.25</v>
      </c>
    </row>
    <row r="28" spans="1:15" x14ac:dyDescent="0.2">
      <c r="A28" s="4" t="str">
        <f>"0090452704"</f>
        <v>0090452704</v>
      </c>
      <c r="B28" t="s">
        <v>31</v>
      </c>
      <c r="C28" t="str">
        <f t="shared" si="0"/>
        <v>18/01/01</v>
      </c>
      <c r="D28" t="str">
        <f>"CATTARAUGUS"</f>
        <v>CATTARAUGUS</v>
      </c>
      <c r="E28" s="5">
        <v>25.79</v>
      </c>
      <c r="F28" s="5">
        <v>26.23</v>
      </c>
      <c r="G28" s="5">
        <v>0</v>
      </c>
      <c r="H28" s="5">
        <v>0</v>
      </c>
      <c r="I28" s="5">
        <v>0</v>
      </c>
      <c r="J28" s="5">
        <v>0</v>
      </c>
      <c r="K28" s="5">
        <v>61.59</v>
      </c>
      <c r="L28" s="5">
        <v>61.59</v>
      </c>
      <c r="M28" s="5">
        <v>0</v>
      </c>
      <c r="N28" s="5">
        <v>0</v>
      </c>
      <c r="O28" s="5">
        <v>0</v>
      </c>
    </row>
    <row r="29" spans="1:15" x14ac:dyDescent="0.2">
      <c r="A29" s="4" t="str">
        <f>"0170770805"</f>
        <v>0170770805</v>
      </c>
      <c r="B29" t="s">
        <v>86</v>
      </c>
      <c r="C29" t="str">
        <f t="shared" si="0"/>
        <v>18/01/01</v>
      </c>
      <c r="D29" t="str">
        <f>"CAYUGA"</f>
        <v>CAYUGA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19.59</v>
      </c>
      <c r="N29" s="5">
        <v>0</v>
      </c>
      <c r="O29" s="5">
        <v>0</v>
      </c>
    </row>
    <row r="30" spans="1:15" x14ac:dyDescent="0.2">
      <c r="A30" s="4" t="str">
        <f>"0372842505"</f>
        <v>0372842505</v>
      </c>
      <c r="B30" t="s">
        <v>142</v>
      </c>
      <c r="C30" t="str">
        <f t="shared" si="0"/>
        <v>18/01/01</v>
      </c>
      <c r="D30" t="str">
        <f>"CAYUGA"</f>
        <v>CAYUGA</v>
      </c>
      <c r="E30" s="5">
        <v>25.3</v>
      </c>
      <c r="F30" s="5">
        <v>25.3</v>
      </c>
      <c r="G30" s="5">
        <v>0</v>
      </c>
      <c r="H30" s="5">
        <v>302.52</v>
      </c>
      <c r="I30" s="5">
        <v>25.3</v>
      </c>
      <c r="J30" s="5">
        <v>25.3</v>
      </c>
      <c r="K30" s="5">
        <v>102.43</v>
      </c>
      <c r="L30" s="5">
        <v>102.43</v>
      </c>
      <c r="M30" s="5">
        <v>23.61</v>
      </c>
      <c r="N30" s="5">
        <v>25.1</v>
      </c>
      <c r="O30" s="5">
        <v>297.54000000000002</v>
      </c>
    </row>
    <row r="31" spans="1:15" x14ac:dyDescent="0.2">
      <c r="A31" s="4" t="str">
        <f>"0105243705"</f>
        <v>0105243705</v>
      </c>
      <c r="B31" t="s">
        <v>47</v>
      </c>
      <c r="C31" t="str">
        <f t="shared" si="0"/>
        <v>18/01/01</v>
      </c>
      <c r="D31" t="str">
        <f>"CAYUGA"</f>
        <v>CAYUGA</v>
      </c>
      <c r="E31" s="5">
        <v>24.59</v>
      </c>
      <c r="F31" s="5">
        <v>24.95</v>
      </c>
      <c r="G31" s="5">
        <v>28.32</v>
      </c>
      <c r="H31" s="5">
        <v>275.16000000000003</v>
      </c>
      <c r="I31" s="5">
        <v>27.97</v>
      </c>
      <c r="J31" s="5">
        <v>28.13</v>
      </c>
      <c r="K31" s="5">
        <v>122.99</v>
      </c>
      <c r="L31" s="5">
        <v>0</v>
      </c>
      <c r="M31" s="5">
        <v>22.06</v>
      </c>
      <c r="N31" s="5">
        <v>24.49</v>
      </c>
      <c r="O31" s="5">
        <v>281.18</v>
      </c>
    </row>
    <row r="32" spans="1:15" x14ac:dyDescent="0.2">
      <c r="A32" s="4" t="str">
        <f>"0081103206"</f>
        <v>0081103206</v>
      </c>
      <c r="B32" t="s">
        <v>24</v>
      </c>
      <c r="C32" t="str">
        <f t="shared" si="0"/>
        <v>18/01/01</v>
      </c>
      <c r="D32" t="str">
        <f>"CHAUTAUQUA"</f>
        <v>CHAUTAUQUA</v>
      </c>
      <c r="E32" s="5">
        <v>21.79</v>
      </c>
      <c r="F32" s="5">
        <v>22.12</v>
      </c>
      <c r="G32" s="5">
        <v>24.58</v>
      </c>
      <c r="H32" s="5">
        <v>0</v>
      </c>
      <c r="I32" s="5">
        <v>22.5</v>
      </c>
      <c r="J32" s="5">
        <v>0</v>
      </c>
      <c r="K32" s="5">
        <v>47.8</v>
      </c>
      <c r="L32" s="5">
        <v>0</v>
      </c>
      <c r="M32" s="5">
        <v>0</v>
      </c>
      <c r="N32" s="5">
        <v>0</v>
      </c>
      <c r="O32" s="5">
        <v>0</v>
      </c>
    </row>
    <row r="33" spans="1:15" x14ac:dyDescent="0.2">
      <c r="A33" s="4" t="str">
        <f>"0118018906"</f>
        <v>0118018906</v>
      </c>
      <c r="B33" t="s">
        <v>58</v>
      </c>
      <c r="C33" t="str">
        <f t="shared" si="0"/>
        <v>18/01/01</v>
      </c>
      <c r="D33" t="str">
        <f>"CHAUTAUQUA"</f>
        <v>CHAUTAUQUA</v>
      </c>
      <c r="E33" s="5">
        <v>23.5</v>
      </c>
      <c r="F33" s="5">
        <v>23.59</v>
      </c>
      <c r="G33" s="5">
        <v>26.25</v>
      </c>
      <c r="H33" s="5">
        <v>257.39999999999998</v>
      </c>
      <c r="I33" s="5">
        <v>25.08</v>
      </c>
      <c r="J33" s="5">
        <v>24.8</v>
      </c>
      <c r="K33" s="5">
        <v>30.28</v>
      </c>
      <c r="L33" s="5">
        <v>0</v>
      </c>
      <c r="M33" s="5">
        <v>15.31</v>
      </c>
      <c r="N33" s="5">
        <v>32.11</v>
      </c>
      <c r="O33" s="5">
        <v>268.95999999999998</v>
      </c>
    </row>
    <row r="34" spans="1:15" x14ac:dyDescent="0.2">
      <c r="A34" s="4" t="str">
        <f>"0081104106"</f>
        <v>0081104106</v>
      </c>
      <c r="B34" t="s">
        <v>25</v>
      </c>
      <c r="C34" t="str">
        <f t="shared" si="0"/>
        <v>18/01/01</v>
      </c>
      <c r="D34" t="str">
        <f>"CHAUTAUQUA"</f>
        <v>CHAUTAUQUA</v>
      </c>
      <c r="E34" s="5">
        <v>19.36</v>
      </c>
      <c r="F34" s="5">
        <v>23.13</v>
      </c>
      <c r="G34" s="5">
        <v>24.62</v>
      </c>
      <c r="H34" s="5">
        <v>0</v>
      </c>
      <c r="I34" s="5">
        <v>21.98</v>
      </c>
      <c r="J34" s="5">
        <v>20.81</v>
      </c>
      <c r="K34" s="5">
        <v>63.93</v>
      </c>
      <c r="L34" s="5">
        <v>0</v>
      </c>
      <c r="M34" s="5">
        <v>0</v>
      </c>
      <c r="N34" s="5">
        <v>0</v>
      </c>
      <c r="O34" s="5">
        <v>0</v>
      </c>
    </row>
    <row r="35" spans="1:15" x14ac:dyDescent="0.2">
      <c r="A35" s="4" t="str">
        <f>"0080671706"</f>
        <v>0080671706</v>
      </c>
      <c r="B35" t="s">
        <v>23</v>
      </c>
      <c r="C35" t="str">
        <f t="shared" si="0"/>
        <v>18/01/01</v>
      </c>
      <c r="D35" t="str">
        <f>"CHAUTAUQUA"</f>
        <v>CHAUTAUQUA</v>
      </c>
      <c r="E35" s="5">
        <v>22.03</v>
      </c>
      <c r="F35" s="5">
        <v>21.85</v>
      </c>
      <c r="G35" s="5">
        <v>22.77</v>
      </c>
      <c r="H35" s="5">
        <v>0</v>
      </c>
      <c r="I35" s="5">
        <v>0</v>
      </c>
      <c r="J35" s="5">
        <v>0</v>
      </c>
      <c r="K35" s="5">
        <v>94.53</v>
      </c>
      <c r="L35" s="5">
        <v>0</v>
      </c>
      <c r="M35" s="5">
        <v>0</v>
      </c>
      <c r="N35" s="5">
        <v>0</v>
      </c>
      <c r="O35" s="5">
        <v>0</v>
      </c>
    </row>
    <row r="36" spans="1:15" x14ac:dyDescent="0.2">
      <c r="A36" s="4" t="str">
        <f>"0419753106"</f>
        <v>0419753106</v>
      </c>
      <c r="B36" t="s">
        <v>150</v>
      </c>
      <c r="C36" t="str">
        <f t="shared" si="0"/>
        <v>18/01/01</v>
      </c>
      <c r="D36" t="str">
        <f>"CHAUTAUQUA"</f>
        <v>CHAUTAUQUA</v>
      </c>
      <c r="E36" s="5">
        <v>24.55</v>
      </c>
      <c r="F36" s="5">
        <v>25.61</v>
      </c>
      <c r="G36" s="5">
        <v>30.67</v>
      </c>
      <c r="H36" s="5">
        <v>295.95</v>
      </c>
      <c r="I36" s="5">
        <v>30.45</v>
      </c>
      <c r="J36" s="5">
        <v>29.68</v>
      </c>
      <c r="K36" s="5">
        <v>112.41</v>
      </c>
      <c r="L36" s="5">
        <v>112.41</v>
      </c>
      <c r="M36" s="5">
        <v>28.92</v>
      </c>
      <c r="N36" s="5">
        <v>32.049999999999997</v>
      </c>
      <c r="O36" s="5">
        <v>366.79</v>
      </c>
    </row>
    <row r="37" spans="1:15" x14ac:dyDescent="0.2">
      <c r="A37" s="4" t="str">
        <f>"0179766207"</f>
        <v>0179766207</v>
      </c>
      <c r="B37" t="s">
        <v>101</v>
      </c>
      <c r="C37" t="str">
        <f t="shared" si="0"/>
        <v>18/01/01</v>
      </c>
      <c r="D37" t="str">
        <f>"CHEMUNG"</f>
        <v>CHEMUNG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16.38</v>
      </c>
      <c r="N37" s="5">
        <v>0</v>
      </c>
      <c r="O37" s="5">
        <v>0</v>
      </c>
    </row>
    <row r="38" spans="1:15" x14ac:dyDescent="0.2">
      <c r="A38" s="4" t="str">
        <f>"0194568807"</f>
        <v>0194568807</v>
      </c>
      <c r="B38" t="s">
        <v>105</v>
      </c>
      <c r="C38" t="str">
        <f t="shared" si="0"/>
        <v>18/01/01</v>
      </c>
      <c r="D38" t="str">
        <f>"CHEMUNG"</f>
        <v>CHEMUNG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15.78</v>
      </c>
      <c r="N38" s="5">
        <v>0</v>
      </c>
      <c r="O38" s="5">
        <v>0</v>
      </c>
    </row>
    <row r="39" spans="1:15" x14ac:dyDescent="0.2">
      <c r="A39" s="4" t="str">
        <f>"0090645007"</f>
        <v>0090645007</v>
      </c>
      <c r="B39" t="s">
        <v>32</v>
      </c>
      <c r="C39" t="str">
        <f t="shared" si="0"/>
        <v>18/01/01</v>
      </c>
      <c r="D39" t="str">
        <f>"CHEMUNG"</f>
        <v>CHEMUNG</v>
      </c>
      <c r="E39" s="5">
        <v>23.38</v>
      </c>
      <c r="F39" s="5">
        <v>24.04</v>
      </c>
      <c r="G39" s="5">
        <v>26</v>
      </c>
      <c r="H39" s="5">
        <v>0</v>
      </c>
      <c r="I39" s="5">
        <v>24.86</v>
      </c>
      <c r="J39" s="5">
        <v>24.51</v>
      </c>
      <c r="K39" s="5">
        <v>93.36</v>
      </c>
      <c r="L39" s="5">
        <v>0</v>
      </c>
      <c r="M39" s="5">
        <v>0</v>
      </c>
      <c r="N39" s="5">
        <v>0</v>
      </c>
      <c r="O39" s="5">
        <v>0</v>
      </c>
    </row>
    <row r="40" spans="1:15" x14ac:dyDescent="0.2">
      <c r="A40" s="4" t="str">
        <f>"0080671707"</f>
        <v>0080671707</v>
      </c>
      <c r="B40" t="s">
        <v>23</v>
      </c>
      <c r="C40" t="str">
        <f t="shared" si="0"/>
        <v>18/01/01</v>
      </c>
      <c r="D40" t="str">
        <f>"CHEMUNG"</f>
        <v>CHEMUNG</v>
      </c>
      <c r="E40" s="5">
        <v>19.579999999999998</v>
      </c>
      <c r="F40" s="5">
        <v>20.69</v>
      </c>
      <c r="G40" s="5">
        <v>0</v>
      </c>
      <c r="H40" s="5">
        <v>0</v>
      </c>
      <c r="I40" s="5">
        <v>19.59</v>
      </c>
      <c r="J40" s="5">
        <v>20.68</v>
      </c>
      <c r="K40" s="5">
        <v>89.6</v>
      </c>
      <c r="L40" s="5">
        <v>0</v>
      </c>
      <c r="M40" s="5">
        <v>0</v>
      </c>
      <c r="N40" s="5">
        <v>0</v>
      </c>
      <c r="O40" s="5">
        <v>0</v>
      </c>
    </row>
    <row r="41" spans="1:15" x14ac:dyDescent="0.2">
      <c r="A41" s="4" t="str">
        <f>"0105243707"</f>
        <v>0105243707</v>
      </c>
      <c r="B41" t="s">
        <v>47</v>
      </c>
      <c r="C41" t="str">
        <f t="shared" si="0"/>
        <v>18/01/01</v>
      </c>
      <c r="D41" t="str">
        <f>"CHEMUNG"</f>
        <v>CHEMUNG</v>
      </c>
      <c r="E41" s="5">
        <v>24.39</v>
      </c>
      <c r="F41" s="5">
        <v>24.93</v>
      </c>
      <c r="G41" s="5">
        <v>27.94</v>
      </c>
      <c r="H41" s="5">
        <v>274.83</v>
      </c>
      <c r="I41" s="5">
        <v>27.73</v>
      </c>
      <c r="J41" s="5">
        <v>27.95</v>
      </c>
      <c r="K41" s="5">
        <v>123.24</v>
      </c>
      <c r="L41" s="5">
        <v>0</v>
      </c>
      <c r="M41" s="5">
        <v>22.05</v>
      </c>
      <c r="N41" s="5">
        <v>24.48</v>
      </c>
      <c r="O41" s="5">
        <v>280.98</v>
      </c>
    </row>
    <row r="42" spans="1:15" x14ac:dyDescent="0.2">
      <c r="A42" s="4" t="str">
        <f>"0281324308"</f>
        <v>0281324308</v>
      </c>
      <c r="B42" t="s">
        <v>126</v>
      </c>
      <c r="C42" t="str">
        <f t="shared" si="0"/>
        <v>18/01/01</v>
      </c>
      <c r="D42" t="str">
        <f>"CHENANGO"</f>
        <v>CHENANGO</v>
      </c>
      <c r="E42" s="5">
        <v>27.42</v>
      </c>
      <c r="F42" s="5">
        <v>27.42</v>
      </c>
      <c r="G42" s="5">
        <v>0</v>
      </c>
      <c r="H42" s="5">
        <v>0</v>
      </c>
      <c r="I42" s="5">
        <v>0</v>
      </c>
      <c r="J42" s="5">
        <v>0</v>
      </c>
      <c r="K42" s="5">
        <v>106.98</v>
      </c>
      <c r="L42" s="5">
        <v>106.98</v>
      </c>
      <c r="M42" s="5">
        <v>0</v>
      </c>
      <c r="N42" s="5">
        <v>0</v>
      </c>
      <c r="O42" s="5">
        <v>0</v>
      </c>
    </row>
    <row r="43" spans="1:15" x14ac:dyDescent="0.2">
      <c r="A43" s="4" t="str">
        <f>"0097412108"</f>
        <v>0097412108</v>
      </c>
      <c r="B43" t="s">
        <v>40</v>
      </c>
      <c r="C43" t="str">
        <f t="shared" si="0"/>
        <v>18/01/01</v>
      </c>
      <c r="D43" t="str">
        <f>"CHENANGO"</f>
        <v>CHENANGO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15.31</v>
      </c>
      <c r="N43" s="5">
        <v>15.42</v>
      </c>
      <c r="O43" s="5">
        <v>0</v>
      </c>
    </row>
    <row r="44" spans="1:15" x14ac:dyDescent="0.2">
      <c r="A44" s="4" t="str">
        <f>"0105243708"</f>
        <v>0105243708</v>
      </c>
      <c r="B44" t="s">
        <v>47</v>
      </c>
      <c r="C44" t="str">
        <f t="shared" si="0"/>
        <v>18/01/01</v>
      </c>
      <c r="D44" t="str">
        <f>"CHENANGO"</f>
        <v>CHENANGO</v>
      </c>
      <c r="E44" s="5">
        <v>26.93</v>
      </c>
      <c r="F44" s="5">
        <v>26.36</v>
      </c>
      <c r="G44" s="5">
        <v>29.54</v>
      </c>
      <c r="H44" s="5">
        <v>297.87</v>
      </c>
      <c r="I44" s="5">
        <v>29.33</v>
      </c>
      <c r="J44" s="5">
        <v>29.4</v>
      </c>
      <c r="K44" s="5">
        <v>166.73</v>
      </c>
      <c r="L44" s="5">
        <v>0</v>
      </c>
      <c r="M44" s="5">
        <v>27.2</v>
      </c>
      <c r="N44" s="5">
        <v>29.4</v>
      </c>
      <c r="O44" s="5">
        <v>339.59</v>
      </c>
    </row>
    <row r="45" spans="1:15" x14ac:dyDescent="0.2">
      <c r="A45" s="4" t="str">
        <f>"0240779809"</f>
        <v>0240779809</v>
      </c>
      <c r="B45" t="s">
        <v>120</v>
      </c>
      <c r="C45" t="str">
        <f t="shared" si="0"/>
        <v>18/01/01</v>
      </c>
      <c r="D45" t="str">
        <f>"CLINTON"</f>
        <v>CLINTON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19.88</v>
      </c>
      <c r="N45" s="5">
        <v>20.71</v>
      </c>
      <c r="O45" s="5">
        <v>235.41</v>
      </c>
    </row>
    <row r="46" spans="1:15" x14ac:dyDescent="0.2">
      <c r="A46" s="4" t="str">
        <f>"0089173609"</f>
        <v>0089173609</v>
      </c>
      <c r="B46" t="s">
        <v>30</v>
      </c>
      <c r="C46" t="str">
        <f t="shared" si="0"/>
        <v>18/01/01</v>
      </c>
      <c r="D46" t="str">
        <f>"CLINTON"</f>
        <v>CLINTON</v>
      </c>
      <c r="E46" s="5">
        <v>24.87</v>
      </c>
      <c r="F46" s="5">
        <v>25.17</v>
      </c>
      <c r="G46" s="5">
        <v>26.62</v>
      </c>
      <c r="H46" s="5">
        <v>0</v>
      </c>
      <c r="I46" s="5">
        <v>26.41</v>
      </c>
      <c r="J46" s="5">
        <v>25.63</v>
      </c>
      <c r="K46" s="5">
        <v>132.24</v>
      </c>
      <c r="L46" s="5">
        <v>133.5</v>
      </c>
      <c r="M46" s="5">
        <v>19.86</v>
      </c>
      <c r="N46" s="5">
        <v>0</v>
      </c>
      <c r="O46" s="5">
        <v>0</v>
      </c>
    </row>
    <row r="47" spans="1:15" x14ac:dyDescent="0.2">
      <c r="A47" s="4" t="str">
        <f>"0099143310"</f>
        <v>0099143310</v>
      </c>
      <c r="B47" t="s">
        <v>42</v>
      </c>
      <c r="C47" t="str">
        <f t="shared" si="0"/>
        <v>18/01/01</v>
      </c>
      <c r="D47" t="str">
        <f>"COLUMBIA"</f>
        <v>COLUMBIA</v>
      </c>
      <c r="E47" s="5">
        <v>22.23</v>
      </c>
      <c r="F47" s="5">
        <v>22.15</v>
      </c>
      <c r="G47" s="5">
        <v>30.2</v>
      </c>
      <c r="H47" s="5">
        <v>300.42</v>
      </c>
      <c r="I47" s="5">
        <v>31.55</v>
      </c>
      <c r="J47" s="5">
        <v>27.52</v>
      </c>
      <c r="K47" s="5">
        <v>129.28</v>
      </c>
      <c r="L47" s="5">
        <v>129.27000000000001</v>
      </c>
      <c r="M47" s="5">
        <v>18.82</v>
      </c>
      <c r="N47" s="5">
        <v>26.42</v>
      </c>
      <c r="O47" s="5">
        <v>314.22000000000003</v>
      </c>
    </row>
    <row r="48" spans="1:15" x14ac:dyDescent="0.2">
      <c r="A48" s="4" t="str">
        <f>"0188056010"</f>
        <v>0188056010</v>
      </c>
      <c r="B48" t="s">
        <v>104</v>
      </c>
      <c r="C48" t="str">
        <f t="shared" si="0"/>
        <v>18/01/01</v>
      </c>
      <c r="D48" t="str">
        <f>"COLUMBIA"</f>
        <v>COLUMBIA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17.07</v>
      </c>
      <c r="N48" s="5">
        <v>18.649999999999999</v>
      </c>
      <c r="O48" s="5">
        <v>223.83</v>
      </c>
    </row>
    <row r="49" spans="1:15" x14ac:dyDescent="0.2">
      <c r="A49" s="4" t="str">
        <f>"0215044310"</f>
        <v>0215044310</v>
      </c>
      <c r="B49" t="s">
        <v>110</v>
      </c>
      <c r="C49" t="str">
        <f t="shared" si="0"/>
        <v>18/01/01</v>
      </c>
      <c r="D49" t="str">
        <f>"COLUMBIA"</f>
        <v>COLUMBIA</v>
      </c>
      <c r="E49" s="5">
        <v>23.79</v>
      </c>
      <c r="F49" s="5">
        <v>23.25</v>
      </c>
      <c r="G49" s="5">
        <v>0</v>
      </c>
      <c r="H49" s="5">
        <v>0</v>
      </c>
      <c r="I49" s="5">
        <v>0</v>
      </c>
      <c r="J49" s="5">
        <v>0</v>
      </c>
      <c r="K49" s="5">
        <v>92</v>
      </c>
      <c r="L49" s="5">
        <v>92</v>
      </c>
      <c r="M49" s="5">
        <v>0</v>
      </c>
      <c r="N49" s="5">
        <v>0</v>
      </c>
      <c r="O49" s="5">
        <v>0</v>
      </c>
    </row>
    <row r="50" spans="1:15" x14ac:dyDescent="0.2">
      <c r="A50" s="4" t="str">
        <f>"0035491210"</f>
        <v>0035491210</v>
      </c>
      <c r="B50" t="s">
        <v>7</v>
      </c>
      <c r="C50" t="str">
        <f t="shared" si="0"/>
        <v>18/01/01</v>
      </c>
      <c r="D50" t="str">
        <f>"COLUMBIA"</f>
        <v>COLUMBIA</v>
      </c>
      <c r="E50" s="5">
        <v>23.92</v>
      </c>
      <c r="F50" s="5">
        <v>24.42</v>
      </c>
      <c r="G50" s="5">
        <v>31.12</v>
      </c>
      <c r="H50" s="5">
        <v>286.14</v>
      </c>
      <c r="I50" s="5">
        <v>25.86</v>
      </c>
      <c r="J50" s="5">
        <v>23.64</v>
      </c>
      <c r="K50" s="5">
        <v>166.98</v>
      </c>
      <c r="L50" s="5">
        <v>166.98</v>
      </c>
      <c r="M50" s="5">
        <v>18.98</v>
      </c>
      <c r="N50" s="5">
        <v>26.49</v>
      </c>
      <c r="O50" s="5">
        <v>309.01</v>
      </c>
    </row>
    <row r="51" spans="1:15" x14ac:dyDescent="0.2">
      <c r="A51" s="4" t="str">
        <f>"0170109110"</f>
        <v>0170109110</v>
      </c>
      <c r="B51" t="s">
        <v>85</v>
      </c>
      <c r="C51" t="str">
        <f t="shared" si="0"/>
        <v>18/01/01</v>
      </c>
      <c r="D51" t="str">
        <f>"COLUMBIA"</f>
        <v>COLUMBIA</v>
      </c>
      <c r="E51" s="5">
        <v>22.84</v>
      </c>
      <c r="F51" s="5">
        <v>23.1</v>
      </c>
      <c r="G51" s="5">
        <v>28.48</v>
      </c>
      <c r="H51" s="5">
        <v>274.36</v>
      </c>
      <c r="I51" s="5">
        <v>28.48</v>
      </c>
      <c r="J51" s="5">
        <v>28.48</v>
      </c>
      <c r="K51" s="5">
        <v>84.02</v>
      </c>
      <c r="L51" s="5">
        <v>84.02</v>
      </c>
      <c r="M51" s="5">
        <v>23.99</v>
      </c>
      <c r="N51" s="5">
        <v>25.56</v>
      </c>
      <c r="O51" s="5">
        <v>257.7</v>
      </c>
    </row>
    <row r="52" spans="1:15" x14ac:dyDescent="0.2">
      <c r="A52" s="4" t="str">
        <f>"0177831211"</f>
        <v>0177831211</v>
      </c>
      <c r="B52" t="s">
        <v>96</v>
      </c>
      <c r="C52" t="str">
        <f t="shared" si="0"/>
        <v>18/01/01</v>
      </c>
      <c r="D52" t="str">
        <f>"CORTLAND"</f>
        <v>CORTLAND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16.28</v>
      </c>
      <c r="N52" s="5">
        <v>17.12</v>
      </c>
      <c r="O52" s="5">
        <v>0</v>
      </c>
    </row>
    <row r="53" spans="1:15" x14ac:dyDescent="0.2">
      <c r="A53" s="4" t="str">
        <f>"0105243711"</f>
        <v>0105243711</v>
      </c>
      <c r="B53" t="s">
        <v>47</v>
      </c>
      <c r="C53" t="str">
        <f t="shared" si="0"/>
        <v>18/01/01</v>
      </c>
      <c r="D53" t="str">
        <f>"CORTLAND"</f>
        <v>CORTLAND</v>
      </c>
      <c r="E53" s="5">
        <v>25.04</v>
      </c>
      <c r="F53" s="5">
        <v>31.19</v>
      </c>
      <c r="G53" s="5">
        <v>28.32</v>
      </c>
      <c r="H53" s="5">
        <v>278.31</v>
      </c>
      <c r="I53" s="5">
        <v>27.92</v>
      </c>
      <c r="J53" s="5">
        <v>28.11</v>
      </c>
      <c r="K53" s="5">
        <v>135.66999999999999</v>
      </c>
      <c r="L53" s="5">
        <v>0</v>
      </c>
      <c r="M53" s="5">
        <v>22.18</v>
      </c>
      <c r="N53" s="5">
        <v>24.62</v>
      </c>
      <c r="O53" s="5">
        <v>282.32</v>
      </c>
    </row>
    <row r="54" spans="1:15" x14ac:dyDescent="0.2">
      <c r="A54" s="4" t="str">
        <f>"0281324312"</f>
        <v>0281324312</v>
      </c>
      <c r="B54" t="s">
        <v>127</v>
      </c>
      <c r="C54" t="str">
        <f t="shared" si="0"/>
        <v>18/01/01</v>
      </c>
      <c r="D54" t="str">
        <f t="shared" ref="D54:D59" si="3">"DELAWARE"</f>
        <v>DELAWARE</v>
      </c>
      <c r="E54" s="5">
        <v>22.87</v>
      </c>
      <c r="F54" s="5">
        <v>22.87</v>
      </c>
      <c r="G54" s="5">
        <v>0</v>
      </c>
      <c r="H54" s="5">
        <v>0</v>
      </c>
      <c r="I54" s="5">
        <v>0</v>
      </c>
      <c r="J54" s="5">
        <v>0</v>
      </c>
      <c r="K54" s="5">
        <v>106.98</v>
      </c>
      <c r="L54" s="5">
        <v>106.98</v>
      </c>
      <c r="M54" s="5">
        <v>0</v>
      </c>
      <c r="N54" s="5">
        <v>0</v>
      </c>
      <c r="O54" s="5">
        <v>0</v>
      </c>
    </row>
    <row r="55" spans="1:15" x14ac:dyDescent="0.2">
      <c r="A55" s="4" t="str">
        <f>"0240779812"</f>
        <v>0240779812</v>
      </c>
      <c r="B55" t="s">
        <v>120</v>
      </c>
      <c r="C55" t="str">
        <f t="shared" si="0"/>
        <v>18/01/01</v>
      </c>
      <c r="D55" t="str">
        <f t="shared" si="3"/>
        <v>DELAWARE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20.149999999999999</v>
      </c>
      <c r="N55" s="5">
        <v>21.77</v>
      </c>
      <c r="O55" s="5">
        <v>236.18</v>
      </c>
    </row>
    <row r="56" spans="1:15" x14ac:dyDescent="0.2">
      <c r="A56" s="4" t="str">
        <f>"0097412112"</f>
        <v>0097412112</v>
      </c>
      <c r="B56" t="s">
        <v>40</v>
      </c>
      <c r="C56" t="str">
        <f t="shared" si="0"/>
        <v>18/01/01</v>
      </c>
      <c r="D56" t="str">
        <f t="shared" si="3"/>
        <v>DELAWARE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16.739999999999998</v>
      </c>
      <c r="N56" s="5">
        <v>17.23</v>
      </c>
      <c r="O56" s="5">
        <v>0</v>
      </c>
    </row>
    <row r="57" spans="1:15" x14ac:dyDescent="0.2">
      <c r="A57" s="4" t="str">
        <f>"0106073712"</f>
        <v>0106073712</v>
      </c>
      <c r="B57" t="s">
        <v>49</v>
      </c>
      <c r="C57" t="str">
        <f t="shared" si="0"/>
        <v>18/01/01</v>
      </c>
      <c r="D57" t="str">
        <f t="shared" si="3"/>
        <v>DELAWARE</v>
      </c>
      <c r="E57" s="5">
        <v>17.27</v>
      </c>
      <c r="F57" s="5">
        <v>17.57</v>
      </c>
      <c r="G57" s="5">
        <v>0</v>
      </c>
      <c r="H57" s="5">
        <v>0</v>
      </c>
      <c r="I57" s="5">
        <v>0</v>
      </c>
      <c r="J57" s="5">
        <v>0</v>
      </c>
      <c r="K57" s="5">
        <v>81.2</v>
      </c>
      <c r="L57" s="5">
        <v>84.23</v>
      </c>
      <c r="M57" s="5">
        <v>0</v>
      </c>
      <c r="N57" s="5">
        <v>0</v>
      </c>
      <c r="O57" s="5">
        <v>0</v>
      </c>
    </row>
    <row r="58" spans="1:15" x14ac:dyDescent="0.2">
      <c r="A58" s="4" t="str">
        <f>"0035491212"</f>
        <v>0035491212</v>
      </c>
      <c r="B58" t="s">
        <v>7</v>
      </c>
      <c r="C58" t="str">
        <f t="shared" si="0"/>
        <v>18/01/01</v>
      </c>
      <c r="D58" t="str">
        <f t="shared" si="3"/>
        <v>DELAWARE</v>
      </c>
      <c r="E58" s="5">
        <v>23.88</v>
      </c>
      <c r="F58" s="5">
        <v>26.03</v>
      </c>
      <c r="G58" s="5">
        <v>27.66</v>
      </c>
      <c r="H58" s="5">
        <v>307.82</v>
      </c>
      <c r="I58" s="5">
        <v>26.17</v>
      </c>
      <c r="J58" s="5">
        <v>25.38</v>
      </c>
      <c r="K58" s="5">
        <v>147.31</v>
      </c>
      <c r="L58" s="5">
        <v>147.31</v>
      </c>
      <c r="M58" s="5">
        <v>22.99</v>
      </c>
      <c r="N58" s="5">
        <v>24.56</v>
      </c>
      <c r="O58" s="5">
        <v>285.08999999999997</v>
      </c>
    </row>
    <row r="59" spans="1:15" x14ac:dyDescent="0.2">
      <c r="A59" s="4" t="str">
        <f>"0170109112"</f>
        <v>0170109112</v>
      </c>
      <c r="B59" t="s">
        <v>85</v>
      </c>
      <c r="C59" t="str">
        <f t="shared" si="0"/>
        <v>18/01/01</v>
      </c>
      <c r="D59" t="str">
        <f t="shared" si="3"/>
        <v>DELAWARE</v>
      </c>
      <c r="E59" s="5">
        <v>22.39</v>
      </c>
      <c r="F59" s="5">
        <v>22.66</v>
      </c>
      <c r="G59" s="5">
        <v>25.78</v>
      </c>
      <c r="H59" s="5">
        <v>344.44</v>
      </c>
      <c r="I59" s="5">
        <v>25.56</v>
      </c>
      <c r="J59" s="5">
        <v>24.8</v>
      </c>
      <c r="K59" s="5">
        <v>84.01</v>
      </c>
      <c r="L59" s="5">
        <v>84.01</v>
      </c>
      <c r="M59" s="5">
        <v>19.28</v>
      </c>
      <c r="N59" s="5">
        <v>20.190000000000001</v>
      </c>
      <c r="O59" s="5">
        <v>308.33</v>
      </c>
    </row>
    <row r="60" spans="1:15" x14ac:dyDescent="0.2">
      <c r="A60" s="4" t="str">
        <f>"0128098213"</f>
        <v>0128098213</v>
      </c>
      <c r="B60" t="s">
        <v>63</v>
      </c>
      <c r="C60" t="str">
        <f t="shared" si="0"/>
        <v>18/01/01</v>
      </c>
      <c r="D60" t="str">
        <f t="shared" ref="D60:D69" si="4">"DUTCHESS"</f>
        <v>DUTCHESS</v>
      </c>
      <c r="E60" s="5">
        <v>22.69</v>
      </c>
      <c r="F60" s="5">
        <v>23.27</v>
      </c>
      <c r="G60" s="5">
        <v>27.71</v>
      </c>
      <c r="H60" s="5">
        <v>268.95999999999998</v>
      </c>
      <c r="I60" s="5">
        <v>27.1</v>
      </c>
      <c r="J60" s="5">
        <v>26.95</v>
      </c>
      <c r="K60" s="5">
        <v>132.47</v>
      </c>
      <c r="L60" s="5">
        <v>132.47</v>
      </c>
      <c r="M60" s="5">
        <v>23.42</v>
      </c>
      <c r="N60" s="5">
        <v>25</v>
      </c>
      <c r="O60" s="5">
        <v>243.87</v>
      </c>
    </row>
    <row r="61" spans="1:15" x14ac:dyDescent="0.2">
      <c r="A61" s="4" t="str">
        <f>"0099157513"</f>
        <v>0099157513</v>
      </c>
      <c r="B61" t="s">
        <v>44</v>
      </c>
      <c r="C61" t="str">
        <f t="shared" si="0"/>
        <v>18/01/01</v>
      </c>
      <c r="D61" t="str">
        <f t="shared" si="4"/>
        <v>DUTCHESS</v>
      </c>
      <c r="E61" s="5">
        <v>24.9</v>
      </c>
      <c r="F61" s="5">
        <v>28.06</v>
      </c>
      <c r="G61" s="5">
        <v>32.35</v>
      </c>
      <c r="H61" s="5">
        <v>355.52</v>
      </c>
      <c r="I61" s="5">
        <v>29.16</v>
      </c>
      <c r="J61" s="5">
        <v>30.86</v>
      </c>
      <c r="K61" s="5">
        <v>138.05000000000001</v>
      </c>
      <c r="L61" s="5">
        <v>138.05000000000001</v>
      </c>
      <c r="M61" s="5">
        <v>22.32</v>
      </c>
      <c r="N61" s="5">
        <v>29.74</v>
      </c>
      <c r="O61" s="5">
        <v>265.83999999999997</v>
      </c>
    </row>
    <row r="62" spans="1:15" x14ac:dyDescent="0.2">
      <c r="A62" s="4" t="str">
        <f>"0099143313"</f>
        <v>0099143313</v>
      </c>
      <c r="B62" t="s">
        <v>42</v>
      </c>
      <c r="C62" t="str">
        <f t="shared" si="0"/>
        <v>18/01/01</v>
      </c>
      <c r="D62" t="str">
        <f t="shared" si="4"/>
        <v>DUTCHESS</v>
      </c>
      <c r="E62" s="5">
        <v>21.53</v>
      </c>
      <c r="F62" s="5">
        <v>22.59</v>
      </c>
      <c r="G62" s="5">
        <v>23.89</v>
      </c>
      <c r="H62" s="5">
        <v>320.98</v>
      </c>
      <c r="I62" s="5">
        <v>29.22</v>
      </c>
      <c r="J62" s="5">
        <v>27.05</v>
      </c>
      <c r="K62" s="5">
        <v>126.53</v>
      </c>
      <c r="L62" s="5">
        <v>156.6</v>
      </c>
      <c r="M62" s="5">
        <v>18.940000000000001</v>
      </c>
      <c r="N62" s="5">
        <v>27.23</v>
      </c>
      <c r="O62" s="5">
        <v>310.20999999999998</v>
      </c>
    </row>
    <row r="63" spans="1:15" x14ac:dyDescent="0.2">
      <c r="A63" s="4" t="str">
        <f>"0116304213"</f>
        <v>0116304213</v>
      </c>
      <c r="B63" t="s">
        <v>57</v>
      </c>
      <c r="C63" t="str">
        <f t="shared" si="0"/>
        <v>18/01/01</v>
      </c>
      <c r="D63" t="str">
        <f t="shared" si="4"/>
        <v>DUTCHESS</v>
      </c>
      <c r="E63" s="5">
        <v>18.11</v>
      </c>
      <c r="F63" s="5">
        <v>21.46</v>
      </c>
      <c r="G63" s="5">
        <v>19.79</v>
      </c>
      <c r="H63" s="5">
        <v>238.72</v>
      </c>
      <c r="I63" s="5">
        <v>18.75</v>
      </c>
      <c r="J63" s="5">
        <v>19.600000000000001</v>
      </c>
      <c r="K63" s="5">
        <v>84.62</v>
      </c>
      <c r="L63" s="5">
        <v>91.07</v>
      </c>
      <c r="M63" s="5">
        <v>19.510000000000002</v>
      </c>
      <c r="N63" s="5">
        <v>21.08</v>
      </c>
      <c r="O63" s="5">
        <v>229.91</v>
      </c>
    </row>
    <row r="64" spans="1:15" x14ac:dyDescent="0.2">
      <c r="A64" s="4" t="str">
        <f>"0094476113"</f>
        <v>0094476113</v>
      </c>
      <c r="B64" t="s">
        <v>37</v>
      </c>
      <c r="C64" t="str">
        <f t="shared" si="0"/>
        <v>18/01/01</v>
      </c>
      <c r="D64" t="str">
        <f t="shared" si="4"/>
        <v>DUTCHESS</v>
      </c>
      <c r="E64" s="5">
        <v>0</v>
      </c>
      <c r="F64" s="5">
        <v>21.06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</row>
    <row r="65" spans="1:15" x14ac:dyDescent="0.2">
      <c r="A65" s="4" t="str">
        <f>"0324945613"</f>
        <v>0324945613</v>
      </c>
      <c r="B65" t="s">
        <v>133</v>
      </c>
      <c r="C65" t="str">
        <f t="shared" si="0"/>
        <v>18/01/01</v>
      </c>
      <c r="D65" t="str">
        <f t="shared" si="4"/>
        <v>DUTCHESS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17.25</v>
      </c>
      <c r="N65" s="5">
        <v>0</v>
      </c>
      <c r="O65" s="5">
        <v>221.78</v>
      </c>
    </row>
    <row r="66" spans="1:15" x14ac:dyDescent="0.2">
      <c r="A66" s="4" t="str">
        <f>"0173893013"</f>
        <v>0173893013</v>
      </c>
      <c r="B66" t="s">
        <v>91</v>
      </c>
      <c r="C66" t="str">
        <f t="shared" si="0"/>
        <v>18/01/01</v>
      </c>
      <c r="D66" t="str">
        <f t="shared" si="4"/>
        <v>DUTCHESS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17.09</v>
      </c>
      <c r="N66" s="5">
        <v>0</v>
      </c>
      <c r="O66" s="5">
        <v>0</v>
      </c>
    </row>
    <row r="67" spans="1:15" x14ac:dyDescent="0.2">
      <c r="A67" s="4" t="str">
        <f>"0134254313"</f>
        <v>0134254313</v>
      </c>
      <c r="B67" t="s">
        <v>65</v>
      </c>
      <c r="C67" t="str">
        <f t="shared" si="0"/>
        <v>18/01/01</v>
      </c>
      <c r="D67" t="str">
        <f t="shared" si="4"/>
        <v>DUTCHESS</v>
      </c>
      <c r="E67" s="5">
        <v>19.71</v>
      </c>
      <c r="F67" s="5">
        <v>20.48</v>
      </c>
      <c r="G67" s="5">
        <v>20.170000000000002</v>
      </c>
      <c r="H67" s="5">
        <v>259.14999999999998</v>
      </c>
      <c r="I67" s="5">
        <v>18.559999999999999</v>
      </c>
      <c r="J67" s="5">
        <v>19.420000000000002</v>
      </c>
      <c r="K67" s="5">
        <v>78.78</v>
      </c>
      <c r="L67" s="5">
        <v>0</v>
      </c>
      <c r="M67" s="5">
        <v>18.28</v>
      </c>
      <c r="N67" s="5">
        <v>19.850000000000001</v>
      </c>
      <c r="O67" s="5">
        <v>179.88</v>
      </c>
    </row>
    <row r="68" spans="1:15" x14ac:dyDescent="0.2">
      <c r="A68" s="4" t="str">
        <f>"0124722713"</f>
        <v>0124722713</v>
      </c>
      <c r="B68" t="s">
        <v>62</v>
      </c>
      <c r="C68" t="str">
        <f t="shared" si="0"/>
        <v>18/01/01</v>
      </c>
      <c r="D68" t="str">
        <f t="shared" si="4"/>
        <v>DUTCHESS</v>
      </c>
      <c r="E68" s="5">
        <v>22.2</v>
      </c>
      <c r="F68" s="5">
        <v>25.01</v>
      </c>
      <c r="G68" s="5">
        <v>0</v>
      </c>
      <c r="H68" s="5">
        <v>297.66000000000003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5">
        <v>0</v>
      </c>
      <c r="O68" s="5">
        <v>0</v>
      </c>
    </row>
    <row r="69" spans="1:15" x14ac:dyDescent="0.2">
      <c r="A69" s="4" t="str">
        <f>"0035491213"</f>
        <v>0035491213</v>
      </c>
      <c r="B69" t="s">
        <v>7</v>
      </c>
      <c r="C69" t="str">
        <f t="shared" ref="C69:C132" si="5">"18/01/01"</f>
        <v>18/01/01</v>
      </c>
      <c r="D69" t="str">
        <f t="shared" si="4"/>
        <v>DUTCHESS</v>
      </c>
      <c r="E69" s="5">
        <v>19.25</v>
      </c>
      <c r="F69" s="5">
        <v>19.73</v>
      </c>
      <c r="G69" s="5">
        <v>20.32</v>
      </c>
      <c r="H69" s="5">
        <v>248.81</v>
      </c>
      <c r="I69" s="5">
        <v>24.3</v>
      </c>
      <c r="J69" s="5">
        <v>24.62</v>
      </c>
      <c r="K69" s="5">
        <v>141.65</v>
      </c>
      <c r="L69" s="5">
        <v>114.94</v>
      </c>
      <c r="M69" s="5">
        <v>18.149999999999999</v>
      </c>
      <c r="N69" s="5">
        <v>20.25</v>
      </c>
      <c r="O69" s="5">
        <v>236.21</v>
      </c>
    </row>
    <row r="70" spans="1:15" x14ac:dyDescent="0.2">
      <c r="A70" s="4" t="str">
        <f>"0118018914"</f>
        <v>0118018914</v>
      </c>
      <c r="B70" t="s">
        <v>58</v>
      </c>
      <c r="C70" t="str">
        <f t="shared" si="5"/>
        <v>18/01/01</v>
      </c>
      <c r="D70" t="str">
        <f t="shared" ref="D70:D79" si="6">"ERIE"</f>
        <v>ERIE</v>
      </c>
      <c r="E70" s="5">
        <v>21.11</v>
      </c>
      <c r="F70" s="5">
        <v>21.89</v>
      </c>
      <c r="G70" s="5">
        <v>23.59</v>
      </c>
      <c r="H70" s="5">
        <v>267.22000000000003</v>
      </c>
      <c r="I70" s="5">
        <v>21.14</v>
      </c>
      <c r="J70" s="5">
        <v>22</v>
      </c>
      <c r="K70" s="5">
        <v>78.599999999999994</v>
      </c>
      <c r="L70" s="5">
        <v>0</v>
      </c>
      <c r="M70" s="5">
        <v>20.21</v>
      </c>
      <c r="N70" s="5">
        <v>28.29</v>
      </c>
      <c r="O70" s="5">
        <v>303.27999999999997</v>
      </c>
    </row>
    <row r="71" spans="1:15" x14ac:dyDescent="0.2">
      <c r="A71" s="4" t="str">
        <f>"0084696014"</f>
        <v>0084696014</v>
      </c>
      <c r="B71" t="s">
        <v>27</v>
      </c>
      <c r="C71" t="str">
        <f t="shared" si="5"/>
        <v>18/01/01</v>
      </c>
      <c r="D71" t="str">
        <f t="shared" si="6"/>
        <v>ERIE</v>
      </c>
      <c r="E71" s="5">
        <v>19.5</v>
      </c>
      <c r="F71" s="5">
        <v>19.8</v>
      </c>
      <c r="G71" s="5">
        <v>25.34</v>
      </c>
      <c r="H71" s="5">
        <v>307.82</v>
      </c>
      <c r="I71" s="5">
        <v>19.53</v>
      </c>
      <c r="J71" s="5">
        <v>20.28</v>
      </c>
      <c r="K71" s="5">
        <v>96.62</v>
      </c>
      <c r="L71" s="5">
        <v>0</v>
      </c>
      <c r="M71" s="5">
        <v>18.91</v>
      </c>
      <c r="N71" s="5">
        <v>24.1</v>
      </c>
      <c r="O71" s="5">
        <v>262.66000000000003</v>
      </c>
    </row>
    <row r="72" spans="1:15" x14ac:dyDescent="0.2">
      <c r="A72" s="4" t="str">
        <f>"0096733114"</f>
        <v>0096733114</v>
      </c>
      <c r="B72" t="s">
        <v>39</v>
      </c>
      <c r="C72" t="str">
        <f t="shared" si="5"/>
        <v>18/01/01</v>
      </c>
      <c r="D72" t="str">
        <f t="shared" si="6"/>
        <v>ERIE</v>
      </c>
      <c r="E72" s="5">
        <v>16.07</v>
      </c>
      <c r="F72" s="5">
        <v>23.66</v>
      </c>
      <c r="G72" s="5">
        <v>0</v>
      </c>
      <c r="H72" s="5">
        <v>0</v>
      </c>
      <c r="I72" s="5">
        <v>16.149999999999999</v>
      </c>
      <c r="J72" s="5">
        <v>23.85</v>
      </c>
      <c r="K72" s="5">
        <v>78.62</v>
      </c>
      <c r="L72" s="5">
        <v>0</v>
      </c>
      <c r="M72" s="5">
        <v>0</v>
      </c>
      <c r="N72" s="5">
        <v>0</v>
      </c>
      <c r="O72" s="5">
        <v>0</v>
      </c>
    </row>
    <row r="73" spans="1:15" x14ac:dyDescent="0.2">
      <c r="A73" s="4" t="str">
        <f>"0104012414"</f>
        <v>0104012414</v>
      </c>
      <c r="B73" t="s">
        <v>45</v>
      </c>
      <c r="C73" t="str">
        <f t="shared" si="5"/>
        <v>18/01/01</v>
      </c>
      <c r="D73" t="str">
        <f t="shared" si="6"/>
        <v>ERIE</v>
      </c>
      <c r="E73" s="5">
        <v>18.940000000000001</v>
      </c>
      <c r="F73" s="5">
        <v>19.399999999999999</v>
      </c>
      <c r="G73" s="5">
        <v>23.46</v>
      </c>
      <c r="H73" s="5">
        <v>0</v>
      </c>
      <c r="I73" s="5">
        <v>21.55</v>
      </c>
      <c r="J73" s="5">
        <v>22.78</v>
      </c>
      <c r="K73" s="5">
        <v>133.4</v>
      </c>
      <c r="L73" s="5">
        <v>0</v>
      </c>
      <c r="M73" s="5">
        <v>0</v>
      </c>
      <c r="N73" s="5">
        <v>0</v>
      </c>
      <c r="O73" s="5">
        <v>0</v>
      </c>
    </row>
    <row r="74" spans="1:15" x14ac:dyDescent="0.2">
      <c r="A74" s="4" t="str">
        <f>"0199214914"</f>
        <v>0199214914</v>
      </c>
      <c r="B74" t="s">
        <v>106</v>
      </c>
      <c r="C74" t="str">
        <f t="shared" si="5"/>
        <v>18/01/01</v>
      </c>
      <c r="D74" t="str">
        <f t="shared" si="6"/>
        <v>ERIE</v>
      </c>
      <c r="E74" s="5">
        <v>21.86</v>
      </c>
      <c r="F74" s="5">
        <v>22.63</v>
      </c>
      <c r="G74" s="5">
        <v>0</v>
      </c>
      <c r="H74" s="5">
        <v>0</v>
      </c>
      <c r="I74" s="5">
        <v>21.86</v>
      </c>
      <c r="J74" s="5">
        <v>24.07</v>
      </c>
      <c r="K74" s="5">
        <v>85.8</v>
      </c>
      <c r="L74" s="5">
        <v>85.21</v>
      </c>
      <c r="M74" s="5">
        <v>21.32</v>
      </c>
      <c r="N74" s="5">
        <v>22.96</v>
      </c>
      <c r="O74" s="5">
        <v>263.22000000000003</v>
      </c>
    </row>
    <row r="75" spans="1:15" x14ac:dyDescent="0.2">
      <c r="A75" s="4" t="str">
        <f>"0417491614"</f>
        <v>0417491614</v>
      </c>
      <c r="B75" t="s">
        <v>147</v>
      </c>
      <c r="C75" t="str">
        <f t="shared" si="5"/>
        <v>18/01/01</v>
      </c>
      <c r="D75" t="str">
        <f t="shared" si="6"/>
        <v>ERIE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25.99</v>
      </c>
      <c r="N75" s="5">
        <v>27.58</v>
      </c>
      <c r="O75" s="5">
        <v>160.72999999999999</v>
      </c>
    </row>
    <row r="76" spans="1:15" x14ac:dyDescent="0.2">
      <c r="A76" s="4" t="str">
        <f>"0080671714"</f>
        <v>0080671714</v>
      </c>
      <c r="B76" t="s">
        <v>23</v>
      </c>
      <c r="C76" t="str">
        <f t="shared" si="5"/>
        <v>18/01/01</v>
      </c>
      <c r="D76" t="str">
        <f t="shared" si="6"/>
        <v>ERIE</v>
      </c>
      <c r="E76" s="5">
        <v>21.6</v>
      </c>
      <c r="F76" s="5">
        <v>22.51</v>
      </c>
      <c r="G76" s="5">
        <v>0</v>
      </c>
      <c r="H76" s="5">
        <v>0</v>
      </c>
      <c r="I76" s="5">
        <v>21.52</v>
      </c>
      <c r="J76" s="5">
        <v>21.28</v>
      </c>
      <c r="K76" s="5">
        <v>85.73</v>
      </c>
      <c r="L76" s="5">
        <v>0</v>
      </c>
      <c r="M76" s="5">
        <v>0</v>
      </c>
      <c r="N76" s="5">
        <v>0</v>
      </c>
      <c r="O76" s="5">
        <v>0</v>
      </c>
    </row>
    <row r="77" spans="1:15" x14ac:dyDescent="0.2">
      <c r="A77" s="4" t="str">
        <f>"0088797614"</f>
        <v>0088797614</v>
      </c>
      <c r="B77" t="s">
        <v>29</v>
      </c>
      <c r="C77" t="str">
        <f t="shared" si="5"/>
        <v>18/01/01</v>
      </c>
      <c r="D77" t="str">
        <f t="shared" si="6"/>
        <v>ERIE</v>
      </c>
      <c r="E77" s="5">
        <v>22.29</v>
      </c>
      <c r="F77" s="5">
        <v>22.63</v>
      </c>
      <c r="G77" s="5">
        <v>0</v>
      </c>
      <c r="H77" s="5">
        <v>0</v>
      </c>
      <c r="I77" s="5">
        <v>22.56</v>
      </c>
      <c r="J77" s="5">
        <v>22.63</v>
      </c>
      <c r="K77" s="5">
        <v>0</v>
      </c>
      <c r="L77" s="5">
        <v>59.24</v>
      </c>
      <c r="M77" s="5">
        <v>0</v>
      </c>
      <c r="N77" s="5">
        <v>0</v>
      </c>
      <c r="O77" s="5">
        <v>0</v>
      </c>
    </row>
    <row r="78" spans="1:15" x14ac:dyDescent="0.2">
      <c r="A78" s="4" t="str">
        <f>"0104801714"</f>
        <v>0104801714</v>
      </c>
      <c r="B78" t="s">
        <v>46</v>
      </c>
      <c r="C78" t="str">
        <f t="shared" si="5"/>
        <v>18/01/01</v>
      </c>
      <c r="D78" t="str">
        <f t="shared" si="6"/>
        <v>ERIE</v>
      </c>
      <c r="E78" s="5">
        <v>0</v>
      </c>
      <c r="F78" s="5">
        <v>16.97</v>
      </c>
      <c r="G78" s="5">
        <v>23.16</v>
      </c>
      <c r="H78" s="5">
        <v>233</v>
      </c>
      <c r="I78" s="5">
        <v>16</v>
      </c>
      <c r="J78" s="5">
        <v>16.989999999999998</v>
      </c>
      <c r="K78" s="5">
        <v>57.56</v>
      </c>
      <c r="L78" s="5">
        <v>0</v>
      </c>
      <c r="M78" s="5">
        <v>16.38</v>
      </c>
      <c r="N78" s="5">
        <v>17.96</v>
      </c>
      <c r="O78" s="5">
        <v>0</v>
      </c>
    </row>
    <row r="79" spans="1:15" x14ac:dyDescent="0.2">
      <c r="A79" s="4" t="str">
        <f>"0240778914"</f>
        <v>0240778914</v>
      </c>
      <c r="B79" t="s">
        <v>117</v>
      </c>
      <c r="C79" t="str">
        <f t="shared" si="5"/>
        <v>18/01/01</v>
      </c>
      <c r="D79" t="str">
        <f t="shared" si="6"/>
        <v>ERIE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5">
        <v>18.079999999999998</v>
      </c>
      <c r="N79" s="5">
        <v>0</v>
      </c>
      <c r="O79" s="5">
        <v>0</v>
      </c>
    </row>
    <row r="80" spans="1:15" x14ac:dyDescent="0.2">
      <c r="A80" s="4" t="str">
        <f>"0179301715"</f>
        <v>0179301715</v>
      </c>
      <c r="B80" t="s">
        <v>97</v>
      </c>
      <c r="C80" t="str">
        <f t="shared" si="5"/>
        <v>18/01/01</v>
      </c>
      <c r="D80" t="str">
        <f>"ESSEX"</f>
        <v>ESSEX</v>
      </c>
      <c r="E80" s="5">
        <v>0</v>
      </c>
      <c r="F80" s="5">
        <v>0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5">
        <v>0</v>
      </c>
      <c r="M80" s="5">
        <v>14.65</v>
      </c>
      <c r="N80" s="5">
        <v>0</v>
      </c>
      <c r="O80" s="5">
        <v>0</v>
      </c>
    </row>
    <row r="81" spans="1:15" x14ac:dyDescent="0.2">
      <c r="A81" s="4" t="str">
        <f>"0089173615"</f>
        <v>0089173615</v>
      </c>
      <c r="B81" t="s">
        <v>30</v>
      </c>
      <c r="C81" t="str">
        <f t="shared" si="5"/>
        <v>18/01/01</v>
      </c>
      <c r="D81" t="str">
        <f>"ESSEX"</f>
        <v>ESSEX</v>
      </c>
      <c r="E81" s="5">
        <v>24.84</v>
      </c>
      <c r="F81" s="5">
        <v>25.14</v>
      </c>
      <c r="G81" s="5">
        <v>0</v>
      </c>
      <c r="H81" s="5">
        <v>0</v>
      </c>
      <c r="I81" s="5">
        <v>26.38</v>
      </c>
      <c r="J81" s="5">
        <v>25.6</v>
      </c>
      <c r="K81" s="5">
        <v>132.16</v>
      </c>
      <c r="L81" s="5">
        <v>133.5</v>
      </c>
      <c r="M81" s="5">
        <v>0</v>
      </c>
      <c r="N81" s="5">
        <v>0</v>
      </c>
      <c r="O81" s="5">
        <v>0</v>
      </c>
    </row>
    <row r="82" spans="1:15" x14ac:dyDescent="0.2">
      <c r="A82" s="4" t="str">
        <f>"0080671716"</f>
        <v>0080671716</v>
      </c>
      <c r="B82" t="s">
        <v>23</v>
      </c>
      <c r="C82" t="str">
        <f t="shared" si="5"/>
        <v>18/01/01</v>
      </c>
      <c r="D82" t="str">
        <f>"FRANKLIN"</f>
        <v>FRANKLIN</v>
      </c>
      <c r="E82" s="5">
        <v>23.33</v>
      </c>
      <c r="F82" s="5">
        <v>22.12</v>
      </c>
      <c r="G82" s="5">
        <v>0</v>
      </c>
      <c r="H82" s="5">
        <v>0</v>
      </c>
      <c r="I82" s="5">
        <v>0</v>
      </c>
      <c r="J82" s="5">
        <v>0</v>
      </c>
      <c r="K82" s="5">
        <v>64.739999999999995</v>
      </c>
      <c r="L82" s="5">
        <v>0</v>
      </c>
      <c r="M82" s="5">
        <v>0</v>
      </c>
      <c r="N82" s="5">
        <v>0</v>
      </c>
      <c r="O82" s="5">
        <v>0</v>
      </c>
    </row>
    <row r="83" spans="1:15" x14ac:dyDescent="0.2">
      <c r="A83" s="4" t="str">
        <f>"0089173616"</f>
        <v>0089173616</v>
      </c>
      <c r="B83" t="s">
        <v>30</v>
      </c>
      <c r="C83" t="str">
        <f t="shared" si="5"/>
        <v>18/01/01</v>
      </c>
      <c r="D83" t="str">
        <f>"FRANKLIN"</f>
        <v>FRANKLIN</v>
      </c>
      <c r="E83" s="5">
        <v>24.84</v>
      </c>
      <c r="F83" s="5">
        <v>25.15</v>
      </c>
      <c r="G83" s="5">
        <v>26.62</v>
      </c>
      <c r="H83" s="5">
        <v>0</v>
      </c>
      <c r="I83" s="5">
        <v>26.38</v>
      </c>
      <c r="J83" s="5">
        <v>25.61</v>
      </c>
      <c r="K83" s="5">
        <v>132.25</v>
      </c>
      <c r="L83" s="5">
        <v>133.5</v>
      </c>
      <c r="M83" s="5">
        <v>20.87</v>
      </c>
      <c r="N83" s="5">
        <v>0</v>
      </c>
      <c r="O83" s="5">
        <v>0</v>
      </c>
    </row>
    <row r="84" spans="1:15" x14ac:dyDescent="0.2">
      <c r="A84" s="4" t="str">
        <f>"0174106016"</f>
        <v>0174106016</v>
      </c>
      <c r="B84" t="s">
        <v>93</v>
      </c>
      <c r="C84" t="str">
        <f t="shared" si="5"/>
        <v>18/01/01</v>
      </c>
      <c r="D84" t="str">
        <f>"FRANKLIN"</f>
        <v>FRANKLIN</v>
      </c>
      <c r="E84" s="5">
        <v>0</v>
      </c>
      <c r="F84" s="5">
        <v>0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5">
        <v>0</v>
      </c>
      <c r="M84" s="5">
        <v>18.760000000000002</v>
      </c>
      <c r="N84" s="5">
        <v>0</v>
      </c>
      <c r="O84" s="5">
        <v>0</v>
      </c>
    </row>
    <row r="85" spans="1:15" x14ac:dyDescent="0.2">
      <c r="A85" s="4" t="str">
        <f>"0240778916"</f>
        <v>0240778916</v>
      </c>
      <c r="B85" t="s">
        <v>118</v>
      </c>
      <c r="C85" t="str">
        <f t="shared" si="5"/>
        <v>18/01/01</v>
      </c>
      <c r="D85" t="str">
        <f>"FRANKLIN"</f>
        <v>FRANKLIN</v>
      </c>
      <c r="E85" s="5">
        <v>0</v>
      </c>
      <c r="F85" s="5">
        <v>0</v>
      </c>
      <c r="G85" s="5">
        <v>0</v>
      </c>
      <c r="H85" s="5">
        <v>0</v>
      </c>
      <c r="I85" s="5">
        <v>0</v>
      </c>
      <c r="J85" s="5">
        <v>0</v>
      </c>
      <c r="K85" s="5">
        <v>0</v>
      </c>
      <c r="L85" s="5">
        <v>0</v>
      </c>
      <c r="M85" s="5">
        <v>17.97</v>
      </c>
      <c r="N85" s="5">
        <v>0</v>
      </c>
      <c r="O85" s="5">
        <v>0</v>
      </c>
    </row>
    <row r="86" spans="1:15" x14ac:dyDescent="0.2">
      <c r="A86" s="4" t="str">
        <f>"0352135917"</f>
        <v>0352135917</v>
      </c>
      <c r="B86" t="s">
        <v>140</v>
      </c>
      <c r="C86" t="str">
        <f t="shared" si="5"/>
        <v>18/01/01</v>
      </c>
      <c r="D86" t="str">
        <f>"FULTON"</f>
        <v>FULTON</v>
      </c>
      <c r="E86" s="5">
        <v>23.01</v>
      </c>
      <c r="F86" s="5">
        <v>23.98</v>
      </c>
      <c r="G86" s="5">
        <v>0</v>
      </c>
      <c r="H86" s="5">
        <v>0</v>
      </c>
      <c r="I86" s="5">
        <v>0</v>
      </c>
      <c r="J86" s="5">
        <v>0</v>
      </c>
      <c r="K86" s="5">
        <v>84.47</v>
      </c>
      <c r="L86" s="5">
        <v>84.47</v>
      </c>
      <c r="M86" s="5">
        <v>18.95</v>
      </c>
      <c r="N86" s="5">
        <v>0</v>
      </c>
      <c r="O86" s="5">
        <v>0</v>
      </c>
    </row>
    <row r="87" spans="1:15" x14ac:dyDescent="0.2">
      <c r="A87" s="4" t="str">
        <f>"0097412117"</f>
        <v>0097412117</v>
      </c>
      <c r="B87" t="s">
        <v>40</v>
      </c>
      <c r="C87" t="str">
        <f t="shared" si="5"/>
        <v>18/01/01</v>
      </c>
      <c r="D87" t="str">
        <f>"FULTON"</f>
        <v>FULTON</v>
      </c>
      <c r="E87" s="5">
        <v>0</v>
      </c>
      <c r="F87" s="5">
        <v>0</v>
      </c>
      <c r="G87" s="5">
        <v>0</v>
      </c>
      <c r="H87" s="5">
        <v>0</v>
      </c>
      <c r="I87" s="5">
        <v>0</v>
      </c>
      <c r="J87" s="5">
        <v>0</v>
      </c>
      <c r="K87" s="5">
        <v>0</v>
      </c>
      <c r="L87" s="5">
        <v>0</v>
      </c>
      <c r="M87" s="5">
        <v>15.76</v>
      </c>
      <c r="N87" s="5">
        <v>16.420000000000002</v>
      </c>
      <c r="O87" s="5">
        <v>0</v>
      </c>
    </row>
    <row r="88" spans="1:15" x14ac:dyDescent="0.2">
      <c r="A88" s="4" t="str">
        <f>"0170109117"</f>
        <v>0170109117</v>
      </c>
      <c r="B88" t="s">
        <v>85</v>
      </c>
      <c r="C88" t="str">
        <f t="shared" si="5"/>
        <v>18/01/01</v>
      </c>
      <c r="D88" t="str">
        <f>"FULTON"</f>
        <v>FULTON</v>
      </c>
      <c r="E88" s="5">
        <v>22.55</v>
      </c>
      <c r="F88" s="5">
        <v>22.55</v>
      </c>
      <c r="G88" s="5">
        <v>25.21</v>
      </c>
      <c r="H88" s="5">
        <v>370.94</v>
      </c>
      <c r="I88" s="5">
        <v>25.21</v>
      </c>
      <c r="J88" s="5">
        <v>24.96</v>
      </c>
      <c r="K88" s="5">
        <v>84.52</v>
      </c>
      <c r="L88" s="5">
        <v>84.52</v>
      </c>
      <c r="M88" s="5">
        <v>19.350000000000001</v>
      </c>
      <c r="N88" s="5">
        <v>20.329999999999998</v>
      </c>
      <c r="O88" s="5">
        <v>320.77</v>
      </c>
    </row>
    <row r="89" spans="1:15" x14ac:dyDescent="0.2">
      <c r="A89" s="4" t="str">
        <f>"0194568818"</f>
        <v>0194568818</v>
      </c>
      <c r="B89" t="s">
        <v>105</v>
      </c>
      <c r="C89" t="str">
        <f t="shared" si="5"/>
        <v>18/01/01</v>
      </c>
      <c r="D89" t="str">
        <f>"GENESEE"</f>
        <v>GENESEE</v>
      </c>
      <c r="E89" s="5">
        <v>0</v>
      </c>
      <c r="F89" s="5">
        <v>0</v>
      </c>
      <c r="G89" s="5">
        <v>0</v>
      </c>
      <c r="H89" s="5">
        <v>0</v>
      </c>
      <c r="I89" s="5">
        <v>0</v>
      </c>
      <c r="J89" s="5">
        <v>0</v>
      </c>
      <c r="K89" s="5">
        <v>0</v>
      </c>
      <c r="L89" s="5">
        <v>0</v>
      </c>
      <c r="M89" s="5">
        <v>16.95</v>
      </c>
      <c r="N89" s="5">
        <v>0</v>
      </c>
      <c r="O89" s="5">
        <v>0</v>
      </c>
    </row>
    <row r="90" spans="1:15" x14ac:dyDescent="0.2">
      <c r="A90" s="4" t="str">
        <f>"0090452718"</f>
        <v>0090452718</v>
      </c>
      <c r="B90" t="s">
        <v>31</v>
      </c>
      <c r="C90" t="str">
        <f t="shared" si="5"/>
        <v>18/01/01</v>
      </c>
      <c r="D90" t="str">
        <f>"GENESEE"</f>
        <v>GENESEE</v>
      </c>
      <c r="E90" s="5">
        <v>0</v>
      </c>
      <c r="F90" s="5">
        <v>26.42</v>
      </c>
      <c r="G90" s="5">
        <v>0</v>
      </c>
      <c r="H90" s="5">
        <v>0</v>
      </c>
      <c r="I90" s="5">
        <v>0</v>
      </c>
      <c r="J90" s="5">
        <v>0</v>
      </c>
      <c r="K90" s="5">
        <v>84.36</v>
      </c>
      <c r="L90" s="5">
        <v>84.36</v>
      </c>
      <c r="M90" s="5">
        <v>0</v>
      </c>
      <c r="N90" s="5">
        <v>0</v>
      </c>
      <c r="O90" s="5">
        <v>0</v>
      </c>
    </row>
    <row r="91" spans="1:15" x14ac:dyDescent="0.2">
      <c r="A91" s="4" t="str">
        <f>"0417491618"</f>
        <v>0417491618</v>
      </c>
      <c r="B91" t="s">
        <v>147</v>
      </c>
      <c r="C91" t="str">
        <f t="shared" si="5"/>
        <v>18/01/01</v>
      </c>
      <c r="D91" t="str">
        <f>"GENESEE"</f>
        <v>GENESEE</v>
      </c>
      <c r="E91" s="5">
        <v>0</v>
      </c>
      <c r="F91" s="5">
        <v>0</v>
      </c>
      <c r="G91" s="5">
        <v>0</v>
      </c>
      <c r="H91" s="5">
        <v>0</v>
      </c>
      <c r="I91" s="5">
        <v>0</v>
      </c>
      <c r="J91" s="5">
        <v>0</v>
      </c>
      <c r="K91" s="5">
        <v>0</v>
      </c>
      <c r="L91" s="5">
        <v>0</v>
      </c>
      <c r="M91" s="5">
        <v>25.99</v>
      </c>
      <c r="N91" s="5">
        <v>27.58</v>
      </c>
      <c r="O91" s="5">
        <v>160.72999999999999</v>
      </c>
    </row>
    <row r="92" spans="1:15" x14ac:dyDescent="0.2">
      <c r="A92" s="4" t="str">
        <f>"0035491218"</f>
        <v>0035491218</v>
      </c>
      <c r="B92" t="s">
        <v>7</v>
      </c>
      <c r="C92" t="str">
        <f t="shared" si="5"/>
        <v>18/01/01</v>
      </c>
      <c r="D92" t="str">
        <f>"GENESEE"</f>
        <v>GENESEE</v>
      </c>
      <c r="E92" s="5">
        <v>27.28</v>
      </c>
      <c r="F92" s="5">
        <v>30.29</v>
      </c>
      <c r="G92" s="5">
        <v>31.46</v>
      </c>
      <c r="H92" s="5">
        <v>382.08</v>
      </c>
      <c r="I92" s="5">
        <v>29.42</v>
      </c>
      <c r="J92" s="5">
        <v>28.57</v>
      </c>
      <c r="K92" s="5">
        <v>154.32</v>
      </c>
      <c r="L92" s="5">
        <v>154.32</v>
      </c>
      <c r="M92" s="5">
        <v>28.93</v>
      </c>
      <c r="N92" s="5">
        <v>31.83</v>
      </c>
      <c r="O92" s="5">
        <v>353.54</v>
      </c>
    </row>
    <row r="93" spans="1:15" x14ac:dyDescent="0.2">
      <c r="A93" s="4" t="str">
        <f>"0099143319"</f>
        <v>0099143319</v>
      </c>
      <c r="B93" t="s">
        <v>42</v>
      </c>
      <c r="C93" t="str">
        <f t="shared" si="5"/>
        <v>18/01/01</v>
      </c>
      <c r="D93" t="str">
        <f>"GREENE"</f>
        <v>GREENE</v>
      </c>
      <c r="E93" s="5">
        <v>23.33</v>
      </c>
      <c r="F93" s="5">
        <v>26.37</v>
      </c>
      <c r="G93" s="5">
        <v>29.73</v>
      </c>
      <c r="H93" s="5">
        <v>299.7</v>
      </c>
      <c r="I93" s="5">
        <v>31.28</v>
      </c>
      <c r="J93" s="5">
        <v>27.43</v>
      </c>
      <c r="K93" s="5">
        <v>166.96</v>
      </c>
      <c r="L93" s="5">
        <v>164.05</v>
      </c>
      <c r="M93" s="5">
        <v>18.66</v>
      </c>
      <c r="N93" s="5">
        <v>26.38</v>
      </c>
      <c r="O93" s="5">
        <v>313.93</v>
      </c>
    </row>
    <row r="94" spans="1:15" x14ac:dyDescent="0.2">
      <c r="A94" s="4" t="str">
        <f>"0188056019"</f>
        <v>0188056019</v>
      </c>
      <c r="B94" t="s">
        <v>104</v>
      </c>
      <c r="C94" t="str">
        <f t="shared" si="5"/>
        <v>18/01/01</v>
      </c>
      <c r="D94" t="str">
        <f>"GREENE"</f>
        <v>GREENE</v>
      </c>
      <c r="E94" s="5">
        <v>0</v>
      </c>
      <c r="F94" s="5">
        <v>0</v>
      </c>
      <c r="G94" s="5">
        <v>0</v>
      </c>
      <c r="H94" s="5">
        <v>0</v>
      </c>
      <c r="I94" s="5">
        <v>0</v>
      </c>
      <c r="J94" s="5">
        <v>0</v>
      </c>
      <c r="K94" s="5">
        <v>0</v>
      </c>
      <c r="L94" s="5">
        <v>0</v>
      </c>
      <c r="M94" s="5">
        <v>17.25</v>
      </c>
      <c r="N94" s="5">
        <v>18.829999999999998</v>
      </c>
      <c r="O94" s="5">
        <v>226.38</v>
      </c>
    </row>
    <row r="95" spans="1:15" x14ac:dyDescent="0.2">
      <c r="A95" s="4" t="str">
        <f>"0035491219"</f>
        <v>0035491219</v>
      </c>
      <c r="B95" t="s">
        <v>7</v>
      </c>
      <c r="C95" t="str">
        <f t="shared" si="5"/>
        <v>18/01/01</v>
      </c>
      <c r="D95" t="str">
        <f>"GREENE"</f>
        <v>GREENE</v>
      </c>
      <c r="E95" s="5">
        <v>21.77</v>
      </c>
      <c r="F95" s="5">
        <v>22.94</v>
      </c>
      <c r="G95" s="5">
        <v>29.18</v>
      </c>
      <c r="H95" s="5">
        <v>328.58</v>
      </c>
      <c r="I95" s="5">
        <v>27.82</v>
      </c>
      <c r="J95" s="5">
        <v>26.67</v>
      </c>
      <c r="K95" s="5">
        <v>165.23</v>
      </c>
      <c r="L95" s="5">
        <v>165.23</v>
      </c>
      <c r="M95" s="5">
        <v>23.6</v>
      </c>
      <c r="N95" s="5">
        <v>26.8</v>
      </c>
      <c r="O95" s="5">
        <v>292.08999999999997</v>
      </c>
    </row>
    <row r="96" spans="1:15" x14ac:dyDescent="0.2">
      <c r="A96" s="4" t="str">
        <f>"0170109119"</f>
        <v>0170109119</v>
      </c>
      <c r="B96" t="s">
        <v>85</v>
      </c>
      <c r="C96" t="str">
        <f t="shared" si="5"/>
        <v>18/01/01</v>
      </c>
      <c r="D96" t="str">
        <f>"GREENE"</f>
        <v>GREENE</v>
      </c>
      <c r="E96" s="5">
        <v>22.75</v>
      </c>
      <c r="F96" s="5">
        <v>23.05</v>
      </c>
      <c r="G96" s="5">
        <v>23.52</v>
      </c>
      <c r="H96" s="5">
        <v>340.95</v>
      </c>
      <c r="I96" s="5">
        <v>23.52</v>
      </c>
      <c r="J96" s="5">
        <v>23.4</v>
      </c>
      <c r="K96" s="5">
        <v>84.02</v>
      </c>
      <c r="L96" s="5">
        <v>84.02</v>
      </c>
      <c r="M96" s="5">
        <v>19.579999999999998</v>
      </c>
      <c r="N96" s="5">
        <v>21.17</v>
      </c>
      <c r="O96" s="5">
        <v>301.81</v>
      </c>
    </row>
    <row r="97" spans="1:15" x14ac:dyDescent="0.2">
      <c r="A97" s="4" t="str">
        <f>"0240779820"</f>
        <v>0240779820</v>
      </c>
      <c r="B97" t="s">
        <v>120</v>
      </c>
      <c r="C97" t="str">
        <f t="shared" si="5"/>
        <v>18/01/01</v>
      </c>
      <c r="D97" t="str">
        <f>"HAMILTON"</f>
        <v>HAMILTON</v>
      </c>
      <c r="E97" s="5">
        <v>0</v>
      </c>
      <c r="F97" s="5">
        <v>0</v>
      </c>
      <c r="G97" s="5">
        <v>0</v>
      </c>
      <c r="H97" s="5">
        <v>0</v>
      </c>
      <c r="I97" s="5">
        <v>0</v>
      </c>
      <c r="J97" s="5">
        <v>0</v>
      </c>
      <c r="K97" s="5">
        <v>0</v>
      </c>
      <c r="L97" s="5">
        <v>0</v>
      </c>
      <c r="M97" s="5">
        <v>19.690000000000001</v>
      </c>
      <c r="N97" s="5">
        <v>20.52</v>
      </c>
      <c r="O97" s="5">
        <v>255.17</v>
      </c>
    </row>
    <row r="98" spans="1:15" x14ac:dyDescent="0.2">
      <c r="A98" s="4" t="str">
        <f>"0296979920"</f>
        <v>0296979920</v>
      </c>
      <c r="B98" t="s">
        <v>130</v>
      </c>
      <c r="C98" t="str">
        <f t="shared" si="5"/>
        <v>18/01/01</v>
      </c>
      <c r="D98" t="str">
        <f>"HAMILTON"</f>
        <v>HAMILTON</v>
      </c>
      <c r="E98" s="5">
        <v>20.36</v>
      </c>
      <c r="F98" s="5">
        <v>20.65</v>
      </c>
      <c r="G98" s="5">
        <v>0</v>
      </c>
      <c r="H98" s="5">
        <v>0</v>
      </c>
      <c r="I98" s="5">
        <v>0</v>
      </c>
      <c r="J98" s="5">
        <v>0</v>
      </c>
      <c r="K98" s="5">
        <v>50.24</v>
      </c>
      <c r="L98" s="5">
        <v>50.26</v>
      </c>
      <c r="M98" s="5">
        <v>0</v>
      </c>
      <c r="N98" s="5">
        <v>0</v>
      </c>
      <c r="O98" s="5">
        <v>0</v>
      </c>
    </row>
    <row r="99" spans="1:15" x14ac:dyDescent="0.2">
      <c r="A99" s="4" t="str">
        <f>"0281324321"</f>
        <v>0281324321</v>
      </c>
      <c r="B99" t="s">
        <v>127</v>
      </c>
      <c r="C99" t="str">
        <f t="shared" si="5"/>
        <v>18/01/01</v>
      </c>
      <c r="D99" t="str">
        <f>"HERKIMER"</f>
        <v>HERKIMER</v>
      </c>
      <c r="E99" s="5">
        <v>23.76</v>
      </c>
      <c r="F99" s="5">
        <v>24.07</v>
      </c>
      <c r="G99" s="5">
        <v>0</v>
      </c>
      <c r="H99" s="5">
        <v>0</v>
      </c>
      <c r="I99" s="5">
        <v>0</v>
      </c>
      <c r="J99" s="5">
        <v>0</v>
      </c>
      <c r="K99" s="5">
        <v>106.98</v>
      </c>
      <c r="L99" s="5">
        <v>106.98</v>
      </c>
      <c r="M99" s="5">
        <v>0</v>
      </c>
      <c r="N99" s="5">
        <v>0</v>
      </c>
      <c r="O99" s="5">
        <v>0</v>
      </c>
    </row>
    <row r="100" spans="1:15" x14ac:dyDescent="0.2">
      <c r="A100" s="4" t="str">
        <f>"0097412121"</f>
        <v>0097412121</v>
      </c>
      <c r="B100" t="s">
        <v>40</v>
      </c>
      <c r="C100" t="str">
        <f t="shared" si="5"/>
        <v>18/01/01</v>
      </c>
      <c r="D100" t="str">
        <f>"HERKIMER"</f>
        <v>HERKIMER</v>
      </c>
      <c r="E100" s="5">
        <v>0</v>
      </c>
      <c r="F100" s="5">
        <v>0</v>
      </c>
      <c r="G100" s="5">
        <v>0</v>
      </c>
      <c r="H100" s="5">
        <v>0</v>
      </c>
      <c r="I100" s="5">
        <v>0</v>
      </c>
      <c r="J100" s="5">
        <v>0</v>
      </c>
      <c r="K100" s="5">
        <v>0</v>
      </c>
      <c r="L100" s="5">
        <v>0</v>
      </c>
      <c r="M100" s="5">
        <v>15.75</v>
      </c>
      <c r="N100" s="5">
        <v>16.809999999999999</v>
      </c>
      <c r="O100" s="5">
        <v>0</v>
      </c>
    </row>
    <row r="101" spans="1:15" x14ac:dyDescent="0.2">
      <c r="A101" s="4" t="str">
        <f>"0121121021"</f>
        <v>0121121021</v>
      </c>
      <c r="B101" t="s">
        <v>60</v>
      </c>
      <c r="C101" t="str">
        <f t="shared" si="5"/>
        <v>18/01/01</v>
      </c>
      <c r="D101" t="str">
        <f>"HERKIMER"</f>
        <v>HERKIMER</v>
      </c>
      <c r="E101" s="5">
        <v>0</v>
      </c>
      <c r="F101" s="5">
        <v>22.06</v>
      </c>
      <c r="G101" s="5">
        <v>0</v>
      </c>
      <c r="H101" s="5">
        <v>0</v>
      </c>
      <c r="I101" s="5">
        <v>0</v>
      </c>
      <c r="J101" s="5">
        <v>0</v>
      </c>
      <c r="K101" s="5">
        <v>83.98</v>
      </c>
      <c r="L101" s="5">
        <v>0</v>
      </c>
      <c r="M101" s="5">
        <v>0</v>
      </c>
      <c r="N101" s="5">
        <v>0</v>
      </c>
      <c r="O101" s="5">
        <v>0</v>
      </c>
    </row>
    <row r="102" spans="1:15" x14ac:dyDescent="0.2">
      <c r="A102" s="4" t="str">
        <f>"0080671722"</f>
        <v>0080671722</v>
      </c>
      <c r="B102" t="s">
        <v>23</v>
      </c>
      <c r="C102" t="str">
        <f t="shared" si="5"/>
        <v>18/01/01</v>
      </c>
      <c r="D102" t="str">
        <f t="shared" ref="D102:D107" si="7">"JEFFERSON"</f>
        <v>JEFFERSON</v>
      </c>
      <c r="E102" s="5">
        <v>20.23</v>
      </c>
      <c r="F102" s="5">
        <v>21.09</v>
      </c>
      <c r="G102" s="5">
        <v>0</v>
      </c>
      <c r="H102" s="5">
        <v>0</v>
      </c>
      <c r="I102" s="5">
        <v>0</v>
      </c>
      <c r="J102" s="5">
        <v>0</v>
      </c>
      <c r="K102" s="5">
        <v>89.76</v>
      </c>
      <c r="L102" s="5">
        <v>0</v>
      </c>
      <c r="M102" s="5">
        <v>0</v>
      </c>
      <c r="N102" s="5">
        <v>0</v>
      </c>
      <c r="O102" s="5">
        <v>0</v>
      </c>
    </row>
    <row r="103" spans="1:15" x14ac:dyDescent="0.2">
      <c r="A103" s="4" t="str">
        <f>"0097412122"</f>
        <v>0097412122</v>
      </c>
      <c r="B103" t="s">
        <v>41</v>
      </c>
      <c r="C103" t="str">
        <f t="shared" si="5"/>
        <v>18/01/01</v>
      </c>
      <c r="D103" t="str">
        <f t="shared" si="7"/>
        <v>JEFFERSON</v>
      </c>
      <c r="E103" s="5">
        <v>0</v>
      </c>
      <c r="F103" s="5">
        <v>0</v>
      </c>
      <c r="G103" s="5">
        <v>0</v>
      </c>
      <c r="H103" s="5">
        <v>0</v>
      </c>
      <c r="I103" s="5">
        <v>0</v>
      </c>
      <c r="J103" s="5">
        <v>0</v>
      </c>
      <c r="K103" s="5">
        <v>0</v>
      </c>
      <c r="L103" s="5">
        <v>0</v>
      </c>
      <c r="M103" s="5">
        <v>15.41</v>
      </c>
      <c r="N103" s="5">
        <v>16.809999999999999</v>
      </c>
      <c r="O103" s="5">
        <v>0</v>
      </c>
    </row>
    <row r="104" spans="1:15" x14ac:dyDescent="0.2">
      <c r="A104" s="4" t="str">
        <f>"0105243722"</f>
        <v>0105243722</v>
      </c>
      <c r="B104" t="s">
        <v>47</v>
      </c>
      <c r="C104" t="str">
        <f t="shared" si="5"/>
        <v>18/01/01</v>
      </c>
      <c r="D104" t="str">
        <f t="shared" si="7"/>
        <v>JEFFERSON</v>
      </c>
      <c r="E104" s="5">
        <v>26.93</v>
      </c>
      <c r="F104" s="5">
        <v>27.42</v>
      </c>
      <c r="G104" s="5">
        <v>29.54</v>
      </c>
      <c r="H104" s="5">
        <v>297.87</v>
      </c>
      <c r="I104" s="5">
        <v>29.33</v>
      </c>
      <c r="J104" s="5">
        <v>29.4</v>
      </c>
      <c r="K104" s="5">
        <v>166.73</v>
      </c>
      <c r="L104" s="5">
        <v>0</v>
      </c>
      <c r="M104" s="5">
        <v>27.2</v>
      </c>
      <c r="N104" s="5">
        <v>29.4</v>
      </c>
      <c r="O104" s="5">
        <v>339.59</v>
      </c>
    </row>
    <row r="105" spans="1:15" x14ac:dyDescent="0.2">
      <c r="A105" s="4" t="str">
        <f>"0106073722"</f>
        <v>0106073722</v>
      </c>
      <c r="B105" t="s">
        <v>49</v>
      </c>
      <c r="C105" t="str">
        <f t="shared" si="5"/>
        <v>18/01/01</v>
      </c>
      <c r="D105" t="str">
        <f t="shared" si="7"/>
        <v>JEFFERSON</v>
      </c>
      <c r="E105" s="5">
        <v>22.61</v>
      </c>
      <c r="F105" s="5">
        <v>22.91</v>
      </c>
      <c r="G105" s="5">
        <v>0</v>
      </c>
      <c r="H105" s="5">
        <v>0</v>
      </c>
      <c r="I105" s="5">
        <v>0</v>
      </c>
      <c r="J105" s="5">
        <v>0</v>
      </c>
      <c r="K105" s="5">
        <v>83.96</v>
      </c>
      <c r="L105" s="5">
        <v>83.96</v>
      </c>
      <c r="M105" s="5">
        <v>0</v>
      </c>
      <c r="N105" s="5">
        <v>0</v>
      </c>
      <c r="O105" s="5">
        <v>0</v>
      </c>
    </row>
    <row r="106" spans="1:15" x14ac:dyDescent="0.2">
      <c r="A106" s="4" t="str">
        <f>"0174106022"</f>
        <v>0174106022</v>
      </c>
      <c r="B106" t="s">
        <v>93</v>
      </c>
      <c r="C106" t="str">
        <f t="shared" si="5"/>
        <v>18/01/01</v>
      </c>
      <c r="D106" t="str">
        <f t="shared" si="7"/>
        <v>JEFFERSON</v>
      </c>
      <c r="E106" s="5">
        <v>0</v>
      </c>
      <c r="F106" s="5">
        <v>0</v>
      </c>
      <c r="G106" s="5">
        <v>0</v>
      </c>
      <c r="H106" s="5">
        <v>0</v>
      </c>
      <c r="I106" s="5">
        <v>0</v>
      </c>
      <c r="J106" s="5">
        <v>0</v>
      </c>
      <c r="K106" s="5">
        <v>0</v>
      </c>
      <c r="L106" s="5">
        <v>0</v>
      </c>
      <c r="M106" s="5">
        <v>16.940000000000001</v>
      </c>
      <c r="N106" s="5">
        <v>0</v>
      </c>
      <c r="O106" s="5">
        <v>0</v>
      </c>
    </row>
    <row r="107" spans="1:15" x14ac:dyDescent="0.2">
      <c r="A107" s="4" t="str">
        <f>"0240778922"</f>
        <v>0240778922</v>
      </c>
      <c r="B107" t="s">
        <v>119</v>
      </c>
      <c r="C107" t="str">
        <f t="shared" si="5"/>
        <v>18/01/01</v>
      </c>
      <c r="D107" t="str">
        <f t="shared" si="7"/>
        <v>JEFFERSON</v>
      </c>
      <c r="E107" s="5">
        <v>0</v>
      </c>
      <c r="F107" s="5">
        <v>0</v>
      </c>
      <c r="G107" s="5">
        <v>0</v>
      </c>
      <c r="H107" s="5">
        <v>0</v>
      </c>
      <c r="I107" s="5">
        <v>0</v>
      </c>
      <c r="J107" s="5">
        <v>0</v>
      </c>
      <c r="K107" s="5">
        <v>0</v>
      </c>
      <c r="L107" s="5">
        <v>0</v>
      </c>
      <c r="M107" s="5">
        <v>17.03</v>
      </c>
      <c r="N107" s="5">
        <v>0</v>
      </c>
      <c r="O107" s="5">
        <v>0</v>
      </c>
    </row>
    <row r="108" spans="1:15" x14ac:dyDescent="0.2">
      <c r="A108" s="4" t="str">
        <f>"0257536824"</f>
        <v>0257536824</v>
      </c>
      <c r="B108" t="s">
        <v>123</v>
      </c>
      <c r="C108" t="str">
        <f t="shared" si="5"/>
        <v>18/01/01</v>
      </c>
      <c r="D108" t="str">
        <f>"LEWIS"</f>
        <v>LEWIS</v>
      </c>
      <c r="E108" s="5">
        <v>0</v>
      </c>
      <c r="F108" s="5">
        <v>0</v>
      </c>
      <c r="G108" s="5">
        <v>0</v>
      </c>
      <c r="H108" s="5">
        <v>0</v>
      </c>
      <c r="I108" s="5">
        <v>0</v>
      </c>
      <c r="J108" s="5">
        <v>0</v>
      </c>
      <c r="K108" s="5">
        <v>0</v>
      </c>
      <c r="L108" s="5">
        <v>0</v>
      </c>
      <c r="M108" s="5">
        <v>17.23</v>
      </c>
      <c r="N108" s="5">
        <v>17.23</v>
      </c>
      <c r="O108" s="5">
        <v>0</v>
      </c>
    </row>
    <row r="109" spans="1:15" x14ac:dyDescent="0.2">
      <c r="A109" s="4" t="str">
        <f>"0097412124"</f>
        <v>0097412124</v>
      </c>
      <c r="B109" t="s">
        <v>40</v>
      </c>
      <c r="C109" t="str">
        <f t="shared" si="5"/>
        <v>18/01/01</v>
      </c>
      <c r="D109" t="str">
        <f>"LEWIS"</f>
        <v>LEWIS</v>
      </c>
      <c r="E109" s="5">
        <v>0</v>
      </c>
      <c r="F109" s="5">
        <v>0</v>
      </c>
      <c r="G109" s="5">
        <v>0</v>
      </c>
      <c r="H109" s="5">
        <v>0</v>
      </c>
      <c r="I109" s="5">
        <v>0</v>
      </c>
      <c r="J109" s="5">
        <v>0</v>
      </c>
      <c r="K109" s="5">
        <v>0</v>
      </c>
      <c r="L109" s="5">
        <v>0</v>
      </c>
      <c r="M109" s="5">
        <v>15.16</v>
      </c>
      <c r="N109" s="5">
        <v>16.71</v>
      </c>
      <c r="O109" s="5">
        <v>0</v>
      </c>
    </row>
    <row r="110" spans="1:15" x14ac:dyDescent="0.2">
      <c r="A110" s="4" t="str">
        <f>"0106073724"</f>
        <v>0106073724</v>
      </c>
      <c r="B110" t="s">
        <v>49</v>
      </c>
      <c r="C110" t="str">
        <f t="shared" si="5"/>
        <v>18/01/01</v>
      </c>
      <c r="D110" t="str">
        <f>"LEWIS"</f>
        <v>LEWIS</v>
      </c>
      <c r="E110" s="5">
        <v>22.81</v>
      </c>
      <c r="F110" s="5">
        <v>23.1</v>
      </c>
      <c r="G110" s="5">
        <v>0</v>
      </c>
      <c r="H110" s="5">
        <v>0</v>
      </c>
      <c r="I110" s="5">
        <v>0</v>
      </c>
      <c r="J110" s="5">
        <v>0</v>
      </c>
      <c r="K110" s="5">
        <v>83.93</v>
      </c>
      <c r="L110" s="5">
        <v>83.93</v>
      </c>
      <c r="M110" s="5">
        <v>0</v>
      </c>
      <c r="N110" s="5">
        <v>0</v>
      </c>
      <c r="O110" s="5">
        <v>0</v>
      </c>
    </row>
    <row r="111" spans="1:15" x14ac:dyDescent="0.2">
      <c r="A111" s="4" t="str">
        <f>"0194568825"</f>
        <v>0194568825</v>
      </c>
      <c r="B111" t="s">
        <v>105</v>
      </c>
      <c r="C111" t="str">
        <f t="shared" si="5"/>
        <v>18/01/01</v>
      </c>
      <c r="D111" t="str">
        <f>"LIVINGSTON"</f>
        <v>LIVINGSTON</v>
      </c>
      <c r="E111" s="5">
        <v>0</v>
      </c>
      <c r="F111" s="5">
        <v>0</v>
      </c>
      <c r="G111" s="5">
        <v>0</v>
      </c>
      <c r="H111" s="5">
        <v>0</v>
      </c>
      <c r="I111" s="5">
        <v>0</v>
      </c>
      <c r="J111" s="5">
        <v>0</v>
      </c>
      <c r="K111" s="5">
        <v>0</v>
      </c>
      <c r="L111" s="5">
        <v>0</v>
      </c>
      <c r="M111" s="5">
        <v>16.82</v>
      </c>
      <c r="N111" s="5">
        <v>0</v>
      </c>
      <c r="O111" s="5">
        <v>0</v>
      </c>
    </row>
    <row r="112" spans="1:15" x14ac:dyDescent="0.2">
      <c r="A112" s="4" t="str">
        <f>"0147051125"</f>
        <v>0147051125</v>
      </c>
      <c r="B112" t="s">
        <v>72</v>
      </c>
      <c r="C112" t="str">
        <f t="shared" si="5"/>
        <v>18/01/01</v>
      </c>
      <c r="D112" t="str">
        <f>"LIVINGSTON"</f>
        <v>LIVINGSTON</v>
      </c>
      <c r="E112" s="5">
        <v>26.73</v>
      </c>
      <c r="F112" s="5">
        <v>26.94</v>
      </c>
      <c r="G112" s="5">
        <v>28.97</v>
      </c>
      <c r="H112" s="5">
        <v>0</v>
      </c>
      <c r="I112" s="5">
        <v>28.76</v>
      </c>
      <c r="J112" s="5">
        <v>27.96</v>
      </c>
      <c r="K112" s="5">
        <v>130.63</v>
      </c>
      <c r="L112" s="5">
        <v>130.63</v>
      </c>
      <c r="M112" s="5">
        <v>0</v>
      </c>
      <c r="N112" s="5">
        <v>0</v>
      </c>
      <c r="O112" s="5">
        <v>0</v>
      </c>
    </row>
    <row r="113" spans="1:15" x14ac:dyDescent="0.2">
      <c r="A113" s="4" t="str">
        <f>"0035491225"</f>
        <v>0035491225</v>
      </c>
      <c r="B113" t="s">
        <v>7</v>
      </c>
      <c r="C113" t="str">
        <f t="shared" si="5"/>
        <v>18/01/01</v>
      </c>
      <c r="D113" t="str">
        <f>"LIVINGSTON"</f>
        <v>LIVINGSTON</v>
      </c>
      <c r="E113" s="5">
        <v>21.83</v>
      </c>
      <c r="F113" s="5">
        <v>21.98</v>
      </c>
      <c r="G113" s="5">
        <v>29.97</v>
      </c>
      <c r="H113" s="5">
        <v>339.19</v>
      </c>
      <c r="I113" s="5">
        <v>28.23</v>
      </c>
      <c r="J113" s="5">
        <v>27.44</v>
      </c>
      <c r="K113" s="5">
        <v>94.37</v>
      </c>
      <c r="L113" s="5">
        <v>162.72999999999999</v>
      </c>
      <c r="M113" s="5">
        <v>24.18</v>
      </c>
      <c r="N113" s="5">
        <v>26.59</v>
      </c>
      <c r="O113" s="5">
        <v>299.10000000000002</v>
      </c>
    </row>
    <row r="114" spans="1:15" x14ac:dyDescent="0.2">
      <c r="A114" s="4" t="str">
        <f>"0058802326"</f>
        <v>0058802326</v>
      </c>
      <c r="B114" t="s">
        <v>17</v>
      </c>
      <c r="C114" t="str">
        <f t="shared" si="5"/>
        <v>18/01/01</v>
      </c>
      <c r="D114" t="str">
        <f>"MADISON"</f>
        <v>MADISON</v>
      </c>
      <c r="E114" s="5">
        <v>22.15</v>
      </c>
      <c r="F114" s="5">
        <v>22.18</v>
      </c>
      <c r="G114" s="5">
        <v>0</v>
      </c>
      <c r="H114" s="5">
        <v>0</v>
      </c>
      <c r="I114" s="5">
        <v>0</v>
      </c>
      <c r="J114" s="5">
        <v>0</v>
      </c>
      <c r="K114" s="5">
        <v>0</v>
      </c>
      <c r="L114" s="5">
        <v>0</v>
      </c>
      <c r="M114" s="5">
        <v>0</v>
      </c>
      <c r="N114" s="5">
        <v>0</v>
      </c>
      <c r="O114" s="5">
        <v>0</v>
      </c>
    </row>
    <row r="115" spans="1:15" x14ac:dyDescent="0.2">
      <c r="A115" s="4" t="str">
        <f>"0097412126"</f>
        <v>0097412126</v>
      </c>
      <c r="B115" t="s">
        <v>40</v>
      </c>
      <c r="C115" t="str">
        <f t="shared" si="5"/>
        <v>18/01/01</v>
      </c>
      <c r="D115" t="str">
        <f>"MADISON"</f>
        <v>MADISON</v>
      </c>
      <c r="E115" s="5">
        <v>0</v>
      </c>
      <c r="F115" s="5">
        <v>0</v>
      </c>
      <c r="G115" s="5">
        <v>0</v>
      </c>
      <c r="H115" s="5">
        <v>0</v>
      </c>
      <c r="I115" s="5">
        <v>0</v>
      </c>
      <c r="J115" s="5">
        <v>0</v>
      </c>
      <c r="K115" s="5">
        <v>0</v>
      </c>
      <c r="L115" s="5">
        <v>0</v>
      </c>
      <c r="M115" s="5">
        <v>15.16</v>
      </c>
      <c r="N115" s="5">
        <v>16.29</v>
      </c>
      <c r="O115" s="5">
        <v>0</v>
      </c>
    </row>
    <row r="116" spans="1:15" x14ac:dyDescent="0.2">
      <c r="A116" s="4" t="str">
        <f>"0084696027"</f>
        <v>0084696027</v>
      </c>
      <c r="B116" t="s">
        <v>27</v>
      </c>
      <c r="C116" t="str">
        <f t="shared" si="5"/>
        <v>18/01/01</v>
      </c>
      <c r="D116" t="str">
        <f t="shared" ref="D116:D125" si="8">"MONROE"</f>
        <v>MONROE</v>
      </c>
      <c r="E116" s="5">
        <v>15.75</v>
      </c>
      <c r="F116" s="5">
        <v>16.16</v>
      </c>
      <c r="G116" s="5">
        <v>32.450000000000003</v>
      </c>
      <c r="H116" s="5">
        <v>227.79</v>
      </c>
      <c r="I116" s="5">
        <v>17.309999999999999</v>
      </c>
      <c r="J116" s="5">
        <v>24.73</v>
      </c>
      <c r="K116" s="5">
        <v>0</v>
      </c>
      <c r="L116" s="5">
        <v>0</v>
      </c>
      <c r="M116" s="5">
        <v>16.190000000000001</v>
      </c>
      <c r="N116" s="5">
        <v>24.78</v>
      </c>
      <c r="O116" s="5">
        <v>224.25</v>
      </c>
    </row>
    <row r="117" spans="1:15" x14ac:dyDescent="0.2">
      <c r="A117" s="4" t="str">
        <f>"0194568827"</f>
        <v>0194568827</v>
      </c>
      <c r="B117" t="s">
        <v>105</v>
      </c>
      <c r="C117" t="str">
        <f t="shared" si="5"/>
        <v>18/01/01</v>
      </c>
      <c r="D117" t="str">
        <f t="shared" si="8"/>
        <v>MONROE</v>
      </c>
      <c r="E117" s="5">
        <v>0</v>
      </c>
      <c r="F117" s="5">
        <v>0</v>
      </c>
      <c r="G117" s="5">
        <v>0</v>
      </c>
      <c r="H117" s="5">
        <v>0</v>
      </c>
      <c r="I117" s="5">
        <v>0</v>
      </c>
      <c r="J117" s="5">
        <v>0</v>
      </c>
      <c r="K117" s="5">
        <v>0</v>
      </c>
      <c r="L117" s="5">
        <v>0</v>
      </c>
      <c r="M117" s="5">
        <v>16.87</v>
      </c>
      <c r="N117" s="5">
        <v>17.13</v>
      </c>
      <c r="O117" s="5">
        <v>0</v>
      </c>
    </row>
    <row r="118" spans="1:15" x14ac:dyDescent="0.2">
      <c r="A118" s="4" t="str">
        <f>"0147051127"</f>
        <v>0147051127</v>
      </c>
      <c r="B118" t="s">
        <v>72</v>
      </c>
      <c r="C118" t="str">
        <f t="shared" si="5"/>
        <v>18/01/01</v>
      </c>
      <c r="D118" t="str">
        <f t="shared" si="8"/>
        <v>MONROE</v>
      </c>
      <c r="E118" s="5">
        <v>25.85</v>
      </c>
      <c r="F118" s="5">
        <v>26.44</v>
      </c>
      <c r="G118" s="5">
        <v>28.11</v>
      </c>
      <c r="H118" s="5">
        <v>0</v>
      </c>
      <c r="I118" s="5">
        <v>26.51</v>
      </c>
      <c r="J118" s="5">
        <v>27.35</v>
      </c>
      <c r="K118" s="5">
        <v>125.25</v>
      </c>
      <c r="L118" s="5">
        <v>125.25</v>
      </c>
      <c r="M118" s="5">
        <v>0</v>
      </c>
      <c r="N118" s="5">
        <v>0</v>
      </c>
      <c r="O118" s="5">
        <v>0</v>
      </c>
    </row>
    <row r="119" spans="1:15" x14ac:dyDescent="0.2">
      <c r="A119" s="4" t="str">
        <f>"0416090927"</f>
        <v>0416090927</v>
      </c>
      <c r="B119" t="s">
        <v>145</v>
      </c>
      <c r="C119" t="str">
        <f t="shared" si="5"/>
        <v>18/01/01</v>
      </c>
      <c r="D119" t="str">
        <f t="shared" si="8"/>
        <v>MONROE</v>
      </c>
      <c r="E119" s="5">
        <v>0</v>
      </c>
      <c r="F119" s="5">
        <v>0</v>
      </c>
      <c r="G119" s="5">
        <v>0</v>
      </c>
      <c r="H119" s="5">
        <v>0</v>
      </c>
      <c r="I119" s="5">
        <v>0</v>
      </c>
      <c r="J119" s="5">
        <v>0</v>
      </c>
      <c r="K119" s="5">
        <v>156.33000000000001</v>
      </c>
      <c r="L119" s="5">
        <v>156.33000000000001</v>
      </c>
      <c r="M119" s="5">
        <v>19.8</v>
      </c>
      <c r="N119" s="5">
        <v>24.62</v>
      </c>
      <c r="O119" s="5">
        <v>234.55</v>
      </c>
    </row>
    <row r="120" spans="1:15" x14ac:dyDescent="0.2">
      <c r="A120" s="4" t="str">
        <f>"0048715027"</f>
        <v>0048715027</v>
      </c>
      <c r="B120" t="s">
        <v>10</v>
      </c>
      <c r="C120" t="str">
        <f t="shared" si="5"/>
        <v>18/01/01</v>
      </c>
      <c r="D120" t="str">
        <f t="shared" si="8"/>
        <v>MONROE</v>
      </c>
      <c r="E120" s="5">
        <v>0</v>
      </c>
      <c r="F120" s="5">
        <v>26.88</v>
      </c>
      <c r="G120" s="5">
        <v>0</v>
      </c>
      <c r="H120" s="5">
        <v>0</v>
      </c>
      <c r="I120" s="5">
        <v>0</v>
      </c>
      <c r="J120" s="5">
        <v>0</v>
      </c>
      <c r="K120" s="5">
        <v>84.85</v>
      </c>
      <c r="L120" s="5">
        <v>0</v>
      </c>
      <c r="M120" s="5">
        <v>0</v>
      </c>
      <c r="N120" s="5">
        <v>0</v>
      </c>
      <c r="O120" s="5">
        <v>0</v>
      </c>
    </row>
    <row r="121" spans="1:15" x14ac:dyDescent="0.2">
      <c r="A121" s="4" t="str">
        <f>"0417491627"</f>
        <v>0417491627</v>
      </c>
      <c r="B121" t="s">
        <v>147</v>
      </c>
      <c r="C121" t="str">
        <f t="shared" si="5"/>
        <v>18/01/01</v>
      </c>
      <c r="D121" t="str">
        <f t="shared" si="8"/>
        <v>MONROE</v>
      </c>
      <c r="E121" s="5">
        <v>0</v>
      </c>
      <c r="F121" s="5">
        <v>27.42</v>
      </c>
      <c r="G121" s="5">
        <v>0</v>
      </c>
      <c r="H121" s="5">
        <v>0</v>
      </c>
      <c r="I121" s="5">
        <v>0</v>
      </c>
      <c r="J121" s="5">
        <v>0</v>
      </c>
      <c r="K121" s="5">
        <v>127.5</v>
      </c>
      <c r="L121" s="5">
        <v>127.45</v>
      </c>
      <c r="M121" s="5">
        <v>26.08</v>
      </c>
      <c r="N121" s="5">
        <v>27.99</v>
      </c>
      <c r="O121" s="5">
        <v>204.01</v>
      </c>
    </row>
    <row r="122" spans="1:15" x14ac:dyDescent="0.2">
      <c r="A122" s="4" t="str">
        <f>"0231917527"</f>
        <v>0231917527</v>
      </c>
      <c r="B122" t="s">
        <v>115</v>
      </c>
      <c r="C122" t="str">
        <f t="shared" si="5"/>
        <v>18/01/01</v>
      </c>
      <c r="D122" t="str">
        <f t="shared" si="8"/>
        <v>MONROE</v>
      </c>
      <c r="E122" s="5">
        <v>17.309999999999999</v>
      </c>
      <c r="F122" s="5">
        <v>17.670000000000002</v>
      </c>
      <c r="G122" s="5">
        <v>0</v>
      </c>
      <c r="H122" s="5">
        <v>252.76</v>
      </c>
      <c r="I122" s="5">
        <v>0</v>
      </c>
      <c r="J122" s="5">
        <v>0</v>
      </c>
      <c r="K122" s="5">
        <v>67.72</v>
      </c>
      <c r="L122" s="5">
        <v>0</v>
      </c>
      <c r="M122" s="5">
        <v>17.149999999999999</v>
      </c>
      <c r="N122" s="5">
        <v>18.82</v>
      </c>
      <c r="O122" s="5">
        <v>248.01</v>
      </c>
    </row>
    <row r="123" spans="1:15" x14ac:dyDescent="0.2">
      <c r="A123" s="4" t="str">
        <f>"0301683727"</f>
        <v>0301683727</v>
      </c>
      <c r="B123" t="s">
        <v>132</v>
      </c>
      <c r="C123" t="str">
        <f t="shared" si="5"/>
        <v>18/01/01</v>
      </c>
      <c r="D123" t="str">
        <f t="shared" si="8"/>
        <v>MONROE</v>
      </c>
      <c r="E123" s="5">
        <v>0</v>
      </c>
      <c r="F123" s="5">
        <v>0</v>
      </c>
      <c r="G123" s="5">
        <v>0</v>
      </c>
      <c r="H123" s="5">
        <v>0</v>
      </c>
      <c r="I123" s="5">
        <v>0</v>
      </c>
      <c r="J123" s="5">
        <v>0</v>
      </c>
      <c r="K123" s="5">
        <v>113.43</v>
      </c>
      <c r="L123" s="5">
        <v>0</v>
      </c>
      <c r="M123" s="5">
        <v>16.98</v>
      </c>
      <c r="N123" s="5">
        <v>22.55</v>
      </c>
      <c r="O123" s="5">
        <v>270.39999999999998</v>
      </c>
    </row>
    <row r="124" spans="1:15" x14ac:dyDescent="0.2">
      <c r="A124" s="4" t="str">
        <f>"0293869027"</f>
        <v>0293869027</v>
      </c>
      <c r="B124" t="s">
        <v>128</v>
      </c>
      <c r="C124" t="str">
        <f t="shared" si="5"/>
        <v>18/01/01</v>
      </c>
      <c r="D124" t="str">
        <f t="shared" si="8"/>
        <v>MONROE</v>
      </c>
      <c r="E124" s="5">
        <v>21.21</v>
      </c>
      <c r="F124" s="5">
        <v>21.99</v>
      </c>
      <c r="G124" s="5">
        <v>0</v>
      </c>
      <c r="H124" s="5">
        <v>0</v>
      </c>
      <c r="I124" s="5">
        <v>0</v>
      </c>
      <c r="J124" s="5">
        <v>0</v>
      </c>
      <c r="K124" s="5">
        <v>0</v>
      </c>
      <c r="L124" s="5">
        <v>84.87</v>
      </c>
      <c r="M124" s="5">
        <v>0</v>
      </c>
      <c r="N124" s="5">
        <v>0</v>
      </c>
      <c r="O124" s="5">
        <v>0</v>
      </c>
    </row>
    <row r="125" spans="1:15" x14ac:dyDescent="0.2">
      <c r="A125" s="4" t="str">
        <f>"0035491227"</f>
        <v>0035491227</v>
      </c>
      <c r="B125" t="s">
        <v>7</v>
      </c>
      <c r="C125" t="str">
        <f t="shared" si="5"/>
        <v>18/01/01</v>
      </c>
      <c r="D125" t="str">
        <f t="shared" si="8"/>
        <v>MONROE</v>
      </c>
      <c r="E125" s="5">
        <v>24.11</v>
      </c>
      <c r="F125" s="5">
        <v>25.29</v>
      </c>
      <c r="G125" s="5">
        <v>28.85</v>
      </c>
      <c r="H125" s="5">
        <v>355.56</v>
      </c>
      <c r="I125" s="5">
        <v>25.72</v>
      </c>
      <c r="J125" s="5">
        <v>26.57</v>
      </c>
      <c r="K125" s="5">
        <v>155.93</v>
      </c>
      <c r="L125" s="5">
        <v>155.93</v>
      </c>
      <c r="M125" s="5">
        <v>19.23</v>
      </c>
      <c r="N125" s="5">
        <v>26.42</v>
      </c>
      <c r="O125" s="5">
        <v>297.31</v>
      </c>
    </row>
    <row r="126" spans="1:15" x14ac:dyDescent="0.2">
      <c r="A126" s="4" t="str">
        <f>"0352135928"</f>
        <v>0352135928</v>
      </c>
      <c r="B126" t="s">
        <v>140</v>
      </c>
      <c r="C126" t="str">
        <f t="shared" si="5"/>
        <v>18/01/01</v>
      </c>
      <c r="D126" t="str">
        <f>"MONTGOMERY"</f>
        <v>MONTGOMERY</v>
      </c>
      <c r="E126" s="5">
        <v>22.95</v>
      </c>
      <c r="F126" s="5">
        <v>24.01</v>
      </c>
      <c r="G126" s="5">
        <v>0</v>
      </c>
      <c r="H126" s="5">
        <v>0</v>
      </c>
      <c r="I126" s="5">
        <v>0</v>
      </c>
      <c r="J126" s="5">
        <v>0</v>
      </c>
      <c r="K126" s="5">
        <v>84.55</v>
      </c>
      <c r="L126" s="5">
        <v>84.55</v>
      </c>
      <c r="M126" s="5">
        <v>18.690000000000001</v>
      </c>
      <c r="N126" s="5">
        <v>0</v>
      </c>
      <c r="O126" s="5">
        <v>0</v>
      </c>
    </row>
    <row r="127" spans="1:15" x14ac:dyDescent="0.2">
      <c r="A127" s="4" t="str">
        <f>"0097412128"</f>
        <v>0097412128</v>
      </c>
      <c r="B127" t="s">
        <v>40</v>
      </c>
      <c r="C127" t="str">
        <f t="shared" si="5"/>
        <v>18/01/01</v>
      </c>
      <c r="D127" t="str">
        <f>"MONTGOMERY"</f>
        <v>MONTGOMERY</v>
      </c>
      <c r="E127" s="5">
        <v>0</v>
      </c>
      <c r="F127" s="5">
        <v>0</v>
      </c>
      <c r="G127" s="5">
        <v>0</v>
      </c>
      <c r="H127" s="5">
        <v>0</v>
      </c>
      <c r="I127" s="5">
        <v>0</v>
      </c>
      <c r="J127" s="5">
        <v>0</v>
      </c>
      <c r="K127" s="5">
        <v>0</v>
      </c>
      <c r="L127" s="5">
        <v>0</v>
      </c>
      <c r="M127" s="5">
        <v>15.54</v>
      </c>
      <c r="N127" s="5">
        <v>17.05</v>
      </c>
      <c r="O127" s="5">
        <v>0</v>
      </c>
    </row>
    <row r="128" spans="1:15" x14ac:dyDescent="0.2">
      <c r="A128" s="4" t="str">
        <f>"0121121028"</f>
        <v>0121121028</v>
      </c>
      <c r="B128" t="s">
        <v>60</v>
      </c>
      <c r="C128" t="str">
        <f t="shared" si="5"/>
        <v>18/01/01</v>
      </c>
      <c r="D128" t="str">
        <f>"MONTGOMERY"</f>
        <v>MONTGOMERY</v>
      </c>
      <c r="E128" s="5">
        <v>0</v>
      </c>
      <c r="F128" s="5">
        <v>23.41</v>
      </c>
      <c r="G128" s="5">
        <v>0</v>
      </c>
      <c r="H128" s="5">
        <v>0</v>
      </c>
      <c r="I128" s="5">
        <v>0</v>
      </c>
      <c r="J128" s="5">
        <v>0</v>
      </c>
      <c r="K128" s="5">
        <v>0</v>
      </c>
      <c r="L128" s="5">
        <v>84.43</v>
      </c>
      <c r="M128" s="5">
        <v>18.66</v>
      </c>
      <c r="N128" s="5">
        <v>0</v>
      </c>
      <c r="O128" s="5">
        <v>0</v>
      </c>
    </row>
    <row r="129" spans="1:15" x14ac:dyDescent="0.2">
      <c r="A129" s="4" t="str">
        <f>"0349929028"</f>
        <v>0349929028</v>
      </c>
      <c r="B129" t="s">
        <v>139</v>
      </c>
      <c r="C129" t="str">
        <f t="shared" si="5"/>
        <v>18/01/01</v>
      </c>
      <c r="D129" t="str">
        <f>"MONTGOMERY"</f>
        <v>MONTGOMERY</v>
      </c>
      <c r="E129" s="5">
        <v>23.66</v>
      </c>
      <c r="F129" s="5">
        <v>22.76</v>
      </c>
      <c r="G129" s="5">
        <v>0</v>
      </c>
      <c r="H129" s="5">
        <v>0</v>
      </c>
      <c r="I129" s="5">
        <v>17.54</v>
      </c>
      <c r="J129" s="5">
        <v>16.68</v>
      </c>
      <c r="K129" s="5">
        <v>32.799999999999997</v>
      </c>
      <c r="L129" s="5">
        <v>29.29</v>
      </c>
      <c r="M129" s="5">
        <v>0</v>
      </c>
      <c r="N129" s="5">
        <v>0</v>
      </c>
      <c r="O129" s="5">
        <v>0</v>
      </c>
    </row>
    <row r="130" spans="1:15" x14ac:dyDescent="0.2">
      <c r="A130" s="4" t="str">
        <f>"0170109128"</f>
        <v>0170109128</v>
      </c>
      <c r="B130" t="s">
        <v>85</v>
      </c>
      <c r="C130" t="str">
        <f t="shared" si="5"/>
        <v>18/01/01</v>
      </c>
      <c r="D130" t="str">
        <f>"MONTGOMERY"</f>
        <v>MONTGOMERY</v>
      </c>
      <c r="E130" s="5">
        <v>22.99</v>
      </c>
      <c r="F130" s="5">
        <v>23.02</v>
      </c>
      <c r="G130" s="5">
        <v>23.35</v>
      </c>
      <c r="H130" s="5">
        <v>370.94</v>
      </c>
      <c r="I130" s="5">
        <v>23.35</v>
      </c>
      <c r="J130" s="5">
        <v>23.35</v>
      </c>
      <c r="K130" s="5">
        <v>84.52</v>
      </c>
      <c r="L130" s="5">
        <v>84.52</v>
      </c>
      <c r="M130" s="5">
        <v>19.43</v>
      </c>
      <c r="N130" s="5">
        <v>20.89</v>
      </c>
      <c r="O130" s="5">
        <v>308.23</v>
      </c>
    </row>
    <row r="131" spans="1:15" x14ac:dyDescent="0.2">
      <c r="A131" s="4" t="str">
        <f>"0035467829"</f>
        <v>0035467829</v>
      </c>
      <c r="B131" t="s">
        <v>4</v>
      </c>
      <c r="C131" t="str">
        <f t="shared" si="5"/>
        <v>18/01/01</v>
      </c>
      <c r="D131" t="str">
        <f t="shared" ref="D131:D155" si="9">"NASSAU"</f>
        <v>NASSAU</v>
      </c>
      <c r="E131" s="5">
        <v>0</v>
      </c>
      <c r="F131" s="5">
        <v>26.62</v>
      </c>
      <c r="G131" s="5">
        <v>33.43</v>
      </c>
      <c r="H131" s="5">
        <v>330.89</v>
      </c>
      <c r="I131" s="5">
        <v>33.43</v>
      </c>
      <c r="J131" s="5">
        <v>0</v>
      </c>
      <c r="K131" s="5">
        <v>102.62</v>
      </c>
      <c r="L131" s="5">
        <v>0</v>
      </c>
      <c r="M131" s="5">
        <v>25.78</v>
      </c>
      <c r="N131" s="5">
        <v>26.34</v>
      </c>
      <c r="O131" s="5">
        <v>264.83</v>
      </c>
    </row>
    <row r="132" spans="1:15" x14ac:dyDescent="0.2">
      <c r="A132" s="4" t="str">
        <f>"0035466929"</f>
        <v>0035466929</v>
      </c>
      <c r="B132" t="s">
        <v>3</v>
      </c>
      <c r="C132" t="str">
        <f t="shared" si="5"/>
        <v>18/01/01</v>
      </c>
      <c r="D132" t="str">
        <f t="shared" si="9"/>
        <v>NASSAU</v>
      </c>
      <c r="E132" s="5">
        <v>28.56</v>
      </c>
      <c r="F132" s="5">
        <v>26.74</v>
      </c>
      <c r="G132" s="5">
        <v>36.74</v>
      </c>
      <c r="H132" s="5">
        <v>346.33</v>
      </c>
      <c r="I132" s="5">
        <v>27.65</v>
      </c>
      <c r="J132" s="5">
        <v>29.69</v>
      </c>
      <c r="K132" s="5">
        <v>178.22</v>
      </c>
      <c r="L132" s="5">
        <v>111.45</v>
      </c>
      <c r="M132" s="5">
        <v>26.42</v>
      </c>
      <c r="N132" s="5">
        <v>27.52</v>
      </c>
      <c r="O132" s="5">
        <v>337.16</v>
      </c>
    </row>
    <row r="133" spans="1:15" x14ac:dyDescent="0.2">
      <c r="A133" s="4" t="str">
        <f>"0084696029"</f>
        <v>0084696029</v>
      </c>
      <c r="B133" t="s">
        <v>27</v>
      </c>
      <c r="C133" t="str">
        <f t="shared" ref="C133:C196" si="10">"18/01/01"</f>
        <v>18/01/01</v>
      </c>
      <c r="D133" t="str">
        <f t="shared" si="9"/>
        <v>NASSAU</v>
      </c>
      <c r="E133" s="5">
        <v>19.36</v>
      </c>
      <c r="F133" s="5">
        <v>19.53</v>
      </c>
      <c r="G133" s="5">
        <v>24.9</v>
      </c>
      <c r="H133" s="5">
        <v>238.59</v>
      </c>
      <c r="I133" s="5">
        <v>21.15</v>
      </c>
      <c r="J133" s="5">
        <v>23.26</v>
      </c>
      <c r="K133" s="5">
        <v>100.66</v>
      </c>
      <c r="L133" s="5">
        <v>0</v>
      </c>
      <c r="M133" s="5">
        <v>20.010000000000002</v>
      </c>
      <c r="N133" s="5">
        <v>26.41</v>
      </c>
      <c r="O133" s="5">
        <v>241.09</v>
      </c>
    </row>
    <row r="134" spans="1:15" x14ac:dyDescent="0.2">
      <c r="A134" s="4" t="str">
        <f>"0085078429"</f>
        <v>0085078429</v>
      </c>
      <c r="B134" t="s">
        <v>28</v>
      </c>
      <c r="C134" t="str">
        <f t="shared" si="10"/>
        <v>18/01/01</v>
      </c>
      <c r="D134" t="str">
        <f t="shared" si="9"/>
        <v>NASSAU</v>
      </c>
      <c r="E134" s="5">
        <v>22.77</v>
      </c>
      <c r="F134" s="5">
        <v>22.78</v>
      </c>
      <c r="G134" s="5">
        <v>25.05</v>
      </c>
      <c r="H134" s="5">
        <v>283.91000000000003</v>
      </c>
      <c r="I134" s="5">
        <v>22.77</v>
      </c>
      <c r="J134" s="5">
        <v>26.08</v>
      </c>
      <c r="K134" s="5">
        <v>139.76</v>
      </c>
      <c r="L134" s="5">
        <v>107.87</v>
      </c>
      <c r="M134" s="5">
        <v>22.5</v>
      </c>
      <c r="N134" s="5">
        <v>34.950000000000003</v>
      </c>
      <c r="O134" s="5">
        <v>40.24</v>
      </c>
    </row>
    <row r="135" spans="1:15" x14ac:dyDescent="0.2">
      <c r="A135" s="4" t="str">
        <f>"0078841829"</f>
        <v>0078841829</v>
      </c>
      <c r="B135" t="s">
        <v>22</v>
      </c>
      <c r="C135" t="str">
        <f t="shared" si="10"/>
        <v>18/01/01</v>
      </c>
      <c r="D135" t="str">
        <f t="shared" si="9"/>
        <v>NASSAU</v>
      </c>
      <c r="E135" s="5">
        <v>21.72</v>
      </c>
      <c r="F135" s="5">
        <v>20.77</v>
      </c>
      <c r="G135" s="5">
        <v>27.4</v>
      </c>
      <c r="H135" s="5">
        <v>256.45999999999998</v>
      </c>
      <c r="I135" s="5">
        <v>25.52</v>
      </c>
      <c r="J135" s="5">
        <v>30.14</v>
      </c>
      <c r="K135" s="5">
        <v>103.41</v>
      </c>
      <c r="L135" s="5">
        <v>147.88999999999999</v>
      </c>
      <c r="M135" s="5">
        <v>18.329999999999998</v>
      </c>
      <c r="N135" s="5">
        <v>25.8</v>
      </c>
      <c r="O135" s="5">
        <v>341.01</v>
      </c>
    </row>
    <row r="136" spans="1:15" x14ac:dyDescent="0.2">
      <c r="A136" s="4" t="str">
        <f>"0124688629"</f>
        <v>0124688629</v>
      </c>
      <c r="B136" t="s">
        <v>61</v>
      </c>
      <c r="C136" t="str">
        <f t="shared" si="10"/>
        <v>18/01/01</v>
      </c>
      <c r="D136" t="str">
        <f t="shared" si="9"/>
        <v>NASSAU</v>
      </c>
      <c r="E136" s="5">
        <v>24.56</v>
      </c>
      <c r="F136" s="5">
        <v>24.84</v>
      </c>
      <c r="G136" s="5">
        <v>35.020000000000003</v>
      </c>
      <c r="H136" s="5">
        <v>305.43</v>
      </c>
      <c r="I136" s="5">
        <v>27.69</v>
      </c>
      <c r="J136" s="5">
        <v>29.73</v>
      </c>
      <c r="K136" s="5">
        <v>158.59</v>
      </c>
      <c r="L136" s="5">
        <v>170.19</v>
      </c>
      <c r="M136" s="5">
        <v>25.15</v>
      </c>
      <c r="N136" s="5">
        <v>26.29</v>
      </c>
      <c r="O136" s="5">
        <v>324.18</v>
      </c>
    </row>
    <row r="137" spans="1:15" x14ac:dyDescent="0.2">
      <c r="A137" s="4" t="str">
        <f>"0240779829"</f>
        <v>0240779829</v>
      </c>
      <c r="B137" t="s">
        <v>120</v>
      </c>
      <c r="C137" t="str">
        <f t="shared" si="10"/>
        <v>18/01/01</v>
      </c>
      <c r="D137" t="str">
        <f t="shared" si="9"/>
        <v>NASSAU</v>
      </c>
      <c r="E137" s="5">
        <v>0</v>
      </c>
      <c r="F137" s="5">
        <v>0</v>
      </c>
      <c r="G137" s="5">
        <v>0</v>
      </c>
      <c r="H137" s="5">
        <v>0</v>
      </c>
      <c r="I137" s="5">
        <v>0</v>
      </c>
      <c r="J137" s="5">
        <v>0</v>
      </c>
      <c r="K137" s="5">
        <v>0</v>
      </c>
      <c r="L137" s="5">
        <v>0</v>
      </c>
      <c r="M137" s="5">
        <v>23.07</v>
      </c>
      <c r="N137" s="5">
        <v>22.73</v>
      </c>
      <c r="O137" s="5">
        <v>296.83</v>
      </c>
    </row>
    <row r="138" spans="1:15" x14ac:dyDescent="0.2">
      <c r="A138" s="4" t="str">
        <f>"0148777829"</f>
        <v>0148777829</v>
      </c>
      <c r="B138" t="s">
        <v>74</v>
      </c>
      <c r="C138" t="str">
        <f t="shared" si="10"/>
        <v>18/01/01</v>
      </c>
      <c r="D138" t="str">
        <f t="shared" si="9"/>
        <v>NASSAU</v>
      </c>
      <c r="E138" s="5">
        <v>22.7</v>
      </c>
      <c r="F138" s="5">
        <v>22.91</v>
      </c>
      <c r="G138" s="5">
        <v>33.14</v>
      </c>
      <c r="H138" s="5">
        <v>293.62</v>
      </c>
      <c r="I138" s="5">
        <v>33.14</v>
      </c>
      <c r="J138" s="5">
        <v>32.979999999999997</v>
      </c>
      <c r="K138" s="5">
        <v>112.85</v>
      </c>
      <c r="L138" s="5">
        <v>153</v>
      </c>
      <c r="M138" s="5">
        <v>26.37</v>
      </c>
      <c r="N138" s="5">
        <v>28</v>
      </c>
      <c r="O138" s="5">
        <v>341.26</v>
      </c>
    </row>
    <row r="139" spans="1:15" x14ac:dyDescent="0.2">
      <c r="A139" s="4" t="str">
        <f>"0035468729"</f>
        <v>0035468729</v>
      </c>
      <c r="B139" t="s">
        <v>5</v>
      </c>
      <c r="C139" t="str">
        <f t="shared" si="10"/>
        <v>18/01/01</v>
      </c>
      <c r="D139" t="str">
        <f t="shared" si="9"/>
        <v>NASSAU</v>
      </c>
      <c r="E139" s="5">
        <v>25.13</v>
      </c>
      <c r="F139" s="5">
        <v>25.4</v>
      </c>
      <c r="G139" s="5">
        <v>29.93</v>
      </c>
      <c r="H139" s="5">
        <v>315.52999999999997</v>
      </c>
      <c r="I139" s="5">
        <v>30.34</v>
      </c>
      <c r="J139" s="5">
        <v>28.88</v>
      </c>
      <c r="K139" s="5">
        <v>114.51</v>
      </c>
      <c r="L139" s="5">
        <v>132.46</v>
      </c>
      <c r="M139" s="5">
        <v>25.2</v>
      </c>
      <c r="N139" s="5">
        <v>26.03</v>
      </c>
      <c r="O139" s="5">
        <v>327.14</v>
      </c>
    </row>
    <row r="140" spans="1:15" x14ac:dyDescent="0.2">
      <c r="A140" s="4" t="str">
        <f>"0081865329"</f>
        <v>0081865329</v>
      </c>
      <c r="B140" t="s">
        <v>26</v>
      </c>
      <c r="C140" t="str">
        <f t="shared" si="10"/>
        <v>18/01/01</v>
      </c>
      <c r="D140" t="str">
        <f t="shared" si="9"/>
        <v>NASSAU</v>
      </c>
      <c r="E140" s="5">
        <v>22.17</v>
      </c>
      <c r="F140" s="5">
        <v>22.57</v>
      </c>
      <c r="G140" s="5">
        <v>28.02</v>
      </c>
      <c r="H140" s="5">
        <v>275.14</v>
      </c>
      <c r="I140" s="5">
        <v>0</v>
      </c>
      <c r="J140" s="5">
        <v>0</v>
      </c>
      <c r="K140" s="5">
        <v>95.66</v>
      </c>
      <c r="L140" s="5">
        <v>0</v>
      </c>
      <c r="M140" s="5">
        <v>21.89</v>
      </c>
      <c r="N140" s="5">
        <v>0</v>
      </c>
      <c r="O140" s="5">
        <v>251.14</v>
      </c>
    </row>
    <row r="141" spans="1:15" x14ac:dyDescent="0.2">
      <c r="A141" s="4" t="str">
        <f>"0150897429"</f>
        <v>0150897429</v>
      </c>
      <c r="B141" t="s">
        <v>76</v>
      </c>
      <c r="C141" t="str">
        <f t="shared" si="10"/>
        <v>18/01/01</v>
      </c>
      <c r="D141" t="str">
        <f t="shared" si="9"/>
        <v>NASSAU</v>
      </c>
      <c r="E141" s="5">
        <v>25.65</v>
      </c>
      <c r="F141" s="5">
        <v>25.68</v>
      </c>
      <c r="G141" s="5">
        <v>35.14</v>
      </c>
      <c r="H141" s="5">
        <v>312.38</v>
      </c>
      <c r="I141" s="5">
        <v>29.59</v>
      </c>
      <c r="J141" s="5">
        <v>31.64</v>
      </c>
      <c r="K141" s="5">
        <v>129.6</v>
      </c>
      <c r="L141" s="5">
        <v>177.16</v>
      </c>
      <c r="M141" s="5">
        <v>22.52</v>
      </c>
      <c r="N141" s="5">
        <v>26.53</v>
      </c>
      <c r="O141" s="5">
        <v>326.02</v>
      </c>
    </row>
    <row r="142" spans="1:15" x14ac:dyDescent="0.2">
      <c r="A142" s="4" t="str">
        <f>"0144435729"</f>
        <v>0144435729</v>
      </c>
      <c r="B142" t="s">
        <v>69</v>
      </c>
      <c r="C142" t="str">
        <f t="shared" si="10"/>
        <v>18/01/01</v>
      </c>
      <c r="D142" t="str">
        <f t="shared" si="9"/>
        <v>NASSAU</v>
      </c>
      <c r="E142" s="5">
        <v>22.68</v>
      </c>
      <c r="F142" s="5">
        <v>21.73</v>
      </c>
      <c r="G142" s="5">
        <v>26.42</v>
      </c>
      <c r="H142" s="5">
        <v>252.69</v>
      </c>
      <c r="I142" s="5">
        <v>26.42</v>
      </c>
      <c r="J142" s="5">
        <v>26.42</v>
      </c>
      <c r="K142" s="5">
        <v>90.31</v>
      </c>
      <c r="L142" s="5">
        <v>90.31</v>
      </c>
      <c r="M142" s="5">
        <v>22.39</v>
      </c>
      <c r="N142" s="5">
        <v>23.91</v>
      </c>
      <c r="O142" s="5">
        <v>263.99</v>
      </c>
    </row>
    <row r="143" spans="1:15" x14ac:dyDescent="0.2">
      <c r="A143" s="4" t="str">
        <f>"0179473829"</f>
        <v>0179473829</v>
      </c>
      <c r="B143" t="s">
        <v>100</v>
      </c>
      <c r="C143" t="str">
        <f t="shared" si="10"/>
        <v>18/01/01</v>
      </c>
      <c r="D143" t="str">
        <f t="shared" si="9"/>
        <v>NASSAU</v>
      </c>
      <c r="E143" s="5">
        <v>0</v>
      </c>
      <c r="F143" s="5">
        <v>0</v>
      </c>
      <c r="G143" s="5">
        <v>0</v>
      </c>
      <c r="H143" s="5">
        <v>0</v>
      </c>
      <c r="I143" s="5">
        <v>0</v>
      </c>
      <c r="J143" s="5">
        <v>0</v>
      </c>
      <c r="K143" s="5">
        <v>0</v>
      </c>
      <c r="L143" s="5">
        <v>0</v>
      </c>
      <c r="M143" s="5">
        <v>20.75</v>
      </c>
      <c r="N143" s="5">
        <v>25.53</v>
      </c>
      <c r="O143" s="5">
        <v>268.39999999999998</v>
      </c>
    </row>
    <row r="144" spans="1:15" x14ac:dyDescent="0.2">
      <c r="A144" s="4" t="str">
        <f>"0136467629"</f>
        <v>0136467629</v>
      </c>
      <c r="B144" t="s">
        <v>68</v>
      </c>
      <c r="C144" t="str">
        <f t="shared" si="10"/>
        <v>18/01/01</v>
      </c>
      <c r="D144" t="str">
        <f t="shared" si="9"/>
        <v>NASSAU</v>
      </c>
      <c r="E144" s="5">
        <v>24.09</v>
      </c>
      <c r="F144" s="5">
        <v>22.14</v>
      </c>
      <c r="G144" s="5">
        <v>28.85</v>
      </c>
      <c r="H144" s="5">
        <v>272.64999999999998</v>
      </c>
      <c r="I144" s="5">
        <v>28.85</v>
      </c>
      <c r="J144" s="5">
        <v>28.85</v>
      </c>
      <c r="K144" s="5">
        <v>95.21</v>
      </c>
      <c r="L144" s="5">
        <v>0</v>
      </c>
      <c r="M144" s="5">
        <v>0</v>
      </c>
      <c r="N144" s="5">
        <v>0</v>
      </c>
      <c r="O144" s="5">
        <v>0</v>
      </c>
    </row>
    <row r="145" spans="1:15" x14ac:dyDescent="0.2">
      <c r="A145" s="4" t="str">
        <f>"0106927229"</f>
        <v>0106927229</v>
      </c>
      <c r="B145" t="s">
        <v>51</v>
      </c>
      <c r="C145" t="str">
        <f t="shared" si="10"/>
        <v>18/01/01</v>
      </c>
      <c r="D145" t="str">
        <f t="shared" si="9"/>
        <v>NASSAU</v>
      </c>
      <c r="E145" s="5">
        <v>26.65</v>
      </c>
      <c r="F145" s="5">
        <v>26.64</v>
      </c>
      <c r="G145" s="5">
        <v>0</v>
      </c>
      <c r="H145" s="5">
        <v>322.81</v>
      </c>
      <c r="I145" s="5">
        <v>28.23</v>
      </c>
      <c r="J145" s="5">
        <v>29.64</v>
      </c>
      <c r="K145" s="5">
        <v>118.37</v>
      </c>
      <c r="L145" s="5">
        <v>124.82</v>
      </c>
      <c r="M145" s="5">
        <v>28.21</v>
      </c>
      <c r="N145" s="5">
        <v>28.56</v>
      </c>
      <c r="O145" s="5">
        <v>349.99</v>
      </c>
    </row>
    <row r="146" spans="1:15" x14ac:dyDescent="0.2">
      <c r="A146" s="4" t="str">
        <f>"0150251029"</f>
        <v>0150251029</v>
      </c>
      <c r="B146" t="s">
        <v>75</v>
      </c>
      <c r="C146" t="str">
        <f t="shared" si="10"/>
        <v>18/01/01</v>
      </c>
      <c r="D146" t="str">
        <f t="shared" si="9"/>
        <v>NASSAU</v>
      </c>
      <c r="E146" s="5">
        <v>28.74</v>
      </c>
      <c r="F146" s="5">
        <v>32.82</v>
      </c>
      <c r="G146" s="5">
        <v>33.68</v>
      </c>
      <c r="H146" s="5">
        <v>295.60000000000002</v>
      </c>
      <c r="I146" s="5">
        <v>33.86</v>
      </c>
      <c r="J146" s="5">
        <v>30.95</v>
      </c>
      <c r="K146" s="5">
        <v>166.06</v>
      </c>
      <c r="L146" s="5">
        <v>0</v>
      </c>
      <c r="M146" s="5">
        <v>25.45</v>
      </c>
      <c r="N146" s="5">
        <v>0</v>
      </c>
      <c r="O146" s="5">
        <v>299.81</v>
      </c>
    </row>
    <row r="147" spans="1:15" x14ac:dyDescent="0.2">
      <c r="A147" s="4" t="str">
        <f>"0108728729"</f>
        <v>0108728729</v>
      </c>
      <c r="B147" t="s">
        <v>54</v>
      </c>
      <c r="C147" t="str">
        <f t="shared" si="10"/>
        <v>18/01/01</v>
      </c>
      <c r="D147" t="str">
        <f t="shared" si="9"/>
        <v>NASSAU</v>
      </c>
      <c r="E147" s="5">
        <v>21.85</v>
      </c>
      <c r="F147" s="5">
        <v>22.12</v>
      </c>
      <c r="G147" s="5">
        <v>26.36</v>
      </c>
      <c r="H147" s="5">
        <v>272.19</v>
      </c>
      <c r="I147" s="5">
        <v>27.61</v>
      </c>
      <c r="J147" s="5">
        <v>25</v>
      </c>
      <c r="K147" s="5">
        <v>118.14</v>
      </c>
      <c r="L147" s="5">
        <v>0</v>
      </c>
      <c r="M147" s="5">
        <v>0</v>
      </c>
      <c r="N147" s="5">
        <v>0</v>
      </c>
      <c r="O147" s="5">
        <v>0</v>
      </c>
    </row>
    <row r="148" spans="1:15" x14ac:dyDescent="0.2">
      <c r="A148" s="4" t="str">
        <f>"0042019529"</f>
        <v>0042019529</v>
      </c>
      <c r="B148" t="s">
        <v>9</v>
      </c>
      <c r="C148" t="str">
        <f t="shared" si="10"/>
        <v>18/01/01</v>
      </c>
      <c r="D148" t="str">
        <f t="shared" si="9"/>
        <v>NASSAU</v>
      </c>
      <c r="E148" s="5">
        <v>19.61</v>
      </c>
      <c r="F148" s="5">
        <v>19.899999999999999</v>
      </c>
      <c r="G148" s="5">
        <v>26.37</v>
      </c>
      <c r="H148" s="5">
        <v>243.45</v>
      </c>
      <c r="I148" s="5">
        <v>25.48</v>
      </c>
      <c r="J148" s="5">
        <v>24.72</v>
      </c>
      <c r="K148" s="5">
        <v>90.43</v>
      </c>
      <c r="L148" s="5">
        <v>90.43</v>
      </c>
      <c r="M148" s="5">
        <v>21.8</v>
      </c>
      <c r="N148" s="5">
        <v>22.77</v>
      </c>
      <c r="O148" s="5">
        <v>251.9</v>
      </c>
    </row>
    <row r="149" spans="1:15" x14ac:dyDescent="0.2">
      <c r="A149" s="4" t="str">
        <f>"0172952429"</f>
        <v>0172952429</v>
      </c>
      <c r="B149" t="s">
        <v>88</v>
      </c>
      <c r="C149" t="str">
        <f t="shared" si="10"/>
        <v>18/01/01</v>
      </c>
      <c r="D149" t="str">
        <f t="shared" si="9"/>
        <v>NASSAU</v>
      </c>
      <c r="E149" s="5">
        <v>21.46</v>
      </c>
      <c r="F149" s="5">
        <v>21.73</v>
      </c>
      <c r="G149" s="5">
        <v>23.27</v>
      </c>
      <c r="H149" s="5">
        <v>267.32</v>
      </c>
      <c r="I149" s="5">
        <v>24.19</v>
      </c>
      <c r="J149" s="5">
        <v>23.82</v>
      </c>
      <c r="K149" s="5">
        <v>24.12</v>
      </c>
      <c r="L149" s="5">
        <v>24.16</v>
      </c>
      <c r="M149" s="5">
        <v>19.79</v>
      </c>
      <c r="N149" s="5">
        <v>20.36</v>
      </c>
      <c r="O149" s="5">
        <v>255.69</v>
      </c>
    </row>
    <row r="150" spans="1:15" x14ac:dyDescent="0.2">
      <c r="A150" s="4" t="str">
        <f>"0035486129"</f>
        <v>0035486129</v>
      </c>
      <c r="B150" t="s">
        <v>6</v>
      </c>
      <c r="C150" t="str">
        <f t="shared" si="10"/>
        <v>18/01/01</v>
      </c>
      <c r="D150" t="str">
        <f t="shared" si="9"/>
        <v>NASSAU</v>
      </c>
      <c r="E150" s="5">
        <v>26.88</v>
      </c>
      <c r="F150" s="5">
        <v>18.04</v>
      </c>
      <c r="G150" s="5">
        <v>33.1</v>
      </c>
      <c r="H150" s="5">
        <v>237.72</v>
      </c>
      <c r="I150" s="5">
        <v>27.86</v>
      </c>
      <c r="J150" s="5">
        <v>29.91</v>
      </c>
      <c r="K150" s="5">
        <v>122.59</v>
      </c>
      <c r="L150" s="5">
        <v>153.75</v>
      </c>
      <c r="M150" s="5">
        <v>19.97</v>
      </c>
      <c r="N150" s="5">
        <v>26.36</v>
      </c>
      <c r="O150" s="5">
        <v>248.71</v>
      </c>
    </row>
    <row r="151" spans="1:15" x14ac:dyDescent="0.2">
      <c r="A151" s="4" t="str">
        <f>"0161452029"</f>
        <v>0161452029</v>
      </c>
      <c r="B151" t="s">
        <v>78</v>
      </c>
      <c r="C151" t="str">
        <f t="shared" si="10"/>
        <v>18/01/01</v>
      </c>
      <c r="D151" t="str">
        <f t="shared" si="9"/>
        <v>NASSAU</v>
      </c>
      <c r="E151" s="5">
        <v>0</v>
      </c>
      <c r="F151" s="5">
        <v>24.23</v>
      </c>
      <c r="G151" s="5">
        <v>0</v>
      </c>
      <c r="H151" s="5">
        <v>255.14</v>
      </c>
      <c r="I151" s="5">
        <v>0</v>
      </c>
      <c r="J151" s="5">
        <v>0</v>
      </c>
      <c r="K151" s="5">
        <v>90.25</v>
      </c>
      <c r="L151" s="5">
        <v>0</v>
      </c>
      <c r="M151" s="5">
        <v>0</v>
      </c>
      <c r="N151" s="5">
        <v>0</v>
      </c>
      <c r="O151" s="5">
        <v>0</v>
      </c>
    </row>
    <row r="152" spans="1:15" x14ac:dyDescent="0.2">
      <c r="A152" s="4" t="str">
        <f>"0108549629"</f>
        <v>0108549629</v>
      </c>
      <c r="B152" t="s">
        <v>53</v>
      </c>
      <c r="C152" t="str">
        <f t="shared" si="10"/>
        <v>18/01/01</v>
      </c>
      <c r="D152" t="str">
        <f t="shared" si="9"/>
        <v>NASSAU</v>
      </c>
      <c r="E152" s="5">
        <v>26.87</v>
      </c>
      <c r="F152" s="5">
        <v>24.62</v>
      </c>
      <c r="G152" s="5">
        <v>35.1</v>
      </c>
      <c r="H152" s="5">
        <v>291.17</v>
      </c>
      <c r="I152" s="5">
        <v>27.85</v>
      </c>
      <c r="J152" s="5">
        <v>29.9</v>
      </c>
      <c r="K152" s="5">
        <v>153.77000000000001</v>
      </c>
      <c r="L152" s="5">
        <v>153.77000000000001</v>
      </c>
      <c r="M152" s="5">
        <v>20.52</v>
      </c>
      <c r="N152" s="5">
        <v>26.35</v>
      </c>
      <c r="O152" s="5">
        <v>266.16000000000003</v>
      </c>
    </row>
    <row r="153" spans="1:15" x14ac:dyDescent="0.2">
      <c r="A153" s="4" t="str">
        <f>"0035491229"</f>
        <v>0035491229</v>
      </c>
      <c r="B153" t="s">
        <v>7</v>
      </c>
      <c r="C153" t="str">
        <f t="shared" si="10"/>
        <v>18/01/01</v>
      </c>
      <c r="D153" t="str">
        <f t="shared" si="9"/>
        <v>NASSAU</v>
      </c>
      <c r="E153" s="5">
        <v>25.66</v>
      </c>
      <c r="F153" s="5">
        <v>24.5</v>
      </c>
      <c r="G153" s="5">
        <v>31.8</v>
      </c>
      <c r="H153" s="5">
        <v>301.77999999999997</v>
      </c>
      <c r="I153" s="5">
        <v>27.7</v>
      </c>
      <c r="J153" s="5">
        <v>27.7</v>
      </c>
      <c r="K153" s="5">
        <v>161.68</v>
      </c>
      <c r="L153" s="5">
        <v>161.68</v>
      </c>
      <c r="M153" s="5">
        <v>26.08</v>
      </c>
      <c r="N153" s="5">
        <v>28.58</v>
      </c>
      <c r="O153" s="5">
        <v>324.64999999999998</v>
      </c>
    </row>
    <row r="154" spans="1:15" x14ac:dyDescent="0.2">
      <c r="A154" s="4" t="str">
        <f>"0113351329"</f>
        <v>0113351329</v>
      </c>
      <c r="B154" t="s">
        <v>56</v>
      </c>
      <c r="C154" t="str">
        <f t="shared" si="10"/>
        <v>18/01/01</v>
      </c>
      <c r="D154" t="str">
        <f t="shared" si="9"/>
        <v>NASSAU</v>
      </c>
      <c r="E154" s="5">
        <v>24.02</v>
      </c>
      <c r="F154" s="5">
        <v>23.28</v>
      </c>
      <c r="G154" s="5">
        <v>35.020000000000003</v>
      </c>
      <c r="H154" s="5">
        <v>280.33</v>
      </c>
      <c r="I154" s="5">
        <v>28.65</v>
      </c>
      <c r="J154" s="5">
        <v>29.76</v>
      </c>
      <c r="K154" s="5">
        <v>98.29</v>
      </c>
      <c r="L154" s="5">
        <v>177.17</v>
      </c>
      <c r="M154" s="5">
        <v>25.21</v>
      </c>
      <c r="N154" s="5">
        <v>26.34</v>
      </c>
      <c r="O154" s="5">
        <v>324.49</v>
      </c>
    </row>
    <row r="155" spans="1:15" x14ac:dyDescent="0.2">
      <c r="A155" s="4" t="str">
        <f>"0072228929"</f>
        <v>0072228929</v>
      </c>
      <c r="B155" t="s">
        <v>21</v>
      </c>
      <c r="C155" t="str">
        <f t="shared" si="10"/>
        <v>18/01/01</v>
      </c>
      <c r="D155" t="str">
        <f t="shared" si="9"/>
        <v>NASSAU</v>
      </c>
      <c r="E155" s="5">
        <v>20.49</v>
      </c>
      <c r="F155" s="5">
        <v>22.87</v>
      </c>
      <c r="G155" s="5">
        <v>25.92</v>
      </c>
      <c r="H155" s="5">
        <v>282.10000000000002</v>
      </c>
      <c r="I155" s="5">
        <v>25.53</v>
      </c>
      <c r="J155" s="5">
        <v>25.04</v>
      </c>
      <c r="K155" s="5">
        <v>75.459999999999994</v>
      </c>
      <c r="L155" s="5">
        <v>0</v>
      </c>
      <c r="M155" s="5">
        <v>0</v>
      </c>
      <c r="N155" s="5">
        <v>0</v>
      </c>
      <c r="O155" s="5">
        <v>0</v>
      </c>
    </row>
    <row r="156" spans="1:15" x14ac:dyDescent="0.2">
      <c r="A156" s="4" t="str">
        <f>"0118018931"</f>
        <v>0118018931</v>
      </c>
      <c r="B156" t="s">
        <v>59</v>
      </c>
      <c r="C156" t="str">
        <f t="shared" si="10"/>
        <v>18/01/01</v>
      </c>
      <c r="D156" t="str">
        <f t="shared" ref="D156:D163" si="11">"NIAGARA"</f>
        <v>NIAGARA</v>
      </c>
      <c r="E156" s="5">
        <v>20.67</v>
      </c>
      <c r="F156" s="5">
        <v>20.6</v>
      </c>
      <c r="G156" s="5">
        <v>22.91</v>
      </c>
      <c r="H156" s="5">
        <v>252.78</v>
      </c>
      <c r="I156" s="5">
        <v>20.71</v>
      </c>
      <c r="J156" s="5">
        <v>21.86</v>
      </c>
      <c r="K156" s="5">
        <v>78.62</v>
      </c>
      <c r="L156" s="5">
        <v>0</v>
      </c>
      <c r="M156" s="5">
        <v>16.12</v>
      </c>
      <c r="N156" s="5">
        <v>22.91</v>
      </c>
      <c r="O156" s="5">
        <v>257.25</v>
      </c>
    </row>
    <row r="157" spans="1:15" x14ac:dyDescent="0.2">
      <c r="A157" s="4" t="str">
        <f>"0084696031"</f>
        <v>0084696031</v>
      </c>
      <c r="B157" t="s">
        <v>27</v>
      </c>
      <c r="C157" t="str">
        <f t="shared" si="10"/>
        <v>18/01/01</v>
      </c>
      <c r="D157" t="str">
        <f t="shared" si="11"/>
        <v>NIAGARA</v>
      </c>
      <c r="E157" s="5">
        <v>18.02</v>
      </c>
      <c r="F157" s="5">
        <v>18.170000000000002</v>
      </c>
      <c r="G157" s="5">
        <v>22.43</v>
      </c>
      <c r="H157" s="5">
        <v>249.91</v>
      </c>
      <c r="I157" s="5">
        <v>19.07</v>
      </c>
      <c r="J157" s="5">
        <v>19.93</v>
      </c>
      <c r="K157" s="5">
        <v>0</v>
      </c>
      <c r="L157" s="5">
        <v>0</v>
      </c>
      <c r="M157" s="5">
        <v>18.93</v>
      </c>
      <c r="N157" s="5">
        <v>24.46</v>
      </c>
      <c r="O157" s="5">
        <v>236.05</v>
      </c>
    </row>
    <row r="158" spans="1:15" x14ac:dyDescent="0.2">
      <c r="A158" s="4" t="str">
        <f>"0199214931"</f>
        <v>0199214931</v>
      </c>
      <c r="B158" t="s">
        <v>106</v>
      </c>
      <c r="C158" t="str">
        <f t="shared" si="10"/>
        <v>18/01/01</v>
      </c>
      <c r="D158" t="str">
        <f t="shared" si="11"/>
        <v>NIAGARA</v>
      </c>
      <c r="E158" s="5">
        <v>0</v>
      </c>
      <c r="F158" s="5">
        <v>22.9</v>
      </c>
      <c r="G158" s="5">
        <v>0</v>
      </c>
      <c r="H158" s="5">
        <v>0</v>
      </c>
      <c r="I158" s="5">
        <v>0</v>
      </c>
      <c r="J158" s="5">
        <v>0</v>
      </c>
      <c r="K158" s="5">
        <v>86.03</v>
      </c>
      <c r="L158" s="5">
        <v>85.82</v>
      </c>
      <c r="M158" s="5">
        <v>21.13</v>
      </c>
      <c r="N158" s="5">
        <v>23.06</v>
      </c>
      <c r="O158" s="5">
        <v>257.37</v>
      </c>
    </row>
    <row r="159" spans="1:15" x14ac:dyDescent="0.2">
      <c r="A159" s="4" t="str">
        <f>"0417491631"</f>
        <v>0417491631</v>
      </c>
      <c r="B159" t="s">
        <v>147</v>
      </c>
      <c r="C159" t="str">
        <f t="shared" si="10"/>
        <v>18/01/01</v>
      </c>
      <c r="D159" t="str">
        <f t="shared" si="11"/>
        <v>NIAGARA</v>
      </c>
      <c r="E159" s="5">
        <v>0</v>
      </c>
      <c r="F159" s="5">
        <v>0</v>
      </c>
      <c r="G159" s="5">
        <v>0</v>
      </c>
      <c r="H159" s="5">
        <v>0</v>
      </c>
      <c r="I159" s="5">
        <v>0</v>
      </c>
      <c r="J159" s="5">
        <v>0</v>
      </c>
      <c r="K159" s="5">
        <v>0</v>
      </c>
      <c r="L159" s="5">
        <v>0</v>
      </c>
      <c r="M159" s="5">
        <v>25.99</v>
      </c>
      <c r="N159" s="5">
        <v>27.58</v>
      </c>
      <c r="O159" s="5">
        <v>160.72999999999999</v>
      </c>
    </row>
    <row r="160" spans="1:15" x14ac:dyDescent="0.2">
      <c r="A160" s="4" t="str">
        <f>"0231917531"</f>
        <v>0231917531</v>
      </c>
      <c r="B160" t="s">
        <v>115</v>
      </c>
      <c r="C160" t="str">
        <f t="shared" si="10"/>
        <v>18/01/01</v>
      </c>
      <c r="D160" t="str">
        <f t="shared" si="11"/>
        <v>NIAGARA</v>
      </c>
      <c r="E160" s="5">
        <v>24.24</v>
      </c>
      <c r="F160" s="5">
        <v>24.24</v>
      </c>
      <c r="G160" s="5">
        <v>0</v>
      </c>
      <c r="H160" s="5">
        <v>385.72</v>
      </c>
      <c r="I160" s="5">
        <v>0</v>
      </c>
      <c r="J160" s="5">
        <v>0</v>
      </c>
      <c r="K160" s="5">
        <v>78.69</v>
      </c>
      <c r="L160" s="5">
        <v>0</v>
      </c>
      <c r="M160" s="5">
        <v>23.18</v>
      </c>
      <c r="N160" s="5">
        <v>24.24</v>
      </c>
      <c r="O160" s="5">
        <v>376.25</v>
      </c>
    </row>
    <row r="161" spans="1:15" x14ac:dyDescent="0.2">
      <c r="A161" s="4" t="str">
        <f>"0088797631"</f>
        <v>0088797631</v>
      </c>
      <c r="B161" t="s">
        <v>29</v>
      </c>
      <c r="C161" t="str">
        <f t="shared" si="10"/>
        <v>18/01/01</v>
      </c>
      <c r="D161" t="str">
        <f t="shared" si="11"/>
        <v>NIAGARA</v>
      </c>
      <c r="E161" s="5">
        <v>23.01</v>
      </c>
      <c r="F161" s="5">
        <v>23.78</v>
      </c>
      <c r="G161" s="5">
        <v>0</v>
      </c>
      <c r="H161" s="5">
        <v>0</v>
      </c>
      <c r="I161" s="5">
        <v>23.04</v>
      </c>
      <c r="J161" s="5">
        <v>23.87</v>
      </c>
      <c r="K161" s="5">
        <v>0</v>
      </c>
      <c r="L161" s="5">
        <v>54.97</v>
      </c>
      <c r="M161" s="5">
        <v>0</v>
      </c>
      <c r="N161" s="5">
        <v>0</v>
      </c>
      <c r="O161" s="5">
        <v>0</v>
      </c>
    </row>
    <row r="162" spans="1:15" x14ac:dyDescent="0.2">
      <c r="A162" s="4" t="str">
        <f>"0104801731"</f>
        <v>0104801731</v>
      </c>
      <c r="B162" t="s">
        <v>46</v>
      </c>
      <c r="C162" t="str">
        <f t="shared" si="10"/>
        <v>18/01/01</v>
      </c>
      <c r="D162" t="str">
        <f t="shared" si="11"/>
        <v>NIAGARA</v>
      </c>
      <c r="E162" s="5">
        <v>0</v>
      </c>
      <c r="F162" s="5">
        <v>0</v>
      </c>
      <c r="G162" s="5">
        <v>0</v>
      </c>
      <c r="H162" s="5">
        <v>0</v>
      </c>
      <c r="I162" s="5">
        <v>0</v>
      </c>
      <c r="J162" s="5">
        <v>0</v>
      </c>
      <c r="K162" s="5">
        <v>0</v>
      </c>
      <c r="L162" s="5">
        <v>0</v>
      </c>
      <c r="M162" s="5">
        <v>14.91</v>
      </c>
      <c r="N162" s="5">
        <v>21.12</v>
      </c>
      <c r="O162" s="5">
        <v>0</v>
      </c>
    </row>
    <row r="163" spans="1:15" x14ac:dyDescent="0.2">
      <c r="A163" s="4" t="str">
        <f>"0240778931"</f>
        <v>0240778931</v>
      </c>
      <c r="B163" t="s">
        <v>118</v>
      </c>
      <c r="C163" t="str">
        <f t="shared" si="10"/>
        <v>18/01/01</v>
      </c>
      <c r="D163" t="str">
        <f t="shared" si="11"/>
        <v>NIAGARA</v>
      </c>
      <c r="E163" s="5">
        <v>0</v>
      </c>
      <c r="F163" s="5">
        <v>0</v>
      </c>
      <c r="G163" s="5">
        <v>0</v>
      </c>
      <c r="H163" s="5">
        <v>0</v>
      </c>
      <c r="I163" s="5">
        <v>0</v>
      </c>
      <c r="J163" s="5">
        <v>0</v>
      </c>
      <c r="K163" s="5">
        <v>0</v>
      </c>
      <c r="L163" s="5">
        <v>0</v>
      </c>
      <c r="M163" s="5">
        <v>18.23</v>
      </c>
      <c r="N163" s="5">
        <v>0</v>
      </c>
      <c r="O163" s="5">
        <v>0</v>
      </c>
    </row>
    <row r="164" spans="1:15" x14ac:dyDescent="0.2">
      <c r="A164" s="4" t="str">
        <f>"0327725432"</f>
        <v>0327725432</v>
      </c>
      <c r="B164" t="s">
        <v>134</v>
      </c>
      <c r="C164" t="str">
        <f t="shared" si="10"/>
        <v>18/01/01</v>
      </c>
      <c r="D164" t="str">
        <f t="shared" ref="D164:D170" si="12">"ONEIDA"</f>
        <v>ONEIDA</v>
      </c>
      <c r="E164" s="5">
        <v>21.82</v>
      </c>
      <c r="F164" s="5">
        <v>18.03</v>
      </c>
      <c r="G164" s="5">
        <v>0</v>
      </c>
      <c r="H164" s="5">
        <v>0</v>
      </c>
      <c r="I164" s="5">
        <v>0</v>
      </c>
      <c r="J164" s="5">
        <v>0</v>
      </c>
      <c r="K164" s="5">
        <v>85.27</v>
      </c>
      <c r="L164" s="5">
        <v>98.01</v>
      </c>
      <c r="M164" s="5">
        <v>0</v>
      </c>
      <c r="N164" s="5">
        <v>0</v>
      </c>
      <c r="O164" s="5">
        <v>0</v>
      </c>
    </row>
    <row r="165" spans="1:15" x14ac:dyDescent="0.2">
      <c r="A165" s="4" t="str">
        <f>"0092127932"</f>
        <v>0092127932</v>
      </c>
      <c r="B165" t="s">
        <v>36</v>
      </c>
      <c r="C165" t="str">
        <f t="shared" si="10"/>
        <v>18/01/01</v>
      </c>
      <c r="D165" t="str">
        <f t="shared" si="12"/>
        <v>ONEIDA</v>
      </c>
      <c r="E165" s="5">
        <v>20.54</v>
      </c>
      <c r="F165" s="5">
        <v>21.12</v>
      </c>
      <c r="G165" s="5">
        <v>0</v>
      </c>
      <c r="H165" s="5">
        <v>0</v>
      </c>
      <c r="I165" s="5">
        <v>20.25</v>
      </c>
      <c r="J165" s="5">
        <v>20.02</v>
      </c>
      <c r="K165" s="5">
        <v>84.24</v>
      </c>
      <c r="L165" s="5">
        <v>0</v>
      </c>
      <c r="M165" s="5">
        <v>0</v>
      </c>
      <c r="N165" s="5">
        <v>0</v>
      </c>
      <c r="O165" s="5">
        <v>0</v>
      </c>
    </row>
    <row r="166" spans="1:15" x14ac:dyDescent="0.2">
      <c r="A166" s="4" t="str">
        <f>"0257536832"</f>
        <v>0257536832</v>
      </c>
      <c r="B166" t="s">
        <v>124</v>
      </c>
      <c r="C166" t="str">
        <f t="shared" si="10"/>
        <v>18/01/01</v>
      </c>
      <c r="D166" t="str">
        <f t="shared" si="12"/>
        <v>ONEIDA</v>
      </c>
      <c r="E166" s="5">
        <v>0</v>
      </c>
      <c r="F166" s="5">
        <v>0</v>
      </c>
      <c r="G166" s="5">
        <v>0</v>
      </c>
      <c r="H166" s="5">
        <v>0</v>
      </c>
      <c r="I166" s="5">
        <v>0</v>
      </c>
      <c r="J166" s="5">
        <v>0</v>
      </c>
      <c r="K166" s="5">
        <v>0</v>
      </c>
      <c r="L166" s="5">
        <v>0</v>
      </c>
      <c r="M166" s="5">
        <v>17.13</v>
      </c>
      <c r="N166" s="5">
        <v>17.12</v>
      </c>
      <c r="O166" s="5">
        <v>0</v>
      </c>
    </row>
    <row r="167" spans="1:15" x14ac:dyDescent="0.2">
      <c r="A167" s="4" t="str">
        <f>"0171776632"</f>
        <v>0171776632</v>
      </c>
      <c r="B167" t="s">
        <v>87</v>
      </c>
      <c r="C167" t="str">
        <f t="shared" si="10"/>
        <v>18/01/01</v>
      </c>
      <c r="D167" t="str">
        <f t="shared" si="12"/>
        <v>ONEIDA</v>
      </c>
      <c r="E167" s="5">
        <v>21.59</v>
      </c>
      <c r="F167" s="5">
        <v>22.46</v>
      </c>
      <c r="G167" s="5">
        <v>0</v>
      </c>
      <c r="H167" s="5">
        <v>0</v>
      </c>
      <c r="I167" s="5">
        <v>0</v>
      </c>
      <c r="J167" s="5">
        <v>0</v>
      </c>
      <c r="K167" s="5">
        <v>39.090000000000003</v>
      </c>
      <c r="L167" s="5">
        <v>0</v>
      </c>
      <c r="M167" s="5">
        <v>0</v>
      </c>
      <c r="N167" s="5">
        <v>0</v>
      </c>
      <c r="O167" s="5">
        <v>0</v>
      </c>
    </row>
    <row r="168" spans="1:15" x14ac:dyDescent="0.2">
      <c r="A168" s="4" t="str">
        <f>"0097412132"</f>
        <v>0097412132</v>
      </c>
      <c r="B168" t="s">
        <v>40</v>
      </c>
      <c r="C168" t="str">
        <f t="shared" si="10"/>
        <v>18/01/01</v>
      </c>
      <c r="D168" t="str">
        <f t="shared" si="12"/>
        <v>ONEIDA</v>
      </c>
      <c r="E168" s="5">
        <v>0</v>
      </c>
      <c r="F168" s="5">
        <v>0</v>
      </c>
      <c r="G168" s="5">
        <v>0</v>
      </c>
      <c r="H168" s="5">
        <v>0</v>
      </c>
      <c r="I168" s="5">
        <v>0</v>
      </c>
      <c r="J168" s="5">
        <v>0</v>
      </c>
      <c r="K168" s="5">
        <v>0</v>
      </c>
      <c r="L168" s="5">
        <v>0</v>
      </c>
      <c r="M168" s="5">
        <v>15.62</v>
      </c>
      <c r="N168" s="5">
        <v>17.64</v>
      </c>
      <c r="O168" s="5">
        <v>0</v>
      </c>
    </row>
    <row r="169" spans="1:15" x14ac:dyDescent="0.2">
      <c r="A169" s="4" t="str">
        <f>"0105243732"</f>
        <v>0105243732</v>
      </c>
      <c r="B169" t="s">
        <v>47</v>
      </c>
      <c r="C169" t="str">
        <f t="shared" si="10"/>
        <v>18/01/01</v>
      </c>
      <c r="D169" t="str">
        <f t="shared" si="12"/>
        <v>ONEIDA</v>
      </c>
      <c r="E169" s="5">
        <v>24.14</v>
      </c>
      <c r="F169" s="5">
        <v>22.33</v>
      </c>
      <c r="G169" s="5">
        <v>27.49</v>
      </c>
      <c r="H169" s="5">
        <v>280.42</v>
      </c>
      <c r="I169" s="5">
        <v>25.89</v>
      </c>
      <c r="J169" s="5">
        <v>27.31</v>
      </c>
      <c r="K169" s="5">
        <v>106.11</v>
      </c>
      <c r="L169" s="5">
        <v>0</v>
      </c>
      <c r="M169" s="5">
        <v>22.07</v>
      </c>
      <c r="N169" s="5">
        <v>24.47</v>
      </c>
      <c r="O169" s="5">
        <v>247.51</v>
      </c>
    </row>
    <row r="170" spans="1:15" x14ac:dyDescent="0.2">
      <c r="A170" s="4" t="str">
        <f>"0106073732"</f>
        <v>0106073732</v>
      </c>
      <c r="B170" t="s">
        <v>49</v>
      </c>
      <c r="C170" t="str">
        <f t="shared" si="10"/>
        <v>18/01/01</v>
      </c>
      <c r="D170" t="str">
        <f t="shared" si="12"/>
        <v>ONEIDA</v>
      </c>
      <c r="E170" s="5">
        <v>21.89</v>
      </c>
      <c r="F170" s="5">
        <v>22.68</v>
      </c>
      <c r="G170" s="5">
        <v>0</v>
      </c>
      <c r="H170" s="5">
        <v>0</v>
      </c>
      <c r="I170" s="5">
        <v>21.94</v>
      </c>
      <c r="J170" s="5">
        <v>22.76</v>
      </c>
      <c r="K170" s="5">
        <v>78.680000000000007</v>
      </c>
      <c r="L170" s="5">
        <v>78.680000000000007</v>
      </c>
      <c r="M170" s="5">
        <v>0</v>
      </c>
      <c r="N170" s="5">
        <v>0</v>
      </c>
      <c r="O170" s="5">
        <v>0</v>
      </c>
    </row>
    <row r="171" spans="1:15" x14ac:dyDescent="0.2">
      <c r="A171" s="4" t="str">
        <f>"0084696033"</f>
        <v>0084696033</v>
      </c>
      <c r="B171" t="s">
        <v>27</v>
      </c>
      <c r="C171" t="str">
        <f t="shared" si="10"/>
        <v>18/01/01</v>
      </c>
      <c r="D171" t="str">
        <f t="shared" ref="D171:D178" si="13">"ONONDAGA"</f>
        <v>ONONDAGA</v>
      </c>
      <c r="E171" s="5">
        <v>18.47</v>
      </c>
      <c r="F171" s="5">
        <v>20.079999999999998</v>
      </c>
      <c r="G171" s="5">
        <v>24.38</v>
      </c>
      <c r="H171" s="5">
        <v>239.11</v>
      </c>
      <c r="I171" s="5">
        <v>23.9</v>
      </c>
      <c r="J171" s="5">
        <v>24.76</v>
      </c>
      <c r="K171" s="5">
        <v>122.92</v>
      </c>
      <c r="L171" s="5">
        <v>0</v>
      </c>
      <c r="M171" s="5">
        <v>22.52</v>
      </c>
      <c r="N171" s="5">
        <v>24.84</v>
      </c>
      <c r="O171" s="5">
        <v>248.09</v>
      </c>
    </row>
    <row r="172" spans="1:15" x14ac:dyDescent="0.2">
      <c r="A172" s="4" t="str">
        <f>"0173391733"</f>
        <v>0173391733</v>
      </c>
      <c r="B172" t="s">
        <v>89</v>
      </c>
      <c r="C172" t="str">
        <f t="shared" si="10"/>
        <v>18/01/01</v>
      </c>
      <c r="D172" t="str">
        <f t="shared" si="13"/>
        <v>ONONDAGA</v>
      </c>
      <c r="E172" s="5">
        <v>0</v>
      </c>
      <c r="F172" s="5">
        <v>0</v>
      </c>
      <c r="G172" s="5">
        <v>0</v>
      </c>
      <c r="H172" s="5">
        <v>0</v>
      </c>
      <c r="I172" s="5">
        <v>0</v>
      </c>
      <c r="J172" s="5">
        <v>0</v>
      </c>
      <c r="K172" s="5">
        <v>0</v>
      </c>
      <c r="L172" s="5">
        <v>0</v>
      </c>
      <c r="M172" s="5">
        <v>17.18</v>
      </c>
      <c r="N172" s="5">
        <v>0</v>
      </c>
      <c r="O172" s="5">
        <v>0</v>
      </c>
    </row>
    <row r="173" spans="1:15" x14ac:dyDescent="0.2">
      <c r="A173" s="4" t="str">
        <f>"0128870633"</f>
        <v>0128870633</v>
      </c>
      <c r="B173" t="s">
        <v>64</v>
      </c>
      <c r="C173" t="str">
        <f t="shared" si="10"/>
        <v>18/01/01</v>
      </c>
      <c r="D173" t="str">
        <f t="shared" si="13"/>
        <v>ONONDAGA</v>
      </c>
      <c r="E173" s="5">
        <v>0</v>
      </c>
      <c r="F173" s="5">
        <v>0</v>
      </c>
      <c r="G173" s="5">
        <v>0</v>
      </c>
      <c r="H173" s="5">
        <v>0</v>
      </c>
      <c r="I173" s="5">
        <v>0</v>
      </c>
      <c r="J173" s="5">
        <v>0</v>
      </c>
      <c r="K173" s="5">
        <v>0</v>
      </c>
      <c r="L173" s="5">
        <v>0</v>
      </c>
      <c r="M173" s="5">
        <v>16.64</v>
      </c>
      <c r="N173" s="5">
        <v>17.8</v>
      </c>
      <c r="O173" s="5">
        <v>0</v>
      </c>
    </row>
    <row r="174" spans="1:15" x14ac:dyDescent="0.2">
      <c r="A174" s="4" t="str">
        <f>"0058802333"</f>
        <v>0058802333</v>
      </c>
      <c r="B174" t="s">
        <v>18</v>
      </c>
      <c r="C174" t="str">
        <f t="shared" si="10"/>
        <v>18/01/01</v>
      </c>
      <c r="D174" t="str">
        <f t="shared" si="13"/>
        <v>ONONDAGA</v>
      </c>
      <c r="E174" s="5">
        <v>22.39</v>
      </c>
      <c r="F174" s="5">
        <v>23.17</v>
      </c>
      <c r="G174" s="5">
        <v>0</v>
      </c>
      <c r="H174" s="5">
        <v>0</v>
      </c>
      <c r="I174" s="5">
        <v>0</v>
      </c>
      <c r="J174" s="5">
        <v>23.29</v>
      </c>
      <c r="K174" s="5">
        <v>43.09</v>
      </c>
      <c r="L174" s="5">
        <v>78.06</v>
      </c>
      <c r="M174" s="5">
        <v>0</v>
      </c>
      <c r="N174" s="5">
        <v>0</v>
      </c>
      <c r="O174" s="5">
        <v>0</v>
      </c>
    </row>
    <row r="175" spans="1:15" x14ac:dyDescent="0.2">
      <c r="A175" s="4" t="str">
        <f>"0058800533"</f>
        <v>0058800533</v>
      </c>
      <c r="B175" t="s">
        <v>16</v>
      </c>
      <c r="C175" t="str">
        <f t="shared" si="10"/>
        <v>18/01/01</v>
      </c>
      <c r="D175" t="str">
        <f t="shared" si="13"/>
        <v>ONONDAGA</v>
      </c>
      <c r="E175" s="5">
        <v>22.76</v>
      </c>
      <c r="F175" s="5">
        <v>23.55</v>
      </c>
      <c r="G175" s="5">
        <v>29.64</v>
      </c>
      <c r="H175" s="5">
        <v>285.18</v>
      </c>
      <c r="I175" s="5">
        <v>24.99</v>
      </c>
      <c r="J175" s="5">
        <v>26.6</v>
      </c>
      <c r="K175" s="5">
        <v>156.38999999999999</v>
      </c>
      <c r="L175" s="5">
        <v>156.38999999999999</v>
      </c>
      <c r="M175" s="5">
        <v>22.53</v>
      </c>
      <c r="N175" s="5">
        <v>24.64</v>
      </c>
      <c r="O175" s="5">
        <v>256.33999999999997</v>
      </c>
    </row>
    <row r="176" spans="1:15" x14ac:dyDescent="0.2">
      <c r="A176" s="4" t="str">
        <f>"0231917533"</f>
        <v>0231917533</v>
      </c>
      <c r="B176" t="s">
        <v>115</v>
      </c>
      <c r="C176" t="str">
        <f t="shared" si="10"/>
        <v>18/01/01</v>
      </c>
      <c r="D176" t="str">
        <f t="shared" si="13"/>
        <v>ONONDAGA</v>
      </c>
      <c r="E176" s="5">
        <v>20.69</v>
      </c>
      <c r="F176" s="5">
        <v>22.52</v>
      </c>
      <c r="G176" s="5">
        <v>0</v>
      </c>
      <c r="H176" s="5">
        <v>334.31</v>
      </c>
      <c r="I176" s="5">
        <v>0</v>
      </c>
      <c r="J176" s="5">
        <v>0</v>
      </c>
      <c r="K176" s="5">
        <v>75.209999999999994</v>
      </c>
      <c r="L176" s="5">
        <v>0</v>
      </c>
      <c r="M176" s="5">
        <v>20.170000000000002</v>
      </c>
      <c r="N176" s="5">
        <v>21.47</v>
      </c>
      <c r="O176" s="5">
        <v>260.89999999999998</v>
      </c>
    </row>
    <row r="177" spans="1:15" x14ac:dyDescent="0.2">
      <c r="A177" s="4" t="str">
        <f>"0328898833"</f>
        <v>0328898833</v>
      </c>
      <c r="B177" t="s">
        <v>136</v>
      </c>
      <c r="C177" t="str">
        <f t="shared" si="10"/>
        <v>18/01/01</v>
      </c>
      <c r="D177" t="str">
        <f t="shared" si="13"/>
        <v>ONONDAGA</v>
      </c>
      <c r="E177" s="5">
        <v>21.87</v>
      </c>
      <c r="F177" s="5">
        <v>22.65</v>
      </c>
      <c r="G177" s="5">
        <v>24.1</v>
      </c>
      <c r="H177" s="5">
        <v>221.9</v>
      </c>
      <c r="I177" s="5">
        <v>23.09</v>
      </c>
      <c r="J177" s="5">
        <v>23.95</v>
      </c>
      <c r="K177" s="5">
        <v>85.32</v>
      </c>
      <c r="L177" s="5">
        <v>85.32</v>
      </c>
      <c r="M177" s="5">
        <v>21.83</v>
      </c>
      <c r="N177" s="5">
        <v>23.99</v>
      </c>
      <c r="O177" s="5">
        <v>221.9</v>
      </c>
    </row>
    <row r="178" spans="1:15" x14ac:dyDescent="0.2">
      <c r="A178" s="4" t="str">
        <f>"0105243733"</f>
        <v>0105243733</v>
      </c>
      <c r="B178" t="s">
        <v>47</v>
      </c>
      <c r="C178" t="str">
        <f t="shared" si="10"/>
        <v>18/01/01</v>
      </c>
      <c r="D178" t="str">
        <f t="shared" si="13"/>
        <v>ONONDAGA</v>
      </c>
      <c r="E178" s="5">
        <v>23.53</v>
      </c>
      <c r="F178" s="5">
        <v>25.55</v>
      </c>
      <c r="G178" s="5">
        <v>25.16</v>
      </c>
      <c r="H178" s="5">
        <v>274.07</v>
      </c>
      <c r="I178" s="5">
        <v>25.05</v>
      </c>
      <c r="J178" s="5">
        <v>27.44</v>
      </c>
      <c r="K178" s="5">
        <v>119.86</v>
      </c>
      <c r="L178" s="5">
        <v>0</v>
      </c>
      <c r="M178" s="5">
        <v>22.06</v>
      </c>
      <c r="N178" s="5">
        <v>24.45</v>
      </c>
      <c r="O178" s="5">
        <v>280.91000000000003</v>
      </c>
    </row>
    <row r="179" spans="1:15" x14ac:dyDescent="0.2">
      <c r="A179" s="4" t="str">
        <f>"0194568834"</f>
        <v>0194568834</v>
      </c>
      <c r="B179" t="s">
        <v>105</v>
      </c>
      <c r="C179" t="str">
        <f t="shared" si="10"/>
        <v>18/01/01</v>
      </c>
      <c r="D179" t="str">
        <f t="shared" ref="D179:D185" si="14">"ONTARIO"</f>
        <v>ONTARIO</v>
      </c>
      <c r="E179" s="5">
        <v>0</v>
      </c>
      <c r="F179" s="5">
        <v>0</v>
      </c>
      <c r="G179" s="5">
        <v>0</v>
      </c>
      <c r="H179" s="5">
        <v>0</v>
      </c>
      <c r="I179" s="5">
        <v>0</v>
      </c>
      <c r="J179" s="5">
        <v>0</v>
      </c>
      <c r="K179" s="5">
        <v>0</v>
      </c>
      <c r="L179" s="5">
        <v>0</v>
      </c>
      <c r="M179" s="5">
        <v>16.96</v>
      </c>
      <c r="N179" s="5">
        <v>17.37</v>
      </c>
      <c r="O179" s="5">
        <v>0</v>
      </c>
    </row>
    <row r="180" spans="1:15" x14ac:dyDescent="0.2">
      <c r="A180" s="4" t="str">
        <f>"0182358734"</f>
        <v>0182358734</v>
      </c>
      <c r="B180" t="s">
        <v>103</v>
      </c>
      <c r="C180" t="str">
        <f t="shared" si="10"/>
        <v>18/01/01</v>
      </c>
      <c r="D180" t="str">
        <f t="shared" si="14"/>
        <v>ONTARIO</v>
      </c>
      <c r="E180" s="5">
        <v>24.12</v>
      </c>
      <c r="F180" s="5">
        <v>24.15</v>
      </c>
      <c r="G180" s="5">
        <v>0</v>
      </c>
      <c r="H180" s="5">
        <v>0</v>
      </c>
      <c r="I180" s="5">
        <v>0</v>
      </c>
      <c r="J180" s="5">
        <v>0</v>
      </c>
      <c r="K180" s="5">
        <v>92.33</v>
      </c>
      <c r="L180" s="5">
        <v>92.34</v>
      </c>
      <c r="M180" s="5">
        <v>0</v>
      </c>
      <c r="N180" s="5">
        <v>0</v>
      </c>
      <c r="O180" s="5">
        <v>0</v>
      </c>
    </row>
    <row r="181" spans="1:15" x14ac:dyDescent="0.2">
      <c r="A181" s="4" t="str">
        <f>"0147051134"</f>
        <v>0147051134</v>
      </c>
      <c r="B181" t="s">
        <v>73</v>
      </c>
      <c r="C181" t="str">
        <f t="shared" si="10"/>
        <v>18/01/01</v>
      </c>
      <c r="D181" t="str">
        <f t="shared" si="14"/>
        <v>ONTARIO</v>
      </c>
      <c r="E181" s="5">
        <v>27.2</v>
      </c>
      <c r="F181" s="5">
        <v>27.11</v>
      </c>
      <c r="G181" s="5">
        <v>29.32</v>
      </c>
      <c r="H181" s="5">
        <v>0</v>
      </c>
      <c r="I181" s="5">
        <v>28.97</v>
      </c>
      <c r="J181" s="5">
        <v>28.1</v>
      </c>
      <c r="K181" s="5">
        <v>131.13</v>
      </c>
      <c r="L181" s="5">
        <v>131.13</v>
      </c>
      <c r="M181" s="5">
        <v>0</v>
      </c>
      <c r="N181" s="5">
        <v>0</v>
      </c>
      <c r="O181" s="5">
        <v>0</v>
      </c>
    </row>
    <row r="182" spans="1:15" x14ac:dyDescent="0.2">
      <c r="A182" s="4" t="str">
        <f>"0416090934"</f>
        <v>0416090934</v>
      </c>
      <c r="B182" t="s">
        <v>145</v>
      </c>
      <c r="C182" t="str">
        <f t="shared" si="10"/>
        <v>18/01/01</v>
      </c>
      <c r="D182" t="str">
        <f t="shared" si="14"/>
        <v>ONTARIO</v>
      </c>
      <c r="E182" s="5">
        <v>0</v>
      </c>
      <c r="F182" s="5">
        <v>0</v>
      </c>
      <c r="G182" s="5">
        <v>0</v>
      </c>
      <c r="H182" s="5">
        <v>0</v>
      </c>
      <c r="I182" s="5">
        <v>0</v>
      </c>
      <c r="J182" s="5">
        <v>0</v>
      </c>
      <c r="K182" s="5">
        <v>167.93</v>
      </c>
      <c r="L182" s="5">
        <v>167.93</v>
      </c>
      <c r="M182" s="5">
        <v>19.62</v>
      </c>
      <c r="N182" s="5">
        <v>19.77</v>
      </c>
      <c r="O182" s="5">
        <v>364.91</v>
      </c>
    </row>
    <row r="183" spans="1:15" x14ac:dyDescent="0.2">
      <c r="A183" s="4" t="str">
        <f>"0417491634"</f>
        <v>0417491634</v>
      </c>
      <c r="B183" t="s">
        <v>147</v>
      </c>
      <c r="C183" t="str">
        <f t="shared" si="10"/>
        <v>18/01/01</v>
      </c>
      <c r="D183" t="str">
        <f t="shared" si="14"/>
        <v>ONTARIO</v>
      </c>
      <c r="E183" s="5">
        <v>0</v>
      </c>
      <c r="F183" s="5">
        <v>0</v>
      </c>
      <c r="G183" s="5">
        <v>0</v>
      </c>
      <c r="H183" s="5">
        <v>0</v>
      </c>
      <c r="I183" s="5">
        <v>0</v>
      </c>
      <c r="J183" s="5">
        <v>0</v>
      </c>
      <c r="K183" s="5">
        <v>0</v>
      </c>
      <c r="L183" s="5">
        <v>0</v>
      </c>
      <c r="M183" s="5">
        <v>25.99</v>
      </c>
      <c r="N183" s="5">
        <v>27.58</v>
      </c>
      <c r="O183" s="5">
        <v>160.72999999999999</v>
      </c>
    </row>
    <row r="184" spans="1:15" x14ac:dyDescent="0.2">
      <c r="A184" s="4" t="str">
        <f>"0231917534"</f>
        <v>0231917534</v>
      </c>
      <c r="B184" t="s">
        <v>116</v>
      </c>
      <c r="C184" t="str">
        <f t="shared" si="10"/>
        <v>18/01/01</v>
      </c>
      <c r="D184" t="str">
        <f t="shared" si="14"/>
        <v>ONTARIO</v>
      </c>
      <c r="E184" s="5">
        <v>18.55</v>
      </c>
      <c r="F184" s="5">
        <v>18.579999999999998</v>
      </c>
      <c r="G184" s="5">
        <v>0</v>
      </c>
      <c r="H184" s="5">
        <v>277.27999999999997</v>
      </c>
      <c r="I184" s="5">
        <v>0</v>
      </c>
      <c r="J184" s="5">
        <v>0</v>
      </c>
      <c r="K184" s="5">
        <v>67.67</v>
      </c>
      <c r="L184" s="5">
        <v>0</v>
      </c>
      <c r="M184" s="5">
        <v>17.62</v>
      </c>
      <c r="N184" s="5">
        <v>18.850000000000001</v>
      </c>
      <c r="O184" s="5">
        <v>248.83</v>
      </c>
    </row>
    <row r="185" spans="1:15" x14ac:dyDescent="0.2">
      <c r="A185" s="4" t="str">
        <f>"0035491234"</f>
        <v>0035491234</v>
      </c>
      <c r="B185" t="s">
        <v>7</v>
      </c>
      <c r="C185" t="str">
        <f t="shared" si="10"/>
        <v>18/01/01</v>
      </c>
      <c r="D185" t="str">
        <f t="shared" si="14"/>
        <v>ONTARIO</v>
      </c>
      <c r="E185" s="5">
        <v>27.7</v>
      </c>
      <c r="F185" s="5">
        <v>31.55</v>
      </c>
      <c r="G185" s="5">
        <v>31.89</v>
      </c>
      <c r="H185" s="5">
        <v>382.08</v>
      </c>
      <c r="I185" s="5">
        <v>29.94</v>
      </c>
      <c r="J185" s="5">
        <v>32.35</v>
      </c>
      <c r="K185" s="5">
        <v>167.59</v>
      </c>
      <c r="L185" s="5">
        <v>167.59</v>
      </c>
      <c r="M185" s="5">
        <v>28.93</v>
      </c>
      <c r="N185" s="5">
        <v>30.97</v>
      </c>
      <c r="O185" s="5">
        <v>358.7</v>
      </c>
    </row>
    <row r="186" spans="1:15" x14ac:dyDescent="0.2">
      <c r="A186" s="4" t="str">
        <f>"0128098235"</f>
        <v>0128098235</v>
      </c>
      <c r="B186" t="s">
        <v>63</v>
      </c>
      <c r="C186" t="str">
        <f t="shared" si="10"/>
        <v>18/01/01</v>
      </c>
      <c r="D186" t="str">
        <f t="shared" ref="D186:D197" si="15">"ORANGE"</f>
        <v>ORANGE</v>
      </c>
      <c r="E186" s="5">
        <v>24.22</v>
      </c>
      <c r="F186" s="5">
        <v>25.18</v>
      </c>
      <c r="G186" s="5">
        <v>25.01</v>
      </c>
      <c r="H186" s="5">
        <v>310.8</v>
      </c>
      <c r="I186" s="5">
        <v>22.5</v>
      </c>
      <c r="J186" s="5">
        <v>23.36</v>
      </c>
      <c r="K186" s="5">
        <v>141.94</v>
      </c>
      <c r="L186" s="5">
        <v>137.22</v>
      </c>
      <c r="M186" s="5">
        <v>22.49</v>
      </c>
      <c r="N186" s="5">
        <v>24.06</v>
      </c>
      <c r="O186" s="5">
        <v>268.92</v>
      </c>
    </row>
    <row r="187" spans="1:15" x14ac:dyDescent="0.2">
      <c r="A187" s="4" t="str">
        <f>"0173848535"</f>
        <v>0173848535</v>
      </c>
      <c r="B187" t="s">
        <v>90</v>
      </c>
      <c r="C187" t="str">
        <f t="shared" si="10"/>
        <v>18/01/01</v>
      </c>
      <c r="D187" t="str">
        <f t="shared" si="15"/>
        <v>ORANGE</v>
      </c>
      <c r="E187" s="5">
        <v>0</v>
      </c>
      <c r="F187" s="5">
        <v>0</v>
      </c>
      <c r="G187" s="5">
        <v>0</v>
      </c>
      <c r="H187" s="5">
        <v>0</v>
      </c>
      <c r="I187" s="5">
        <v>0</v>
      </c>
      <c r="J187" s="5">
        <v>0</v>
      </c>
      <c r="K187" s="5">
        <v>0</v>
      </c>
      <c r="L187" s="5">
        <v>0</v>
      </c>
      <c r="M187" s="5">
        <v>17.010000000000002</v>
      </c>
      <c r="N187" s="5">
        <v>17.010000000000002</v>
      </c>
      <c r="O187" s="5">
        <v>220.28</v>
      </c>
    </row>
    <row r="188" spans="1:15" x14ac:dyDescent="0.2">
      <c r="A188" s="4" t="str">
        <f>"0099143335"</f>
        <v>0099143335</v>
      </c>
      <c r="B188" t="s">
        <v>42</v>
      </c>
      <c r="C188" t="str">
        <f t="shared" si="10"/>
        <v>18/01/01</v>
      </c>
      <c r="D188" t="str">
        <f t="shared" si="15"/>
        <v>ORANGE</v>
      </c>
      <c r="E188" s="5">
        <v>21.37</v>
      </c>
      <c r="F188" s="5">
        <v>22.55</v>
      </c>
      <c r="G188" s="5">
        <v>29.59</v>
      </c>
      <c r="H188" s="5">
        <v>239.35</v>
      </c>
      <c r="I188" s="5">
        <v>29.23</v>
      </c>
      <c r="J188" s="5">
        <v>30.86</v>
      </c>
      <c r="K188" s="5">
        <v>126.18</v>
      </c>
      <c r="L188" s="5">
        <v>156.63</v>
      </c>
      <c r="M188" s="5">
        <v>18.829999999999998</v>
      </c>
      <c r="N188" s="5">
        <v>26.91</v>
      </c>
      <c r="O188" s="5">
        <v>309.47000000000003</v>
      </c>
    </row>
    <row r="189" spans="1:15" x14ac:dyDescent="0.2">
      <c r="A189" s="4" t="str">
        <f>"0105254235"</f>
        <v>0105254235</v>
      </c>
      <c r="B189" t="s">
        <v>48</v>
      </c>
      <c r="C189" t="str">
        <f t="shared" si="10"/>
        <v>18/01/01</v>
      </c>
      <c r="D189" t="str">
        <f t="shared" si="15"/>
        <v>ORANGE</v>
      </c>
      <c r="E189" s="5">
        <v>24.18</v>
      </c>
      <c r="F189" s="5">
        <v>21.78</v>
      </c>
      <c r="G189" s="5">
        <v>0</v>
      </c>
      <c r="H189" s="5">
        <v>275.67</v>
      </c>
      <c r="I189" s="5">
        <v>0</v>
      </c>
      <c r="J189" s="5">
        <v>0</v>
      </c>
      <c r="K189" s="5">
        <v>84.68</v>
      </c>
      <c r="L189" s="5">
        <v>84.69</v>
      </c>
      <c r="M189" s="5">
        <v>19.21</v>
      </c>
      <c r="N189" s="5">
        <v>0</v>
      </c>
      <c r="O189" s="5">
        <v>250.74</v>
      </c>
    </row>
    <row r="190" spans="1:15" x14ac:dyDescent="0.2">
      <c r="A190" s="4" t="str">
        <f>"0221745835"</f>
        <v>0221745835</v>
      </c>
      <c r="B190" t="s">
        <v>113</v>
      </c>
      <c r="C190" t="str">
        <f t="shared" si="10"/>
        <v>18/01/01</v>
      </c>
      <c r="D190" t="str">
        <f t="shared" si="15"/>
        <v>ORANGE</v>
      </c>
      <c r="E190" s="5">
        <v>18</v>
      </c>
      <c r="F190" s="5">
        <v>19.920000000000002</v>
      </c>
      <c r="G190" s="5">
        <v>27.89</v>
      </c>
      <c r="H190" s="5">
        <v>189.87</v>
      </c>
      <c r="I190" s="5">
        <v>18.89</v>
      </c>
      <c r="J190" s="5">
        <v>26.42</v>
      </c>
      <c r="K190" s="5">
        <v>127.71</v>
      </c>
      <c r="L190" s="5">
        <v>127.71</v>
      </c>
      <c r="M190" s="5">
        <v>18.27</v>
      </c>
      <c r="N190" s="5">
        <v>21.54</v>
      </c>
      <c r="O190" s="5">
        <v>225.64</v>
      </c>
    </row>
    <row r="191" spans="1:15" x14ac:dyDescent="0.2">
      <c r="A191" s="4" t="str">
        <f>"0179895235"</f>
        <v>0179895235</v>
      </c>
      <c r="B191" t="s">
        <v>102</v>
      </c>
      <c r="C191" t="str">
        <f t="shared" si="10"/>
        <v>18/01/01</v>
      </c>
      <c r="D191" t="str">
        <f t="shared" si="15"/>
        <v>ORANGE</v>
      </c>
      <c r="E191" s="5">
        <v>23.48</v>
      </c>
      <c r="F191" s="5">
        <v>19.87</v>
      </c>
      <c r="G191" s="5">
        <v>25.12</v>
      </c>
      <c r="H191" s="5">
        <v>251.12</v>
      </c>
      <c r="I191" s="5">
        <v>23.52</v>
      </c>
      <c r="J191" s="5">
        <v>24.36</v>
      </c>
      <c r="K191" s="5">
        <v>78.84</v>
      </c>
      <c r="L191" s="5">
        <v>78.84</v>
      </c>
      <c r="M191" s="5">
        <v>20.54</v>
      </c>
      <c r="N191" s="5">
        <v>22.11</v>
      </c>
      <c r="O191" s="5">
        <v>37.65</v>
      </c>
    </row>
    <row r="192" spans="1:15" x14ac:dyDescent="0.2">
      <c r="A192" s="4" t="str">
        <f>"0324945635"</f>
        <v>0324945635</v>
      </c>
      <c r="B192" t="s">
        <v>133</v>
      </c>
      <c r="C192" t="str">
        <f t="shared" si="10"/>
        <v>18/01/01</v>
      </c>
      <c r="D192" t="str">
        <f t="shared" si="15"/>
        <v>ORANGE</v>
      </c>
      <c r="E192" s="5">
        <v>0</v>
      </c>
      <c r="F192" s="5">
        <v>0</v>
      </c>
      <c r="G192" s="5">
        <v>0</v>
      </c>
      <c r="H192" s="5">
        <v>0</v>
      </c>
      <c r="I192" s="5">
        <v>0</v>
      </c>
      <c r="J192" s="5">
        <v>0</v>
      </c>
      <c r="K192" s="5">
        <v>0</v>
      </c>
      <c r="L192" s="5">
        <v>0</v>
      </c>
      <c r="M192" s="5">
        <v>17.2</v>
      </c>
      <c r="N192" s="5">
        <v>0</v>
      </c>
      <c r="O192" s="5">
        <v>186.51</v>
      </c>
    </row>
    <row r="193" spans="1:15" x14ac:dyDescent="0.2">
      <c r="A193" s="4" t="str">
        <f>"0173893035"</f>
        <v>0173893035</v>
      </c>
      <c r="B193" t="s">
        <v>91</v>
      </c>
      <c r="C193" t="str">
        <f t="shared" si="10"/>
        <v>18/01/01</v>
      </c>
      <c r="D193" t="str">
        <f t="shared" si="15"/>
        <v>ORANGE</v>
      </c>
      <c r="E193" s="5">
        <v>0</v>
      </c>
      <c r="F193" s="5">
        <v>0</v>
      </c>
      <c r="G193" s="5">
        <v>0</v>
      </c>
      <c r="H193" s="5">
        <v>0</v>
      </c>
      <c r="I193" s="5">
        <v>0</v>
      </c>
      <c r="J193" s="5">
        <v>0</v>
      </c>
      <c r="K193" s="5">
        <v>0</v>
      </c>
      <c r="L193" s="5">
        <v>0</v>
      </c>
      <c r="M193" s="5">
        <v>16.95</v>
      </c>
      <c r="N193" s="5">
        <v>0</v>
      </c>
      <c r="O193" s="5">
        <v>0</v>
      </c>
    </row>
    <row r="194" spans="1:15" x14ac:dyDescent="0.2">
      <c r="A194" s="4" t="str">
        <f>"0174097235"</f>
        <v>0174097235</v>
      </c>
      <c r="B194" t="s">
        <v>92</v>
      </c>
      <c r="C194" t="str">
        <f t="shared" si="10"/>
        <v>18/01/01</v>
      </c>
      <c r="D194" t="str">
        <f t="shared" si="15"/>
        <v>ORANGE</v>
      </c>
      <c r="E194" s="5">
        <v>22.2</v>
      </c>
      <c r="F194" s="5">
        <v>20.64</v>
      </c>
      <c r="G194" s="5">
        <v>20.46</v>
      </c>
      <c r="H194" s="5">
        <v>253.26</v>
      </c>
      <c r="I194" s="5">
        <v>20.46</v>
      </c>
      <c r="J194" s="5">
        <v>20.46</v>
      </c>
      <c r="K194" s="5">
        <v>102.37</v>
      </c>
      <c r="L194" s="5">
        <v>78.790000000000006</v>
      </c>
      <c r="M194" s="5">
        <v>20.399999999999999</v>
      </c>
      <c r="N194" s="5">
        <v>21.7</v>
      </c>
      <c r="O194" s="5">
        <v>171.66</v>
      </c>
    </row>
    <row r="195" spans="1:15" x14ac:dyDescent="0.2">
      <c r="A195" s="4" t="str">
        <f>"0106927235"</f>
        <v>0106927235</v>
      </c>
      <c r="B195" t="s">
        <v>51</v>
      </c>
      <c r="C195" t="str">
        <f t="shared" si="10"/>
        <v>18/01/01</v>
      </c>
      <c r="D195" t="str">
        <f t="shared" si="15"/>
        <v>ORANGE</v>
      </c>
      <c r="E195" s="5">
        <v>24.9</v>
      </c>
      <c r="F195" s="5">
        <v>26.23</v>
      </c>
      <c r="G195" s="5">
        <v>0</v>
      </c>
      <c r="H195" s="5">
        <v>257.13</v>
      </c>
      <c r="I195" s="5">
        <v>24.92</v>
      </c>
      <c r="J195" s="5">
        <v>25.52</v>
      </c>
      <c r="K195" s="5">
        <v>96.45</v>
      </c>
      <c r="L195" s="5">
        <v>96.45</v>
      </c>
      <c r="M195" s="5">
        <v>24.8</v>
      </c>
      <c r="N195" s="5">
        <v>24.7</v>
      </c>
      <c r="O195" s="5">
        <v>256.20999999999998</v>
      </c>
    </row>
    <row r="196" spans="1:15" x14ac:dyDescent="0.2">
      <c r="A196" s="4" t="str">
        <f>"0255401635"</f>
        <v>0255401635</v>
      </c>
      <c r="B196" t="s">
        <v>122</v>
      </c>
      <c r="C196" t="str">
        <f t="shared" si="10"/>
        <v>18/01/01</v>
      </c>
      <c r="D196" t="str">
        <f t="shared" si="15"/>
        <v>ORANGE</v>
      </c>
      <c r="E196" s="5">
        <v>0</v>
      </c>
      <c r="F196" s="5">
        <v>0</v>
      </c>
      <c r="G196" s="5">
        <v>0</v>
      </c>
      <c r="H196" s="5">
        <v>0</v>
      </c>
      <c r="I196" s="5">
        <v>0</v>
      </c>
      <c r="J196" s="5">
        <v>0</v>
      </c>
      <c r="K196" s="5">
        <v>0</v>
      </c>
      <c r="L196" s="5">
        <v>0</v>
      </c>
      <c r="M196" s="5">
        <v>18.489999999999998</v>
      </c>
      <c r="N196" s="5">
        <v>17.88</v>
      </c>
      <c r="O196" s="5">
        <v>238.02</v>
      </c>
    </row>
    <row r="197" spans="1:15" x14ac:dyDescent="0.2">
      <c r="A197" s="4" t="str">
        <f>"0035491235"</f>
        <v>0035491235</v>
      </c>
      <c r="B197" t="s">
        <v>7</v>
      </c>
      <c r="C197" t="str">
        <f t="shared" ref="C197:C260" si="16">"18/01/01"</f>
        <v>18/01/01</v>
      </c>
      <c r="D197" t="str">
        <f t="shared" si="15"/>
        <v>ORANGE</v>
      </c>
      <c r="E197" s="5">
        <v>22.56</v>
      </c>
      <c r="F197" s="5">
        <v>23</v>
      </c>
      <c r="G197" s="5">
        <v>32</v>
      </c>
      <c r="H197" s="5">
        <v>297.22000000000003</v>
      </c>
      <c r="I197" s="5">
        <v>28.75</v>
      </c>
      <c r="J197" s="5">
        <v>23.65</v>
      </c>
      <c r="K197" s="5">
        <v>61.13</v>
      </c>
      <c r="L197" s="5">
        <v>141.82</v>
      </c>
      <c r="M197" s="5">
        <v>17.95</v>
      </c>
      <c r="N197" s="5">
        <v>27.09</v>
      </c>
      <c r="O197" s="5">
        <v>308.85000000000002</v>
      </c>
    </row>
    <row r="198" spans="1:15" x14ac:dyDescent="0.2">
      <c r="A198" s="4" t="str">
        <f>"0194568836"</f>
        <v>0194568836</v>
      </c>
      <c r="B198" t="s">
        <v>105</v>
      </c>
      <c r="C198" t="str">
        <f t="shared" si="16"/>
        <v>18/01/01</v>
      </c>
      <c r="D198" t="str">
        <f>"ORLEANS"</f>
        <v>ORLEANS</v>
      </c>
      <c r="E198" s="5">
        <v>0</v>
      </c>
      <c r="F198" s="5">
        <v>0</v>
      </c>
      <c r="G198" s="5">
        <v>0</v>
      </c>
      <c r="H198" s="5">
        <v>0</v>
      </c>
      <c r="I198" s="5">
        <v>0</v>
      </c>
      <c r="J198" s="5">
        <v>0</v>
      </c>
      <c r="K198" s="5">
        <v>0</v>
      </c>
      <c r="L198" s="5">
        <v>0</v>
      </c>
      <c r="M198" s="5">
        <v>16.93</v>
      </c>
      <c r="N198" s="5">
        <v>7.89</v>
      </c>
      <c r="O198" s="5">
        <v>0</v>
      </c>
    </row>
    <row r="199" spans="1:15" x14ac:dyDescent="0.2">
      <c r="A199" s="4" t="str">
        <f>"0173391737"</f>
        <v>0173391737</v>
      </c>
      <c r="B199" t="s">
        <v>89</v>
      </c>
      <c r="C199" t="str">
        <f t="shared" si="16"/>
        <v>18/01/01</v>
      </c>
      <c r="D199" t="str">
        <f>"OSWEGO"</f>
        <v>OSWEGO</v>
      </c>
      <c r="E199" s="5">
        <v>0</v>
      </c>
      <c r="F199" s="5">
        <v>0</v>
      </c>
      <c r="G199" s="5">
        <v>0</v>
      </c>
      <c r="H199" s="5">
        <v>0</v>
      </c>
      <c r="I199" s="5">
        <v>0</v>
      </c>
      <c r="J199" s="5">
        <v>0</v>
      </c>
      <c r="K199" s="5">
        <v>0</v>
      </c>
      <c r="L199" s="5">
        <v>0</v>
      </c>
      <c r="M199" s="5">
        <v>18.36</v>
      </c>
      <c r="N199" s="5">
        <v>0</v>
      </c>
      <c r="O199" s="5">
        <v>0</v>
      </c>
    </row>
    <row r="200" spans="1:15" x14ac:dyDescent="0.2">
      <c r="A200" s="4" t="str">
        <f>"0058802337"</f>
        <v>0058802337</v>
      </c>
      <c r="B200" t="s">
        <v>18</v>
      </c>
      <c r="C200" t="str">
        <f t="shared" si="16"/>
        <v>18/01/01</v>
      </c>
      <c r="D200" t="str">
        <f>"OSWEGO"</f>
        <v>OSWEGO</v>
      </c>
      <c r="E200" s="5">
        <v>22.17</v>
      </c>
      <c r="F200" s="5">
        <v>22.2</v>
      </c>
      <c r="G200" s="5">
        <v>0</v>
      </c>
      <c r="H200" s="5">
        <v>0</v>
      </c>
      <c r="I200" s="5">
        <v>0</v>
      </c>
      <c r="J200" s="5">
        <v>0</v>
      </c>
      <c r="K200" s="5">
        <v>0</v>
      </c>
      <c r="L200" s="5">
        <v>0</v>
      </c>
      <c r="M200" s="5">
        <v>0</v>
      </c>
      <c r="N200" s="5">
        <v>0</v>
      </c>
      <c r="O200" s="5">
        <v>0</v>
      </c>
    </row>
    <row r="201" spans="1:15" x14ac:dyDescent="0.2">
      <c r="A201" s="4" t="str">
        <f>"0105243737"</f>
        <v>0105243737</v>
      </c>
      <c r="B201" t="s">
        <v>47</v>
      </c>
      <c r="C201" t="str">
        <f t="shared" si="16"/>
        <v>18/01/01</v>
      </c>
      <c r="D201" t="str">
        <f>"OSWEGO"</f>
        <v>OSWEGO</v>
      </c>
      <c r="E201" s="5">
        <v>24.2</v>
      </c>
      <c r="F201" s="5">
        <v>24.27</v>
      </c>
      <c r="G201" s="5">
        <v>28.92</v>
      </c>
      <c r="H201" s="5">
        <v>290.33</v>
      </c>
      <c r="I201" s="5">
        <v>28.58</v>
      </c>
      <c r="J201" s="5">
        <v>28.67</v>
      </c>
      <c r="K201" s="5">
        <v>130.57</v>
      </c>
      <c r="L201" s="5">
        <v>0</v>
      </c>
      <c r="M201" s="5">
        <v>22.5</v>
      </c>
      <c r="N201" s="5">
        <v>24.9</v>
      </c>
      <c r="O201" s="5">
        <v>260.93</v>
      </c>
    </row>
    <row r="202" spans="1:15" x14ac:dyDescent="0.2">
      <c r="A202" s="4" t="str">
        <f>"0281324338"</f>
        <v>0281324338</v>
      </c>
      <c r="B202" t="s">
        <v>127</v>
      </c>
      <c r="C202" t="str">
        <f t="shared" si="16"/>
        <v>18/01/01</v>
      </c>
      <c r="D202" t="str">
        <f t="shared" ref="D202:D207" si="17">"OTSEGO"</f>
        <v>OTSEGO</v>
      </c>
      <c r="E202" s="5">
        <v>25.08</v>
      </c>
      <c r="F202" s="5">
        <v>25.38</v>
      </c>
      <c r="G202" s="5">
        <v>0</v>
      </c>
      <c r="H202" s="5">
        <v>0</v>
      </c>
      <c r="I202" s="5">
        <v>0</v>
      </c>
      <c r="J202" s="5">
        <v>0</v>
      </c>
      <c r="K202" s="5">
        <v>106.98</v>
      </c>
      <c r="L202" s="5">
        <v>106.98</v>
      </c>
      <c r="M202" s="5">
        <v>0</v>
      </c>
      <c r="N202" s="5">
        <v>0</v>
      </c>
      <c r="O202" s="5">
        <v>0</v>
      </c>
    </row>
    <row r="203" spans="1:15" x14ac:dyDescent="0.2">
      <c r="A203" s="4" t="str">
        <f>"0268995838"</f>
        <v>0268995838</v>
      </c>
      <c r="B203" t="s">
        <v>125</v>
      </c>
      <c r="C203" t="str">
        <f t="shared" si="16"/>
        <v>18/01/01</v>
      </c>
      <c r="D203" t="str">
        <f t="shared" si="17"/>
        <v>OTSEGO</v>
      </c>
      <c r="E203" s="5">
        <v>0</v>
      </c>
      <c r="F203" s="5">
        <v>0</v>
      </c>
      <c r="G203" s="5">
        <v>0</v>
      </c>
      <c r="H203" s="5">
        <v>0</v>
      </c>
      <c r="I203" s="5">
        <v>0</v>
      </c>
      <c r="J203" s="5">
        <v>0</v>
      </c>
      <c r="K203" s="5">
        <v>0</v>
      </c>
      <c r="L203" s="5">
        <v>165.83</v>
      </c>
      <c r="M203" s="5">
        <v>0</v>
      </c>
      <c r="N203" s="5">
        <v>0</v>
      </c>
      <c r="O203" s="5">
        <v>0</v>
      </c>
    </row>
    <row r="204" spans="1:15" x14ac:dyDescent="0.2">
      <c r="A204" s="4" t="str">
        <f>"0257536838"</f>
        <v>0257536838</v>
      </c>
      <c r="B204" t="s">
        <v>124</v>
      </c>
      <c r="C204" t="str">
        <f t="shared" si="16"/>
        <v>18/01/01</v>
      </c>
      <c r="D204" t="str">
        <f t="shared" si="17"/>
        <v>OTSEGO</v>
      </c>
      <c r="E204" s="5">
        <v>0</v>
      </c>
      <c r="F204" s="5">
        <v>0</v>
      </c>
      <c r="G204" s="5">
        <v>0</v>
      </c>
      <c r="H204" s="5">
        <v>0</v>
      </c>
      <c r="I204" s="5">
        <v>0</v>
      </c>
      <c r="J204" s="5">
        <v>0</v>
      </c>
      <c r="K204" s="5">
        <v>0</v>
      </c>
      <c r="L204" s="5">
        <v>0</v>
      </c>
      <c r="M204" s="5">
        <v>17.97</v>
      </c>
      <c r="N204" s="5">
        <v>18.010000000000002</v>
      </c>
      <c r="O204" s="5">
        <v>0</v>
      </c>
    </row>
    <row r="205" spans="1:15" x14ac:dyDescent="0.2">
      <c r="A205" s="4" t="str">
        <f>"0097412138"</f>
        <v>0097412138</v>
      </c>
      <c r="B205" t="s">
        <v>40</v>
      </c>
      <c r="C205" t="str">
        <f t="shared" si="16"/>
        <v>18/01/01</v>
      </c>
      <c r="D205" t="str">
        <f t="shared" si="17"/>
        <v>OTSEGO</v>
      </c>
      <c r="E205" s="5">
        <v>0</v>
      </c>
      <c r="F205" s="5">
        <v>0</v>
      </c>
      <c r="G205" s="5">
        <v>0</v>
      </c>
      <c r="H205" s="5">
        <v>0</v>
      </c>
      <c r="I205" s="5">
        <v>0</v>
      </c>
      <c r="J205" s="5">
        <v>0</v>
      </c>
      <c r="K205" s="5">
        <v>0</v>
      </c>
      <c r="L205" s="5">
        <v>0</v>
      </c>
      <c r="M205" s="5">
        <v>16.22</v>
      </c>
      <c r="N205" s="5">
        <v>18.149999999999999</v>
      </c>
      <c r="O205" s="5">
        <v>0</v>
      </c>
    </row>
    <row r="206" spans="1:15" x14ac:dyDescent="0.2">
      <c r="A206" s="4" t="str">
        <f>"0106073738"</f>
        <v>0106073738</v>
      </c>
      <c r="B206" t="s">
        <v>49</v>
      </c>
      <c r="C206" t="str">
        <f t="shared" si="16"/>
        <v>18/01/01</v>
      </c>
      <c r="D206" t="str">
        <f t="shared" si="17"/>
        <v>OTSEGO</v>
      </c>
      <c r="E206" s="5">
        <v>23.4</v>
      </c>
      <c r="F206" s="5">
        <v>23.7</v>
      </c>
      <c r="G206" s="5">
        <v>0</v>
      </c>
      <c r="H206" s="5">
        <v>0</v>
      </c>
      <c r="I206" s="5">
        <v>0</v>
      </c>
      <c r="J206" s="5">
        <v>0</v>
      </c>
      <c r="K206" s="5">
        <v>83.89</v>
      </c>
      <c r="L206" s="5">
        <v>83.89</v>
      </c>
      <c r="M206" s="5">
        <v>0</v>
      </c>
      <c r="N206" s="5">
        <v>0</v>
      </c>
      <c r="O206" s="5">
        <v>0</v>
      </c>
    </row>
    <row r="207" spans="1:15" x14ac:dyDescent="0.2">
      <c r="A207" s="4" t="str">
        <f>"0170109138"</f>
        <v>0170109138</v>
      </c>
      <c r="B207" t="s">
        <v>85</v>
      </c>
      <c r="C207" t="str">
        <f t="shared" si="16"/>
        <v>18/01/01</v>
      </c>
      <c r="D207" t="str">
        <f t="shared" si="17"/>
        <v>OTSEGO</v>
      </c>
      <c r="E207" s="5">
        <v>22.35</v>
      </c>
      <c r="F207" s="5">
        <v>22.41</v>
      </c>
      <c r="G207" s="5">
        <v>28.48</v>
      </c>
      <c r="H207" s="5">
        <v>344.42</v>
      </c>
      <c r="I207" s="5">
        <v>28.48</v>
      </c>
      <c r="J207" s="5">
        <v>28.48</v>
      </c>
      <c r="K207" s="5">
        <v>84</v>
      </c>
      <c r="L207" s="5">
        <v>84</v>
      </c>
      <c r="M207" s="5">
        <v>27.47</v>
      </c>
      <c r="N207" s="5">
        <v>28.95</v>
      </c>
      <c r="O207" s="5">
        <v>376.32</v>
      </c>
    </row>
    <row r="208" spans="1:15" x14ac:dyDescent="0.2">
      <c r="A208" s="4" t="str">
        <f>"0128098239"</f>
        <v>0128098239</v>
      </c>
      <c r="B208" t="s">
        <v>63</v>
      </c>
      <c r="C208" t="str">
        <f t="shared" si="16"/>
        <v>18/01/01</v>
      </c>
      <c r="D208" t="str">
        <f t="shared" ref="D208:D213" si="18">"PUTNAM"</f>
        <v>PUTNAM</v>
      </c>
      <c r="E208" s="5">
        <v>27.87</v>
      </c>
      <c r="F208" s="5">
        <v>25.73</v>
      </c>
      <c r="G208" s="5">
        <v>29.01</v>
      </c>
      <c r="H208" s="5">
        <v>294.92</v>
      </c>
      <c r="I208" s="5">
        <v>25.55</v>
      </c>
      <c r="J208" s="5">
        <v>26.86</v>
      </c>
      <c r="K208" s="5">
        <v>160.02000000000001</v>
      </c>
      <c r="L208" s="5">
        <v>160.02000000000001</v>
      </c>
      <c r="M208" s="5">
        <v>21.41</v>
      </c>
      <c r="N208" s="5">
        <v>22.98</v>
      </c>
      <c r="O208" s="5">
        <v>261.38</v>
      </c>
    </row>
    <row r="209" spans="1:15" x14ac:dyDescent="0.2">
      <c r="A209" s="4" t="str">
        <f>"0099157539"</f>
        <v>0099157539</v>
      </c>
      <c r="B209" t="s">
        <v>44</v>
      </c>
      <c r="C209" t="str">
        <f t="shared" si="16"/>
        <v>18/01/01</v>
      </c>
      <c r="D209" t="str">
        <f t="shared" si="18"/>
        <v>PUTNAM</v>
      </c>
      <c r="E209" s="5">
        <v>27.36</v>
      </c>
      <c r="F209" s="5">
        <v>23.1</v>
      </c>
      <c r="G209" s="5">
        <v>32.549999999999997</v>
      </c>
      <c r="H209" s="5">
        <v>324.08999999999997</v>
      </c>
      <c r="I209" s="5">
        <v>32.909999999999997</v>
      </c>
      <c r="J209" s="5">
        <v>32.130000000000003</v>
      </c>
      <c r="K209" s="5">
        <v>140.19</v>
      </c>
      <c r="L209" s="5">
        <v>140.19</v>
      </c>
      <c r="M209" s="5">
        <v>20.61</v>
      </c>
      <c r="N209" s="5">
        <v>21.44</v>
      </c>
      <c r="O209" s="5">
        <v>316.62</v>
      </c>
    </row>
    <row r="210" spans="1:15" x14ac:dyDescent="0.2">
      <c r="A210" s="4" t="str">
        <f>"0099143339"</f>
        <v>0099143339</v>
      </c>
      <c r="B210" t="s">
        <v>42</v>
      </c>
      <c r="C210" t="str">
        <f t="shared" si="16"/>
        <v>18/01/01</v>
      </c>
      <c r="D210" t="str">
        <f t="shared" si="18"/>
        <v>PUTNAM</v>
      </c>
      <c r="E210" s="5">
        <v>26.05</v>
      </c>
      <c r="F210" s="5">
        <v>26.73</v>
      </c>
      <c r="G210" s="5">
        <v>30.09</v>
      </c>
      <c r="H210" s="5">
        <v>240.65</v>
      </c>
      <c r="I210" s="5">
        <v>31.4</v>
      </c>
      <c r="J210" s="5">
        <v>27.57</v>
      </c>
      <c r="K210" s="5">
        <v>167.18</v>
      </c>
      <c r="L210" s="5">
        <v>167.18</v>
      </c>
      <c r="M210" s="5">
        <v>18.71</v>
      </c>
      <c r="N210" s="5">
        <v>26.38</v>
      </c>
      <c r="O210" s="5">
        <v>313.82</v>
      </c>
    </row>
    <row r="211" spans="1:15" x14ac:dyDescent="0.2">
      <c r="A211" s="4" t="str">
        <f>"0240779839"</f>
        <v>0240779839</v>
      </c>
      <c r="B211" t="s">
        <v>120</v>
      </c>
      <c r="C211" t="str">
        <f t="shared" si="16"/>
        <v>18/01/01</v>
      </c>
      <c r="D211" t="str">
        <f t="shared" si="18"/>
        <v>PUTNAM</v>
      </c>
      <c r="E211" s="5">
        <v>0</v>
      </c>
      <c r="F211" s="5">
        <v>0</v>
      </c>
      <c r="G211" s="5">
        <v>0</v>
      </c>
      <c r="H211" s="5">
        <v>0</v>
      </c>
      <c r="I211" s="5">
        <v>0</v>
      </c>
      <c r="J211" s="5">
        <v>0</v>
      </c>
      <c r="K211" s="5">
        <v>0</v>
      </c>
      <c r="L211" s="5">
        <v>0</v>
      </c>
      <c r="M211" s="5">
        <v>20.13</v>
      </c>
      <c r="N211" s="5">
        <v>21.67</v>
      </c>
      <c r="O211" s="5">
        <v>236.05</v>
      </c>
    </row>
    <row r="212" spans="1:15" x14ac:dyDescent="0.2">
      <c r="A212" s="4" t="str">
        <f>"0035491239"</f>
        <v>0035491239</v>
      </c>
      <c r="B212" t="s">
        <v>7</v>
      </c>
      <c r="C212" t="str">
        <f t="shared" si="16"/>
        <v>18/01/01</v>
      </c>
      <c r="D212" t="str">
        <f t="shared" si="18"/>
        <v>PUTNAM</v>
      </c>
      <c r="E212" s="5">
        <v>23.43</v>
      </c>
      <c r="F212" s="5">
        <v>23.85</v>
      </c>
      <c r="G212" s="5">
        <v>25.36</v>
      </c>
      <c r="H212" s="5">
        <v>270.29000000000002</v>
      </c>
      <c r="I212" s="5">
        <v>28.27</v>
      </c>
      <c r="J212" s="5">
        <v>27.48</v>
      </c>
      <c r="K212" s="5">
        <v>164.54</v>
      </c>
      <c r="L212" s="5">
        <v>142.02000000000001</v>
      </c>
      <c r="M212" s="5">
        <v>17.77</v>
      </c>
      <c r="N212" s="5">
        <v>19.53</v>
      </c>
      <c r="O212" s="5">
        <v>229.44</v>
      </c>
    </row>
    <row r="213" spans="1:15" x14ac:dyDescent="0.2">
      <c r="A213" s="4" t="str">
        <f>"0146034239"</f>
        <v>0146034239</v>
      </c>
      <c r="B213" t="s">
        <v>71</v>
      </c>
      <c r="C213" t="str">
        <f t="shared" si="16"/>
        <v>18/01/01</v>
      </c>
      <c r="D213" t="str">
        <f t="shared" si="18"/>
        <v>PUTNAM</v>
      </c>
      <c r="E213" s="5">
        <v>0</v>
      </c>
      <c r="F213" s="5">
        <v>20.95</v>
      </c>
      <c r="G213" s="5">
        <v>0</v>
      </c>
      <c r="H213" s="5">
        <v>234.92</v>
      </c>
      <c r="I213" s="5">
        <v>0</v>
      </c>
      <c r="J213" s="5">
        <v>0</v>
      </c>
      <c r="K213" s="5">
        <v>0</v>
      </c>
      <c r="L213" s="5">
        <v>0</v>
      </c>
      <c r="M213" s="5">
        <v>0</v>
      </c>
      <c r="N213" s="5">
        <v>0</v>
      </c>
      <c r="O213" s="5">
        <v>0</v>
      </c>
    </row>
    <row r="214" spans="1:15" x14ac:dyDescent="0.2">
      <c r="A214" s="4" t="str">
        <f>"0134883841"</f>
        <v>0134883841</v>
      </c>
      <c r="B214" t="s">
        <v>67</v>
      </c>
      <c r="C214" t="str">
        <f t="shared" si="16"/>
        <v>18/01/01</v>
      </c>
      <c r="D214" t="str">
        <f t="shared" ref="D214:D224" si="19">"RENSSELAER"</f>
        <v>RENSSELAER</v>
      </c>
      <c r="E214" s="5">
        <v>23.06</v>
      </c>
      <c r="F214" s="5">
        <v>23.07</v>
      </c>
      <c r="G214" s="5">
        <v>20.5</v>
      </c>
      <c r="H214" s="5">
        <v>312.14999999999998</v>
      </c>
      <c r="I214" s="5">
        <v>19.8</v>
      </c>
      <c r="J214" s="5">
        <v>19</v>
      </c>
      <c r="K214" s="5">
        <v>96.37</v>
      </c>
      <c r="L214" s="5">
        <v>87.05</v>
      </c>
      <c r="M214" s="5">
        <v>0</v>
      </c>
      <c r="N214" s="5">
        <v>0</v>
      </c>
      <c r="O214" s="5">
        <v>0</v>
      </c>
    </row>
    <row r="215" spans="1:15" x14ac:dyDescent="0.2">
      <c r="A215" s="4" t="str">
        <f>"0112364241"</f>
        <v>0112364241</v>
      </c>
      <c r="B215" t="s">
        <v>55</v>
      </c>
      <c r="C215" t="str">
        <f t="shared" si="16"/>
        <v>18/01/01</v>
      </c>
      <c r="D215" t="str">
        <f t="shared" si="19"/>
        <v>RENSSELAER</v>
      </c>
      <c r="E215" s="5">
        <v>21.2</v>
      </c>
      <c r="F215" s="5">
        <v>21.25</v>
      </c>
      <c r="G215" s="5">
        <v>0</v>
      </c>
      <c r="H215" s="5">
        <v>0</v>
      </c>
      <c r="I215" s="5">
        <v>0</v>
      </c>
      <c r="J215" s="5">
        <v>0</v>
      </c>
      <c r="K215" s="5">
        <v>111.85</v>
      </c>
      <c r="L215" s="5">
        <v>119.93</v>
      </c>
      <c r="M215" s="5">
        <v>19.86</v>
      </c>
      <c r="N215" s="5">
        <v>21.49</v>
      </c>
      <c r="O215" s="5">
        <v>273.89999999999998</v>
      </c>
    </row>
    <row r="216" spans="1:15" x14ac:dyDescent="0.2">
      <c r="A216" s="4" t="str">
        <f>"0106459341"</f>
        <v>0106459341</v>
      </c>
      <c r="B216" t="s">
        <v>50</v>
      </c>
      <c r="C216" t="str">
        <f t="shared" si="16"/>
        <v>18/01/01</v>
      </c>
      <c r="D216" t="str">
        <f t="shared" si="19"/>
        <v>RENSSELAER</v>
      </c>
      <c r="E216" s="5">
        <v>22.89</v>
      </c>
      <c r="F216" s="5">
        <v>23.01</v>
      </c>
      <c r="G216" s="5">
        <v>20.52</v>
      </c>
      <c r="H216" s="5">
        <v>0</v>
      </c>
      <c r="I216" s="5">
        <v>24.22</v>
      </c>
      <c r="J216" s="5">
        <v>23.41</v>
      </c>
      <c r="K216" s="5">
        <v>112.8</v>
      </c>
      <c r="L216" s="5">
        <v>112.68</v>
      </c>
      <c r="M216" s="5">
        <v>0</v>
      </c>
      <c r="N216" s="5">
        <v>0</v>
      </c>
      <c r="O216" s="5">
        <v>0</v>
      </c>
    </row>
    <row r="217" spans="1:15" x14ac:dyDescent="0.2">
      <c r="A217" s="4" t="str">
        <f>"0084696041"</f>
        <v>0084696041</v>
      </c>
      <c r="B217" t="s">
        <v>27</v>
      </c>
      <c r="C217" t="str">
        <f t="shared" si="16"/>
        <v>18/01/01</v>
      </c>
      <c r="D217" t="str">
        <f t="shared" si="19"/>
        <v>RENSSELAER</v>
      </c>
      <c r="E217" s="5">
        <v>16.75</v>
      </c>
      <c r="F217" s="5">
        <v>18.68</v>
      </c>
      <c r="G217" s="5">
        <v>24.39</v>
      </c>
      <c r="H217" s="5">
        <v>259.79000000000002</v>
      </c>
      <c r="I217" s="5">
        <v>26.35</v>
      </c>
      <c r="J217" s="5">
        <v>25.53</v>
      </c>
      <c r="K217" s="5">
        <v>102.09</v>
      </c>
      <c r="L217" s="5">
        <v>0</v>
      </c>
      <c r="M217" s="5">
        <v>18.329999999999998</v>
      </c>
      <c r="N217" s="5">
        <v>24.85</v>
      </c>
      <c r="O217" s="5">
        <v>248.02</v>
      </c>
    </row>
    <row r="218" spans="1:15" x14ac:dyDescent="0.2">
      <c r="A218" s="4" t="str">
        <f>"0099143341"</f>
        <v>0099143341</v>
      </c>
      <c r="B218" t="s">
        <v>42</v>
      </c>
      <c r="C218" t="str">
        <f t="shared" si="16"/>
        <v>18/01/01</v>
      </c>
      <c r="D218" t="str">
        <f t="shared" si="19"/>
        <v>RENSSELAER</v>
      </c>
      <c r="E218" s="5">
        <v>21.79</v>
      </c>
      <c r="F218" s="5">
        <v>23.58</v>
      </c>
      <c r="G218" s="5">
        <v>30.13</v>
      </c>
      <c r="H218" s="5">
        <v>337.79</v>
      </c>
      <c r="I218" s="5">
        <v>31.59</v>
      </c>
      <c r="J218" s="5">
        <v>27.62</v>
      </c>
      <c r="K218" s="5">
        <v>141.82</v>
      </c>
      <c r="L218" s="5">
        <v>164.91</v>
      </c>
      <c r="M218" s="5">
        <v>16.600000000000001</v>
      </c>
      <c r="N218" s="5">
        <v>26.01</v>
      </c>
      <c r="O218" s="5">
        <v>310.23</v>
      </c>
    </row>
    <row r="219" spans="1:15" x14ac:dyDescent="0.2">
      <c r="A219" s="4" t="str">
        <f>"0090869041"</f>
        <v>0090869041</v>
      </c>
      <c r="B219" t="s">
        <v>28</v>
      </c>
      <c r="C219" t="str">
        <f t="shared" si="16"/>
        <v>18/01/01</v>
      </c>
      <c r="D219" t="str">
        <f t="shared" si="19"/>
        <v>RENSSELAER</v>
      </c>
      <c r="E219" s="5">
        <v>16.89</v>
      </c>
      <c r="F219" s="5">
        <v>20.11</v>
      </c>
      <c r="G219" s="5">
        <v>25.86</v>
      </c>
      <c r="H219" s="5">
        <v>351.69</v>
      </c>
      <c r="I219" s="5">
        <v>27.1</v>
      </c>
      <c r="J219" s="5">
        <v>26.58</v>
      </c>
      <c r="K219" s="5">
        <v>127.73</v>
      </c>
      <c r="L219" s="5">
        <v>146</v>
      </c>
      <c r="M219" s="5">
        <v>19.059999999999999</v>
      </c>
      <c r="N219" s="5">
        <v>23.6</v>
      </c>
      <c r="O219" s="5">
        <v>0</v>
      </c>
    </row>
    <row r="220" spans="1:15" x14ac:dyDescent="0.2">
      <c r="A220" s="4" t="str">
        <f>"0200188941"</f>
        <v>0200188941</v>
      </c>
      <c r="B220" t="s">
        <v>107</v>
      </c>
      <c r="C220" t="str">
        <f t="shared" si="16"/>
        <v>18/01/01</v>
      </c>
      <c r="D220" t="str">
        <f t="shared" si="19"/>
        <v>RENSSELAER</v>
      </c>
      <c r="E220" s="5">
        <v>0</v>
      </c>
      <c r="F220" s="5">
        <v>18.989999999999998</v>
      </c>
      <c r="G220" s="5">
        <v>0</v>
      </c>
      <c r="H220" s="5">
        <v>0</v>
      </c>
      <c r="I220" s="5">
        <v>0</v>
      </c>
      <c r="J220" s="5">
        <v>0</v>
      </c>
      <c r="K220" s="5">
        <v>86.73</v>
      </c>
      <c r="L220" s="5">
        <v>86.74</v>
      </c>
      <c r="M220" s="5">
        <v>0</v>
      </c>
      <c r="N220" s="5">
        <v>0</v>
      </c>
      <c r="O220" s="5">
        <v>0</v>
      </c>
    </row>
    <row r="221" spans="1:15" x14ac:dyDescent="0.2">
      <c r="A221" s="4" t="str">
        <f>"0215044341"</f>
        <v>0215044341</v>
      </c>
      <c r="B221" t="s">
        <v>109</v>
      </c>
      <c r="C221" t="str">
        <f t="shared" si="16"/>
        <v>18/01/01</v>
      </c>
      <c r="D221" t="str">
        <f t="shared" si="19"/>
        <v>RENSSELAER</v>
      </c>
      <c r="E221" s="5">
        <v>24.2</v>
      </c>
      <c r="F221" s="5">
        <v>23.7</v>
      </c>
      <c r="G221" s="5">
        <v>0</v>
      </c>
      <c r="H221" s="5">
        <v>0</v>
      </c>
      <c r="I221" s="5">
        <v>0</v>
      </c>
      <c r="J221" s="5">
        <v>0</v>
      </c>
      <c r="K221" s="5">
        <v>91.96</v>
      </c>
      <c r="L221" s="5">
        <v>89.47</v>
      </c>
      <c r="M221" s="5">
        <v>0</v>
      </c>
      <c r="N221" s="5">
        <v>0</v>
      </c>
      <c r="O221" s="5">
        <v>0</v>
      </c>
    </row>
    <row r="222" spans="1:15" x14ac:dyDescent="0.2">
      <c r="A222" s="4" t="str">
        <f>"0163101641"</f>
        <v>0163101641</v>
      </c>
      <c r="B222" t="s">
        <v>79</v>
      </c>
      <c r="C222" t="str">
        <f t="shared" si="16"/>
        <v>18/01/01</v>
      </c>
      <c r="D222" t="str">
        <f t="shared" si="19"/>
        <v>RENSSELAER</v>
      </c>
      <c r="E222" s="5">
        <v>17.27</v>
      </c>
      <c r="F222" s="5">
        <v>0</v>
      </c>
      <c r="G222" s="5">
        <v>0</v>
      </c>
      <c r="H222" s="5">
        <v>0</v>
      </c>
      <c r="I222" s="5">
        <v>0</v>
      </c>
      <c r="J222" s="5">
        <v>0</v>
      </c>
      <c r="K222" s="5">
        <v>0</v>
      </c>
      <c r="L222" s="5">
        <v>0</v>
      </c>
      <c r="M222" s="5">
        <v>16.18</v>
      </c>
      <c r="N222" s="5">
        <v>16.149999999999999</v>
      </c>
      <c r="O222" s="5">
        <v>0</v>
      </c>
    </row>
    <row r="223" spans="1:15" x14ac:dyDescent="0.2">
      <c r="A223" s="4" t="str">
        <f>"0217285641"</f>
        <v>0217285641</v>
      </c>
      <c r="B223" t="s">
        <v>112</v>
      </c>
      <c r="C223" t="str">
        <f t="shared" si="16"/>
        <v>18/01/01</v>
      </c>
      <c r="D223" t="str">
        <f t="shared" si="19"/>
        <v>RENSSELAER</v>
      </c>
      <c r="E223" s="5">
        <v>26.36</v>
      </c>
      <c r="F223" s="5">
        <v>26.36</v>
      </c>
      <c r="G223" s="5">
        <v>0</v>
      </c>
      <c r="H223" s="5">
        <v>0</v>
      </c>
      <c r="I223" s="5">
        <v>0</v>
      </c>
      <c r="J223" s="5">
        <v>0</v>
      </c>
      <c r="K223" s="5">
        <v>128.19999999999999</v>
      </c>
      <c r="L223" s="5">
        <v>166.85</v>
      </c>
      <c r="M223" s="5">
        <v>0</v>
      </c>
      <c r="N223" s="5">
        <v>0</v>
      </c>
      <c r="O223" s="5">
        <v>0</v>
      </c>
    </row>
    <row r="224" spans="1:15" x14ac:dyDescent="0.2">
      <c r="A224" s="4" t="str">
        <f>"0170109141"</f>
        <v>0170109141</v>
      </c>
      <c r="B224" t="s">
        <v>85</v>
      </c>
      <c r="C224" t="str">
        <f t="shared" si="16"/>
        <v>18/01/01</v>
      </c>
      <c r="D224" t="str">
        <f t="shared" si="19"/>
        <v>RENSSELAER</v>
      </c>
      <c r="E224" s="5">
        <v>22.13</v>
      </c>
      <c r="F224" s="5">
        <v>22.13</v>
      </c>
      <c r="G224" s="5">
        <v>24.33</v>
      </c>
      <c r="H224" s="5">
        <v>370.94</v>
      </c>
      <c r="I224" s="5">
        <v>24.33</v>
      </c>
      <c r="J224" s="5">
        <v>24.33</v>
      </c>
      <c r="K224" s="5">
        <v>84.51</v>
      </c>
      <c r="L224" s="5">
        <v>84.51</v>
      </c>
      <c r="M224" s="5">
        <v>19.28</v>
      </c>
      <c r="N224" s="5">
        <v>19.93</v>
      </c>
      <c r="O224" s="5">
        <v>320.3</v>
      </c>
    </row>
    <row r="225" spans="1:15" x14ac:dyDescent="0.2">
      <c r="A225" s="4" t="str">
        <f>"0128098243"</f>
        <v>0128098243</v>
      </c>
      <c r="B225" t="s">
        <v>63</v>
      </c>
      <c r="C225" t="str">
        <f t="shared" si="16"/>
        <v>18/01/01</v>
      </c>
      <c r="D225" t="str">
        <f t="shared" ref="D225:D239" si="20">"ROCKLAND"</f>
        <v>ROCKLAND</v>
      </c>
      <c r="E225" s="5">
        <v>25.87</v>
      </c>
      <c r="F225" s="5">
        <v>25.82</v>
      </c>
      <c r="G225" s="5">
        <v>25.67</v>
      </c>
      <c r="H225" s="5">
        <v>308.77</v>
      </c>
      <c r="I225" s="5">
        <v>29.01</v>
      </c>
      <c r="J225" s="5">
        <v>27.67</v>
      </c>
      <c r="K225" s="5">
        <v>140.01</v>
      </c>
      <c r="L225" s="5">
        <v>140.01</v>
      </c>
      <c r="M225" s="5">
        <v>22.21</v>
      </c>
      <c r="N225" s="5">
        <v>29.99</v>
      </c>
      <c r="O225" s="5">
        <v>258.79000000000002</v>
      </c>
    </row>
    <row r="226" spans="1:15" x14ac:dyDescent="0.2">
      <c r="A226" s="4" t="str">
        <f>"0090862743"</f>
        <v>0090862743</v>
      </c>
      <c r="B226" t="s">
        <v>33</v>
      </c>
      <c r="C226" t="str">
        <f t="shared" si="16"/>
        <v>18/01/01</v>
      </c>
      <c r="D226" t="str">
        <f t="shared" si="20"/>
        <v>ROCKLAND</v>
      </c>
      <c r="E226" s="5">
        <v>0</v>
      </c>
      <c r="F226" s="5">
        <v>16.21</v>
      </c>
      <c r="G226" s="5">
        <v>0</v>
      </c>
      <c r="H226" s="5">
        <v>209.83</v>
      </c>
      <c r="I226" s="5">
        <v>0</v>
      </c>
      <c r="J226" s="5">
        <v>0</v>
      </c>
      <c r="K226" s="5">
        <v>0</v>
      </c>
      <c r="L226" s="5">
        <v>0</v>
      </c>
      <c r="M226" s="5">
        <v>17.420000000000002</v>
      </c>
      <c r="N226" s="5">
        <v>0</v>
      </c>
      <c r="O226" s="5">
        <v>236.89</v>
      </c>
    </row>
    <row r="227" spans="1:15" x14ac:dyDescent="0.2">
      <c r="A227" s="4" t="str">
        <f>"0099143343"</f>
        <v>0099143343</v>
      </c>
      <c r="B227" t="s">
        <v>42</v>
      </c>
      <c r="C227" t="str">
        <f t="shared" si="16"/>
        <v>18/01/01</v>
      </c>
      <c r="D227" t="str">
        <f t="shared" si="20"/>
        <v>ROCKLAND</v>
      </c>
      <c r="E227" s="5">
        <v>27.58</v>
      </c>
      <c r="F227" s="5">
        <v>28.28</v>
      </c>
      <c r="G227" s="5">
        <v>35.72</v>
      </c>
      <c r="H227" s="5">
        <v>339.38</v>
      </c>
      <c r="I227" s="5">
        <v>38.49</v>
      </c>
      <c r="J227" s="5">
        <v>33.9</v>
      </c>
      <c r="K227" s="5">
        <v>178.5</v>
      </c>
      <c r="L227" s="5">
        <v>178.5</v>
      </c>
      <c r="M227" s="5">
        <v>28.34</v>
      </c>
      <c r="N227" s="5">
        <v>29.75</v>
      </c>
      <c r="O227" s="5">
        <v>368.19</v>
      </c>
    </row>
    <row r="228" spans="1:15" x14ac:dyDescent="0.2">
      <c r="A228" s="4" t="str">
        <f>"0298477443"</f>
        <v>0298477443</v>
      </c>
      <c r="B228" t="s">
        <v>131</v>
      </c>
      <c r="C228" t="str">
        <f t="shared" si="16"/>
        <v>18/01/01</v>
      </c>
      <c r="D228" t="str">
        <f t="shared" si="20"/>
        <v>ROCKLAND</v>
      </c>
      <c r="E228" s="5">
        <v>25.28</v>
      </c>
      <c r="F228" s="5">
        <v>25.6</v>
      </c>
      <c r="G228" s="5">
        <v>27.06</v>
      </c>
      <c r="H228" s="5">
        <v>320.94</v>
      </c>
      <c r="I228" s="5">
        <v>27.69</v>
      </c>
      <c r="J228" s="5">
        <v>28.44</v>
      </c>
      <c r="K228" s="5">
        <v>89.71</v>
      </c>
      <c r="L228" s="5">
        <v>0</v>
      </c>
      <c r="M228" s="5">
        <v>23.46</v>
      </c>
      <c r="N228" s="5">
        <v>24.01</v>
      </c>
      <c r="O228" s="5">
        <v>280.51</v>
      </c>
    </row>
    <row r="229" spans="1:15" x14ac:dyDescent="0.2">
      <c r="A229" s="4" t="str">
        <f>"0105254243"</f>
        <v>0105254243</v>
      </c>
      <c r="B229" t="s">
        <v>48</v>
      </c>
      <c r="C229" t="str">
        <f t="shared" si="16"/>
        <v>18/01/01</v>
      </c>
      <c r="D229" t="str">
        <f t="shared" si="20"/>
        <v>ROCKLAND</v>
      </c>
      <c r="E229" s="5">
        <v>22.59</v>
      </c>
      <c r="F229" s="5">
        <v>22.57</v>
      </c>
      <c r="G229" s="5">
        <v>0</v>
      </c>
      <c r="H229" s="5">
        <v>278.70999999999998</v>
      </c>
      <c r="I229" s="5">
        <v>0</v>
      </c>
      <c r="J229" s="5">
        <v>0</v>
      </c>
      <c r="K229" s="5">
        <v>95.84</v>
      </c>
      <c r="L229" s="5">
        <v>95.84</v>
      </c>
      <c r="M229" s="5">
        <v>21.45</v>
      </c>
      <c r="N229" s="5">
        <v>0</v>
      </c>
      <c r="O229" s="5">
        <v>278.79000000000002</v>
      </c>
    </row>
    <row r="230" spans="1:15" x14ac:dyDescent="0.2">
      <c r="A230" s="4" t="str">
        <f>"0393790043"</f>
        <v>0393790043</v>
      </c>
      <c r="B230" t="s">
        <v>143</v>
      </c>
      <c r="C230" t="str">
        <f t="shared" si="16"/>
        <v>18/01/01</v>
      </c>
      <c r="D230" t="str">
        <f t="shared" si="20"/>
        <v>ROCKLAND</v>
      </c>
      <c r="E230" s="5">
        <v>19.86</v>
      </c>
      <c r="F230" s="5">
        <v>20.13</v>
      </c>
      <c r="G230" s="5">
        <v>25.01</v>
      </c>
      <c r="H230" s="5">
        <v>271.52999999999997</v>
      </c>
      <c r="I230" s="5">
        <v>0</v>
      </c>
      <c r="J230" s="5">
        <v>0</v>
      </c>
      <c r="K230" s="5">
        <v>96.54</v>
      </c>
      <c r="L230" s="5">
        <v>96.54</v>
      </c>
      <c r="M230" s="5">
        <v>18.86</v>
      </c>
      <c r="N230" s="5">
        <v>0</v>
      </c>
      <c r="O230" s="5">
        <v>0</v>
      </c>
    </row>
    <row r="231" spans="1:15" x14ac:dyDescent="0.2">
      <c r="A231" s="4" t="str">
        <f>"0221745843"</f>
        <v>0221745843</v>
      </c>
      <c r="B231" t="s">
        <v>114</v>
      </c>
      <c r="C231" t="str">
        <f t="shared" si="16"/>
        <v>18/01/01</v>
      </c>
      <c r="D231" t="str">
        <f t="shared" si="20"/>
        <v>ROCKLAND</v>
      </c>
      <c r="E231" s="5">
        <v>18.760000000000002</v>
      </c>
      <c r="F231" s="5">
        <v>18.41</v>
      </c>
      <c r="G231" s="5">
        <v>32.799999999999997</v>
      </c>
      <c r="H231" s="5">
        <v>229.69</v>
      </c>
      <c r="I231" s="5">
        <v>17.649999999999999</v>
      </c>
      <c r="J231" s="5">
        <v>30.68</v>
      </c>
      <c r="K231" s="5">
        <v>138.87</v>
      </c>
      <c r="L231" s="5">
        <v>138.88</v>
      </c>
      <c r="M231" s="5">
        <v>18.07</v>
      </c>
      <c r="N231" s="5">
        <v>22.74</v>
      </c>
      <c r="O231" s="5">
        <v>206.64</v>
      </c>
    </row>
    <row r="232" spans="1:15" x14ac:dyDescent="0.2">
      <c r="A232" s="4" t="str">
        <f>"0177190243"</f>
        <v>0177190243</v>
      </c>
      <c r="B232" t="s">
        <v>95</v>
      </c>
      <c r="C232" t="str">
        <f t="shared" si="16"/>
        <v>18/01/01</v>
      </c>
      <c r="D232" t="str">
        <f t="shared" si="20"/>
        <v>ROCKLAND</v>
      </c>
      <c r="E232" s="5">
        <v>0</v>
      </c>
      <c r="F232" s="5">
        <v>0</v>
      </c>
      <c r="G232" s="5">
        <v>0</v>
      </c>
      <c r="H232" s="5">
        <v>0</v>
      </c>
      <c r="I232" s="5">
        <v>0</v>
      </c>
      <c r="J232" s="5">
        <v>0</v>
      </c>
      <c r="K232" s="5">
        <v>0</v>
      </c>
      <c r="L232" s="5">
        <v>0</v>
      </c>
      <c r="M232" s="5">
        <v>19.41</v>
      </c>
      <c r="N232" s="5">
        <v>0</v>
      </c>
      <c r="O232" s="5">
        <v>0</v>
      </c>
    </row>
    <row r="233" spans="1:15" x14ac:dyDescent="0.2">
      <c r="A233" s="4" t="str">
        <f>"0425637343"</f>
        <v>0425637343</v>
      </c>
      <c r="B233" t="s">
        <v>154</v>
      </c>
      <c r="C233" t="str">
        <f t="shared" si="16"/>
        <v>18/01/01</v>
      </c>
      <c r="D233" t="str">
        <f t="shared" si="20"/>
        <v>ROCKLAND</v>
      </c>
      <c r="E233" s="5">
        <v>14.12</v>
      </c>
      <c r="F233" s="5">
        <v>15.55</v>
      </c>
      <c r="G233" s="5">
        <v>0</v>
      </c>
      <c r="H233" s="5">
        <v>163.27000000000001</v>
      </c>
      <c r="I233" s="5">
        <v>0</v>
      </c>
      <c r="J233" s="5">
        <v>0</v>
      </c>
      <c r="K233" s="5">
        <v>73.540000000000006</v>
      </c>
      <c r="L233" s="5">
        <v>90.63</v>
      </c>
      <c r="M233" s="5">
        <v>9.5299999999999994</v>
      </c>
      <c r="N233" s="5">
        <v>10.48</v>
      </c>
      <c r="O233" s="5">
        <v>0</v>
      </c>
    </row>
    <row r="234" spans="1:15" x14ac:dyDescent="0.2">
      <c r="A234" s="4" t="str">
        <f>"0106927243"</f>
        <v>0106927243</v>
      </c>
      <c r="B234" t="s">
        <v>51</v>
      </c>
      <c r="C234" t="str">
        <f t="shared" si="16"/>
        <v>18/01/01</v>
      </c>
      <c r="D234" t="str">
        <f t="shared" si="20"/>
        <v>ROCKLAND</v>
      </c>
      <c r="E234" s="5">
        <v>25.71</v>
      </c>
      <c r="F234" s="5">
        <v>27.09</v>
      </c>
      <c r="G234" s="5">
        <v>0</v>
      </c>
      <c r="H234" s="5">
        <v>298.64</v>
      </c>
      <c r="I234" s="5">
        <v>25.93</v>
      </c>
      <c r="J234" s="5">
        <v>25.93</v>
      </c>
      <c r="K234" s="5">
        <v>98.26</v>
      </c>
      <c r="L234" s="5">
        <v>97.93</v>
      </c>
      <c r="M234" s="5">
        <v>27.6</v>
      </c>
      <c r="N234" s="5">
        <v>27.43</v>
      </c>
      <c r="O234" s="5">
        <v>280.14</v>
      </c>
    </row>
    <row r="235" spans="1:15" x14ac:dyDescent="0.2">
      <c r="A235" s="4" t="str">
        <f>"0166603143"</f>
        <v>0166603143</v>
      </c>
      <c r="B235" t="s">
        <v>82</v>
      </c>
      <c r="C235" t="str">
        <f t="shared" si="16"/>
        <v>18/01/01</v>
      </c>
      <c r="D235" t="str">
        <f t="shared" si="20"/>
        <v>ROCKLAND</v>
      </c>
      <c r="E235" s="5">
        <v>0</v>
      </c>
      <c r="F235" s="5">
        <v>0</v>
      </c>
      <c r="G235" s="5">
        <v>0</v>
      </c>
      <c r="H235" s="5">
        <v>0</v>
      </c>
      <c r="I235" s="5">
        <v>0</v>
      </c>
      <c r="J235" s="5">
        <v>0</v>
      </c>
      <c r="K235" s="5">
        <v>0</v>
      </c>
      <c r="L235" s="5">
        <v>0</v>
      </c>
      <c r="M235" s="5">
        <v>19.18</v>
      </c>
      <c r="N235" s="5">
        <v>0</v>
      </c>
      <c r="O235" s="5">
        <v>0</v>
      </c>
    </row>
    <row r="236" spans="1:15" x14ac:dyDescent="0.2">
      <c r="A236" s="4" t="str">
        <f>"0420001543"</f>
        <v>0420001543</v>
      </c>
      <c r="B236" t="s">
        <v>151</v>
      </c>
      <c r="C236" t="str">
        <f t="shared" si="16"/>
        <v>18/01/01</v>
      </c>
      <c r="D236" t="str">
        <f t="shared" si="20"/>
        <v>ROCKLAND</v>
      </c>
      <c r="E236" s="5">
        <v>0</v>
      </c>
      <c r="F236" s="5">
        <v>0</v>
      </c>
      <c r="G236" s="5">
        <v>0</v>
      </c>
      <c r="H236" s="5">
        <v>0</v>
      </c>
      <c r="I236" s="5">
        <v>0</v>
      </c>
      <c r="J236" s="5">
        <v>0</v>
      </c>
      <c r="K236" s="5">
        <v>177.44</v>
      </c>
      <c r="L236" s="5">
        <v>177.44</v>
      </c>
      <c r="M236" s="5">
        <v>0</v>
      </c>
      <c r="N236" s="5">
        <v>0</v>
      </c>
      <c r="O236" s="5">
        <v>0</v>
      </c>
    </row>
    <row r="237" spans="1:15" x14ac:dyDescent="0.2">
      <c r="A237" s="4" t="str">
        <f>"0035491243"</f>
        <v>0035491243</v>
      </c>
      <c r="B237" t="s">
        <v>7</v>
      </c>
      <c r="C237" t="str">
        <f t="shared" si="16"/>
        <v>18/01/01</v>
      </c>
      <c r="D237" t="str">
        <f t="shared" si="20"/>
        <v>ROCKLAND</v>
      </c>
      <c r="E237" s="5">
        <v>24.45</v>
      </c>
      <c r="F237" s="5">
        <v>23.37</v>
      </c>
      <c r="G237" s="5">
        <v>30.39</v>
      </c>
      <c r="H237" s="5">
        <v>332.16</v>
      </c>
      <c r="I237" s="5">
        <v>26.47</v>
      </c>
      <c r="J237" s="5">
        <v>26.47</v>
      </c>
      <c r="K237" s="5">
        <v>177.46</v>
      </c>
      <c r="L237" s="5">
        <v>177.46</v>
      </c>
      <c r="M237" s="5">
        <v>25.04</v>
      </c>
      <c r="N237" s="5">
        <v>25.6</v>
      </c>
      <c r="O237" s="5">
        <v>311.89</v>
      </c>
    </row>
    <row r="238" spans="1:15" x14ac:dyDescent="0.2">
      <c r="A238" s="4" t="str">
        <f>"0090863643"</f>
        <v>0090863643</v>
      </c>
      <c r="B238" t="s">
        <v>21</v>
      </c>
      <c r="C238" t="str">
        <f t="shared" si="16"/>
        <v>18/01/01</v>
      </c>
      <c r="D238" t="str">
        <f t="shared" si="20"/>
        <v>ROCKLAND</v>
      </c>
      <c r="E238" s="5">
        <v>22.68</v>
      </c>
      <c r="F238" s="5">
        <v>21.8</v>
      </c>
      <c r="G238" s="5">
        <v>28.92</v>
      </c>
      <c r="H238" s="5">
        <v>280.92</v>
      </c>
      <c r="I238" s="5">
        <v>29.62</v>
      </c>
      <c r="J238" s="5">
        <v>27.53</v>
      </c>
      <c r="K238" s="5">
        <v>0</v>
      </c>
      <c r="L238" s="5">
        <v>0</v>
      </c>
      <c r="M238" s="5">
        <v>22.13</v>
      </c>
      <c r="N238" s="5">
        <v>23.85</v>
      </c>
      <c r="O238" s="5">
        <v>286.77999999999997</v>
      </c>
    </row>
    <row r="239" spans="1:15" x14ac:dyDescent="0.2">
      <c r="A239" s="4" t="str">
        <f>"0424451543"</f>
        <v>0424451543</v>
      </c>
      <c r="B239" t="s">
        <v>153</v>
      </c>
      <c r="C239" t="str">
        <f t="shared" si="16"/>
        <v>18/01/01</v>
      </c>
      <c r="D239" t="str">
        <f t="shared" si="20"/>
        <v>ROCKLAND</v>
      </c>
      <c r="E239" s="5">
        <v>0</v>
      </c>
      <c r="F239" s="5">
        <v>0</v>
      </c>
      <c r="G239" s="5">
        <v>0</v>
      </c>
      <c r="H239" s="5">
        <v>0</v>
      </c>
      <c r="I239" s="5">
        <v>0</v>
      </c>
      <c r="J239" s="5">
        <v>0</v>
      </c>
      <c r="K239" s="5">
        <v>0</v>
      </c>
      <c r="L239" s="5">
        <v>77.180000000000007</v>
      </c>
      <c r="M239" s="5">
        <v>22.35</v>
      </c>
      <c r="N239" s="5">
        <v>0</v>
      </c>
      <c r="O239" s="5">
        <v>295.43</v>
      </c>
    </row>
    <row r="240" spans="1:15" x14ac:dyDescent="0.2">
      <c r="A240" s="4" t="str">
        <f>"0134883845"</f>
        <v>0134883845</v>
      </c>
      <c r="B240" t="s">
        <v>67</v>
      </c>
      <c r="C240" t="str">
        <f t="shared" si="16"/>
        <v>18/01/01</v>
      </c>
      <c r="D240" t="str">
        <f t="shared" ref="D240:D250" si="21">"SARATOGA"</f>
        <v>SARATOGA</v>
      </c>
      <c r="E240" s="5">
        <v>19.39</v>
      </c>
      <c r="F240" s="5">
        <v>23.37</v>
      </c>
      <c r="G240" s="5">
        <v>20.52</v>
      </c>
      <c r="H240" s="5">
        <v>262.12</v>
      </c>
      <c r="I240" s="5">
        <v>19.87</v>
      </c>
      <c r="J240" s="5">
        <v>19.02</v>
      </c>
      <c r="K240" s="5">
        <v>96.37</v>
      </c>
      <c r="L240" s="5">
        <v>83.05</v>
      </c>
      <c r="M240" s="5">
        <v>0</v>
      </c>
      <c r="N240" s="5">
        <v>0</v>
      </c>
      <c r="O240" s="5">
        <v>0</v>
      </c>
    </row>
    <row r="241" spans="1:15" x14ac:dyDescent="0.2">
      <c r="A241" s="4" t="str">
        <f>"0106459345"</f>
        <v>0106459345</v>
      </c>
      <c r="B241" t="s">
        <v>50</v>
      </c>
      <c r="C241" t="str">
        <f t="shared" si="16"/>
        <v>18/01/01</v>
      </c>
      <c r="D241" t="str">
        <f t="shared" si="21"/>
        <v>SARATOGA</v>
      </c>
      <c r="E241" s="5">
        <v>21.72</v>
      </c>
      <c r="F241" s="5">
        <v>23.92</v>
      </c>
      <c r="G241" s="5">
        <v>20.79</v>
      </c>
      <c r="H241" s="5">
        <v>0</v>
      </c>
      <c r="I241" s="5">
        <v>20.07</v>
      </c>
      <c r="J241" s="5">
        <v>19.22</v>
      </c>
      <c r="K241" s="5">
        <v>114.1</v>
      </c>
      <c r="L241" s="5">
        <v>114.33</v>
      </c>
      <c r="M241" s="5">
        <v>0</v>
      </c>
      <c r="N241" s="5">
        <v>0</v>
      </c>
      <c r="O241" s="5">
        <v>0</v>
      </c>
    </row>
    <row r="242" spans="1:15" x14ac:dyDescent="0.2">
      <c r="A242" s="4" t="str">
        <f>"0084696045"</f>
        <v>0084696045</v>
      </c>
      <c r="B242" t="s">
        <v>27</v>
      </c>
      <c r="C242" t="str">
        <f t="shared" si="16"/>
        <v>18/01/01</v>
      </c>
      <c r="D242" t="str">
        <f t="shared" si="21"/>
        <v>SARATOGA</v>
      </c>
      <c r="E242" s="5">
        <v>16.62</v>
      </c>
      <c r="F242" s="5">
        <v>18.579999999999998</v>
      </c>
      <c r="G242" s="5">
        <v>24.5</v>
      </c>
      <c r="H242" s="5">
        <v>258.07</v>
      </c>
      <c r="I242" s="5">
        <v>26.27</v>
      </c>
      <c r="J242" s="5">
        <v>25.42</v>
      </c>
      <c r="K242" s="5">
        <v>0</v>
      </c>
      <c r="L242" s="5">
        <v>0</v>
      </c>
      <c r="M242" s="5">
        <v>22.39</v>
      </c>
      <c r="N242" s="5">
        <v>24.7</v>
      </c>
      <c r="O242" s="5">
        <v>244.01</v>
      </c>
    </row>
    <row r="243" spans="1:15" x14ac:dyDescent="0.2">
      <c r="A243" s="4" t="str">
        <f>"0099143345"</f>
        <v>0099143345</v>
      </c>
      <c r="B243" t="s">
        <v>42</v>
      </c>
      <c r="C243" t="str">
        <f t="shared" si="16"/>
        <v>18/01/01</v>
      </c>
      <c r="D243" t="str">
        <f t="shared" si="21"/>
        <v>SARATOGA</v>
      </c>
      <c r="E243" s="5">
        <v>27.12</v>
      </c>
      <c r="F243" s="5">
        <v>27.19</v>
      </c>
      <c r="G243" s="5">
        <v>30.34</v>
      </c>
      <c r="H243" s="5">
        <v>342.67</v>
      </c>
      <c r="I243" s="5">
        <v>31.57</v>
      </c>
      <c r="J243" s="5">
        <v>27.63</v>
      </c>
      <c r="K243" s="5">
        <v>168.32</v>
      </c>
      <c r="L243" s="5">
        <v>168.32</v>
      </c>
      <c r="M243" s="5">
        <v>18.8</v>
      </c>
      <c r="N243" s="5">
        <v>26.02</v>
      </c>
      <c r="O243" s="5">
        <v>292.56</v>
      </c>
    </row>
    <row r="244" spans="1:15" x14ac:dyDescent="0.2">
      <c r="A244" s="4" t="str">
        <f>"0090869045"</f>
        <v>0090869045</v>
      </c>
      <c r="B244" t="s">
        <v>28</v>
      </c>
      <c r="C244" t="str">
        <f t="shared" si="16"/>
        <v>18/01/01</v>
      </c>
      <c r="D244" t="str">
        <f t="shared" si="21"/>
        <v>SARATOGA</v>
      </c>
      <c r="E244" s="5">
        <v>17.3</v>
      </c>
      <c r="F244" s="5">
        <v>21.21</v>
      </c>
      <c r="G244" s="5">
        <v>20.47</v>
      </c>
      <c r="H244" s="5">
        <v>317.89</v>
      </c>
      <c r="I244" s="5">
        <v>24.35</v>
      </c>
      <c r="J244" s="5">
        <v>25.99</v>
      </c>
      <c r="K244" s="5">
        <v>136.88</v>
      </c>
      <c r="L244" s="5">
        <v>126.74</v>
      </c>
      <c r="M244" s="5">
        <v>19.16</v>
      </c>
      <c r="N244" s="5">
        <v>32.14</v>
      </c>
      <c r="O244" s="5">
        <v>0</v>
      </c>
    </row>
    <row r="245" spans="1:15" x14ac:dyDescent="0.2">
      <c r="A245" s="4" t="str">
        <f>"0240779845"</f>
        <v>0240779845</v>
      </c>
      <c r="B245" t="s">
        <v>120</v>
      </c>
      <c r="C245" t="str">
        <f t="shared" si="16"/>
        <v>18/01/01</v>
      </c>
      <c r="D245" t="str">
        <f t="shared" si="21"/>
        <v>SARATOGA</v>
      </c>
      <c r="E245" s="5">
        <v>0</v>
      </c>
      <c r="F245" s="5">
        <v>0</v>
      </c>
      <c r="G245" s="5">
        <v>0</v>
      </c>
      <c r="H245" s="5">
        <v>0</v>
      </c>
      <c r="I245" s="5">
        <v>0</v>
      </c>
      <c r="J245" s="5">
        <v>0</v>
      </c>
      <c r="K245" s="5">
        <v>0</v>
      </c>
      <c r="L245" s="5">
        <v>0</v>
      </c>
      <c r="M245" s="5">
        <v>19.489999999999998</v>
      </c>
      <c r="N245" s="5">
        <v>21.03</v>
      </c>
      <c r="O245" s="5">
        <v>248.98</v>
      </c>
    </row>
    <row r="246" spans="1:15" x14ac:dyDescent="0.2">
      <c r="A246" s="4" t="str">
        <f>"0188056045"</f>
        <v>0188056045</v>
      </c>
      <c r="B246" t="s">
        <v>104</v>
      </c>
      <c r="C246" t="str">
        <f t="shared" si="16"/>
        <v>18/01/01</v>
      </c>
      <c r="D246" t="str">
        <f t="shared" si="21"/>
        <v>SARATOGA</v>
      </c>
      <c r="E246" s="5">
        <v>0</v>
      </c>
      <c r="F246" s="5">
        <v>0</v>
      </c>
      <c r="G246" s="5">
        <v>0</v>
      </c>
      <c r="H246" s="5">
        <v>0</v>
      </c>
      <c r="I246" s="5">
        <v>0</v>
      </c>
      <c r="J246" s="5">
        <v>0</v>
      </c>
      <c r="K246" s="5">
        <v>0</v>
      </c>
      <c r="L246" s="5">
        <v>0</v>
      </c>
      <c r="M246" s="5">
        <v>17.07</v>
      </c>
      <c r="N246" s="5">
        <v>18.64</v>
      </c>
      <c r="O246" s="5">
        <v>223.74</v>
      </c>
    </row>
    <row r="247" spans="1:15" x14ac:dyDescent="0.2">
      <c r="A247" s="4" t="str">
        <f>"0215044345"</f>
        <v>0215044345</v>
      </c>
      <c r="B247" t="s">
        <v>109</v>
      </c>
      <c r="C247" t="str">
        <f t="shared" si="16"/>
        <v>18/01/01</v>
      </c>
      <c r="D247" t="str">
        <f t="shared" si="21"/>
        <v>SARATOGA</v>
      </c>
      <c r="E247" s="5">
        <v>24.74</v>
      </c>
      <c r="F247" s="5">
        <v>24.77</v>
      </c>
      <c r="G247" s="5">
        <v>0</v>
      </c>
      <c r="H247" s="5">
        <v>0</v>
      </c>
      <c r="I247" s="5">
        <v>0</v>
      </c>
      <c r="J247" s="5">
        <v>0</v>
      </c>
      <c r="K247" s="5">
        <v>91.83</v>
      </c>
      <c r="L247" s="5">
        <v>93.05</v>
      </c>
      <c r="M247" s="5">
        <v>0</v>
      </c>
      <c r="N247" s="5">
        <v>0</v>
      </c>
      <c r="O247" s="5">
        <v>0</v>
      </c>
    </row>
    <row r="248" spans="1:15" x14ac:dyDescent="0.2">
      <c r="A248" s="4" t="str">
        <f>"0035807645"</f>
        <v>0035807645</v>
      </c>
      <c r="B248" t="s">
        <v>8</v>
      </c>
      <c r="C248" t="str">
        <f t="shared" si="16"/>
        <v>18/01/01</v>
      </c>
      <c r="D248" t="str">
        <f t="shared" si="21"/>
        <v>SARATOGA</v>
      </c>
      <c r="E248" s="5">
        <v>20.39</v>
      </c>
      <c r="F248" s="5">
        <v>21.14</v>
      </c>
      <c r="G248" s="5">
        <v>0</v>
      </c>
      <c r="H248" s="5">
        <v>0</v>
      </c>
      <c r="I248" s="5">
        <v>0</v>
      </c>
      <c r="J248" s="5">
        <v>0</v>
      </c>
      <c r="K248" s="5">
        <v>84.6</v>
      </c>
      <c r="L248" s="5">
        <v>84.6</v>
      </c>
      <c r="M248" s="5">
        <v>17.2</v>
      </c>
      <c r="N248" s="5">
        <v>17.53</v>
      </c>
      <c r="O248" s="5">
        <v>0</v>
      </c>
    </row>
    <row r="249" spans="1:15" x14ac:dyDescent="0.2">
      <c r="A249" s="4" t="str">
        <f>"0217285645"</f>
        <v>0217285645</v>
      </c>
      <c r="B249" t="s">
        <v>112</v>
      </c>
      <c r="C249" t="str">
        <f t="shared" si="16"/>
        <v>18/01/01</v>
      </c>
      <c r="D249" t="str">
        <f t="shared" si="21"/>
        <v>SARATOGA</v>
      </c>
      <c r="E249" s="5">
        <v>26.36</v>
      </c>
      <c r="F249" s="5">
        <v>26.36</v>
      </c>
      <c r="G249" s="5">
        <v>0</v>
      </c>
      <c r="H249" s="5">
        <v>0</v>
      </c>
      <c r="I249" s="5">
        <v>0</v>
      </c>
      <c r="J249" s="5">
        <v>0</v>
      </c>
      <c r="K249" s="5">
        <v>126.65</v>
      </c>
      <c r="L249" s="5">
        <v>166.85</v>
      </c>
      <c r="M249" s="5">
        <v>0</v>
      </c>
      <c r="N249" s="5">
        <v>0</v>
      </c>
      <c r="O249" s="5">
        <v>0</v>
      </c>
    </row>
    <row r="250" spans="1:15" x14ac:dyDescent="0.2">
      <c r="A250" s="4" t="str">
        <f>"0170109145"</f>
        <v>0170109145</v>
      </c>
      <c r="B250" t="s">
        <v>85</v>
      </c>
      <c r="C250" t="str">
        <f t="shared" si="16"/>
        <v>18/01/01</v>
      </c>
      <c r="D250" t="str">
        <f t="shared" si="21"/>
        <v>SARATOGA</v>
      </c>
      <c r="E250" s="5">
        <v>23.09</v>
      </c>
      <c r="F250" s="5">
        <v>23.13</v>
      </c>
      <c r="G250" s="5">
        <v>25.6</v>
      </c>
      <c r="H250" s="5">
        <v>370.94</v>
      </c>
      <c r="I250" s="5">
        <v>25.6</v>
      </c>
      <c r="J250" s="5">
        <v>25.35</v>
      </c>
      <c r="K250" s="5">
        <v>84.53</v>
      </c>
      <c r="L250" s="5">
        <v>84.53</v>
      </c>
      <c r="M250" s="5">
        <v>19.510000000000002</v>
      </c>
      <c r="N250" s="5">
        <v>21.08</v>
      </c>
      <c r="O250" s="5">
        <v>337</v>
      </c>
    </row>
    <row r="251" spans="1:15" x14ac:dyDescent="0.2">
      <c r="A251" s="4" t="str">
        <f>"0134883846"</f>
        <v>0134883846</v>
      </c>
      <c r="B251" t="s">
        <v>67</v>
      </c>
      <c r="C251" t="str">
        <f t="shared" si="16"/>
        <v>18/01/01</v>
      </c>
      <c r="D251" t="str">
        <f t="shared" ref="D251:D261" si="22">"SCHENECTADY"</f>
        <v>SCHENECTADY</v>
      </c>
      <c r="E251" s="5">
        <v>19.84</v>
      </c>
      <c r="F251" s="5">
        <v>22.16</v>
      </c>
      <c r="G251" s="5">
        <v>20.8</v>
      </c>
      <c r="H251" s="5">
        <v>268.77999999999997</v>
      </c>
      <c r="I251" s="5">
        <v>20.11</v>
      </c>
      <c r="J251" s="5">
        <v>19.36</v>
      </c>
      <c r="K251" s="5">
        <v>96.37</v>
      </c>
      <c r="L251" s="5">
        <v>86.15</v>
      </c>
      <c r="M251" s="5">
        <v>0</v>
      </c>
      <c r="N251" s="5">
        <v>0</v>
      </c>
      <c r="O251" s="5">
        <v>0</v>
      </c>
    </row>
    <row r="252" spans="1:15" x14ac:dyDescent="0.2">
      <c r="A252" s="4" t="str">
        <f>"0084696046"</f>
        <v>0084696046</v>
      </c>
      <c r="B252" t="s">
        <v>27</v>
      </c>
      <c r="C252" t="str">
        <f t="shared" si="16"/>
        <v>18/01/01</v>
      </c>
      <c r="D252" t="str">
        <f t="shared" si="22"/>
        <v>SCHENECTADY</v>
      </c>
      <c r="E252" s="5">
        <v>17.18</v>
      </c>
      <c r="F252" s="5">
        <v>17.920000000000002</v>
      </c>
      <c r="G252" s="5">
        <v>24.38</v>
      </c>
      <c r="H252" s="5">
        <v>258.72000000000003</v>
      </c>
      <c r="I252" s="5">
        <v>26.33</v>
      </c>
      <c r="J252" s="5">
        <v>25.52</v>
      </c>
      <c r="K252" s="5">
        <v>0</v>
      </c>
      <c r="L252" s="5">
        <v>0</v>
      </c>
      <c r="M252" s="5">
        <v>18.420000000000002</v>
      </c>
      <c r="N252" s="5">
        <v>24.84</v>
      </c>
      <c r="O252" s="5">
        <v>247.57</v>
      </c>
    </row>
    <row r="253" spans="1:15" x14ac:dyDescent="0.2">
      <c r="A253" s="4" t="str">
        <f>"0099143346"</f>
        <v>0099143346</v>
      </c>
      <c r="B253" t="s">
        <v>42</v>
      </c>
      <c r="C253" t="str">
        <f t="shared" si="16"/>
        <v>18/01/01</v>
      </c>
      <c r="D253" t="str">
        <f t="shared" si="22"/>
        <v>SCHENECTADY</v>
      </c>
      <c r="E253" s="5">
        <v>21.34</v>
      </c>
      <c r="F253" s="5">
        <v>22.78</v>
      </c>
      <c r="G253" s="5">
        <v>30.31</v>
      </c>
      <c r="H253" s="5">
        <v>337.83</v>
      </c>
      <c r="I253" s="5">
        <v>31.58</v>
      </c>
      <c r="J253" s="5">
        <v>27.61</v>
      </c>
      <c r="K253" s="5">
        <v>141.78</v>
      </c>
      <c r="L253" s="5">
        <v>168.18</v>
      </c>
      <c r="M253" s="5">
        <v>18.88</v>
      </c>
      <c r="N253" s="5">
        <v>26.94</v>
      </c>
      <c r="O253" s="5">
        <v>319.76</v>
      </c>
    </row>
    <row r="254" spans="1:15" x14ac:dyDescent="0.2">
      <c r="A254" s="4" t="str">
        <f>"0090869046"</f>
        <v>0090869046</v>
      </c>
      <c r="B254" t="s">
        <v>28</v>
      </c>
      <c r="C254" t="str">
        <f t="shared" si="16"/>
        <v>18/01/01</v>
      </c>
      <c r="D254" t="str">
        <f t="shared" si="22"/>
        <v>SCHENECTADY</v>
      </c>
      <c r="E254" s="5">
        <v>21.38</v>
      </c>
      <c r="F254" s="5">
        <v>20.72</v>
      </c>
      <c r="G254" s="5">
        <v>20.47</v>
      </c>
      <c r="H254" s="5">
        <v>246.01</v>
      </c>
      <c r="I254" s="5">
        <v>25.35</v>
      </c>
      <c r="J254" s="5">
        <v>26.23</v>
      </c>
      <c r="K254" s="5">
        <v>125.16</v>
      </c>
      <c r="L254" s="5">
        <v>145.91999999999999</v>
      </c>
      <c r="M254" s="5">
        <v>19.25</v>
      </c>
      <c r="N254" s="5">
        <v>23.86</v>
      </c>
      <c r="O254" s="5">
        <v>0</v>
      </c>
    </row>
    <row r="255" spans="1:15" x14ac:dyDescent="0.2">
      <c r="A255" s="4" t="str">
        <f>"0240779846"</f>
        <v>0240779846</v>
      </c>
      <c r="B255" t="s">
        <v>120</v>
      </c>
      <c r="C255" t="str">
        <f t="shared" si="16"/>
        <v>18/01/01</v>
      </c>
      <c r="D255" t="str">
        <f t="shared" si="22"/>
        <v>SCHENECTADY</v>
      </c>
      <c r="E255" s="5">
        <v>0</v>
      </c>
      <c r="F255" s="5">
        <v>0</v>
      </c>
      <c r="G255" s="5">
        <v>0</v>
      </c>
      <c r="H255" s="5">
        <v>0</v>
      </c>
      <c r="I255" s="5">
        <v>0</v>
      </c>
      <c r="J255" s="5">
        <v>0</v>
      </c>
      <c r="K255" s="5">
        <v>0</v>
      </c>
      <c r="L255" s="5">
        <v>0</v>
      </c>
      <c r="M255" s="5">
        <v>19.25</v>
      </c>
      <c r="N255" s="5">
        <v>21.68</v>
      </c>
      <c r="O255" s="5">
        <v>245.1</v>
      </c>
    </row>
    <row r="256" spans="1:15" x14ac:dyDescent="0.2">
      <c r="A256" s="4" t="str">
        <f>"0188056046"</f>
        <v>0188056046</v>
      </c>
      <c r="B256" t="s">
        <v>104</v>
      </c>
      <c r="C256" t="str">
        <f t="shared" si="16"/>
        <v>18/01/01</v>
      </c>
      <c r="D256" t="str">
        <f t="shared" si="22"/>
        <v>SCHENECTADY</v>
      </c>
      <c r="E256" s="5">
        <v>0</v>
      </c>
      <c r="F256" s="5">
        <v>0</v>
      </c>
      <c r="G256" s="5">
        <v>0</v>
      </c>
      <c r="H256" s="5">
        <v>0</v>
      </c>
      <c r="I256" s="5">
        <v>0</v>
      </c>
      <c r="J256" s="5">
        <v>0</v>
      </c>
      <c r="K256" s="5">
        <v>0</v>
      </c>
      <c r="L256" s="5">
        <v>0</v>
      </c>
      <c r="M256" s="5">
        <v>17.09</v>
      </c>
      <c r="N256" s="5">
        <v>18.670000000000002</v>
      </c>
      <c r="O256" s="5">
        <v>224.12</v>
      </c>
    </row>
    <row r="257" spans="1:15" x14ac:dyDescent="0.2">
      <c r="A257" s="4" t="str">
        <f>"0215044346"</f>
        <v>0215044346</v>
      </c>
      <c r="B257" t="s">
        <v>111</v>
      </c>
      <c r="C257" t="str">
        <f t="shared" si="16"/>
        <v>18/01/01</v>
      </c>
      <c r="D257" t="str">
        <f t="shared" si="22"/>
        <v>SCHENECTADY</v>
      </c>
      <c r="E257" s="5">
        <v>24.05</v>
      </c>
      <c r="F257" s="5">
        <v>24.08</v>
      </c>
      <c r="G257" s="5">
        <v>0</v>
      </c>
      <c r="H257" s="5">
        <v>0</v>
      </c>
      <c r="I257" s="5">
        <v>0</v>
      </c>
      <c r="J257" s="5">
        <v>0</v>
      </c>
      <c r="K257" s="5">
        <v>92.35</v>
      </c>
      <c r="L257" s="5">
        <v>92.54</v>
      </c>
      <c r="M257" s="5">
        <v>0</v>
      </c>
      <c r="N257" s="5">
        <v>0</v>
      </c>
      <c r="O257" s="5">
        <v>0</v>
      </c>
    </row>
    <row r="258" spans="1:15" x14ac:dyDescent="0.2">
      <c r="A258" s="4" t="str">
        <f>"0055587146"</f>
        <v>0055587146</v>
      </c>
      <c r="B258" t="s">
        <v>15</v>
      </c>
      <c r="C258" t="str">
        <f t="shared" si="16"/>
        <v>18/01/01</v>
      </c>
      <c r="D258" t="str">
        <f t="shared" si="22"/>
        <v>SCHENECTADY</v>
      </c>
      <c r="E258" s="5">
        <v>22.28</v>
      </c>
      <c r="F258" s="5">
        <v>0</v>
      </c>
      <c r="G258" s="5">
        <v>0</v>
      </c>
      <c r="H258" s="5">
        <v>0</v>
      </c>
      <c r="I258" s="5">
        <v>0</v>
      </c>
      <c r="J258" s="5">
        <v>0</v>
      </c>
      <c r="K258" s="5">
        <v>0</v>
      </c>
      <c r="L258" s="5">
        <v>0</v>
      </c>
      <c r="M258" s="5">
        <v>0</v>
      </c>
      <c r="N258" s="5">
        <v>0</v>
      </c>
      <c r="O258" s="5">
        <v>0</v>
      </c>
    </row>
    <row r="259" spans="1:15" x14ac:dyDescent="0.2">
      <c r="A259" s="4" t="str">
        <f>"0158266346"</f>
        <v>0158266346</v>
      </c>
      <c r="B259" t="s">
        <v>77</v>
      </c>
      <c r="C259" t="str">
        <f t="shared" si="16"/>
        <v>18/01/01</v>
      </c>
      <c r="D259" t="str">
        <f t="shared" si="22"/>
        <v>SCHENECTADY</v>
      </c>
      <c r="E259" s="5">
        <v>22.98</v>
      </c>
      <c r="F259" s="5">
        <v>22.98</v>
      </c>
      <c r="G259" s="5">
        <v>22.73</v>
      </c>
      <c r="H259" s="5">
        <v>248.83</v>
      </c>
      <c r="I259" s="5">
        <v>0</v>
      </c>
      <c r="J259" s="5">
        <v>0</v>
      </c>
      <c r="K259" s="5">
        <v>92.83</v>
      </c>
      <c r="L259" s="5">
        <v>93.19</v>
      </c>
      <c r="M259" s="5">
        <v>0</v>
      </c>
      <c r="N259" s="5">
        <v>0</v>
      </c>
      <c r="O259" s="5">
        <v>0</v>
      </c>
    </row>
    <row r="260" spans="1:15" x14ac:dyDescent="0.2">
      <c r="A260" s="4" t="str">
        <f>"0217285646"</f>
        <v>0217285646</v>
      </c>
      <c r="B260" t="s">
        <v>112</v>
      </c>
      <c r="C260" t="str">
        <f t="shared" si="16"/>
        <v>18/01/01</v>
      </c>
      <c r="D260" t="str">
        <f t="shared" si="22"/>
        <v>SCHENECTADY</v>
      </c>
      <c r="E260" s="5">
        <v>26.36</v>
      </c>
      <c r="F260" s="5">
        <v>26.36</v>
      </c>
      <c r="G260" s="5">
        <v>0</v>
      </c>
      <c r="H260" s="5">
        <v>0</v>
      </c>
      <c r="I260" s="5">
        <v>0</v>
      </c>
      <c r="J260" s="5">
        <v>0</v>
      </c>
      <c r="K260" s="5">
        <v>128.19999999999999</v>
      </c>
      <c r="L260" s="5">
        <v>147.01</v>
      </c>
      <c r="M260" s="5">
        <v>0</v>
      </c>
      <c r="N260" s="5">
        <v>0</v>
      </c>
      <c r="O260" s="5">
        <v>0</v>
      </c>
    </row>
    <row r="261" spans="1:15" x14ac:dyDescent="0.2">
      <c r="A261" s="4" t="str">
        <f>"0170109146"</f>
        <v>0170109146</v>
      </c>
      <c r="B261" t="s">
        <v>85</v>
      </c>
      <c r="C261" t="str">
        <f t="shared" ref="C261:C324" si="23">"18/01/01"</f>
        <v>18/01/01</v>
      </c>
      <c r="D261" t="str">
        <f t="shared" si="22"/>
        <v>SCHENECTADY</v>
      </c>
      <c r="E261" s="5">
        <v>22.9</v>
      </c>
      <c r="F261" s="5">
        <v>22.93</v>
      </c>
      <c r="G261" s="5">
        <v>23.93</v>
      </c>
      <c r="H261" s="5">
        <v>370.94</v>
      </c>
      <c r="I261" s="5">
        <v>23.93</v>
      </c>
      <c r="J261" s="5">
        <v>23.93</v>
      </c>
      <c r="K261" s="5">
        <v>84.52</v>
      </c>
      <c r="L261" s="5">
        <v>84.52</v>
      </c>
      <c r="M261" s="5">
        <v>19.440000000000001</v>
      </c>
      <c r="N261" s="5">
        <v>20.96</v>
      </c>
      <c r="O261" s="5">
        <v>308.89999999999998</v>
      </c>
    </row>
    <row r="262" spans="1:15" x14ac:dyDescent="0.2">
      <c r="A262" s="4" t="str">
        <f>"0281324347"</f>
        <v>0281324347</v>
      </c>
      <c r="B262" t="s">
        <v>127</v>
      </c>
      <c r="C262" t="str">
        <f t="shared" si="23"/>
        <v>18/01/01</v>
      </c>
      <c r="D262" t="str">
        <f>"SCHOHARIE"</f>
        <v>SCHOHARIE</v>
      </c>
      <c r="E262" s="5">
        <v>25.36</v>
      </c>
      <c r="F262" s="5">
        <v>26.12</v>
      </c>
      <c r="G262" s="5">
        <v>0</v>
      </c>
      <c r="H262" s="5">
        <v>0</v>
      </c>
      <c r="I262" s="5">
        <v>0</v>
      </c>
      <c r="J262" s="5">
        <v>0</v>
      </c>
      <c r="K262" s="5">
        <v>104.92</v>
      </c>
      <c r="L262" s="5">
        <v>105.23</v>
      </c>
      <c r="M262" s="5">
        <v>0</v>
      </c>
      <c r="N262" s="5">
        <v>0</v>
      </c>
      <c r="O262" s="5">
        <v>0</v>
      </c>
    </row>
    <row r="263" spans="1:15" x14ac:dyDescent="0.2">
      <c r="A263" s="4" t="str">
        <f>"0097412147"</f>
        <v>0097412147</v>
      </c>
      <c r="B263" t="s">
        <v>40</v>
      </c>
      <c r="C263" t="str">
        <f t="shared" si="23"/>
        <v>18/01/01</v>
      </c>
      <c r="D263" t="str">
        <f>"SCHOHARIE"</f>
        <v>SCHOHARIE</v>
      </c>
      <c r="E263" s="5">
        <v>0</v>
      </c>
      <c r="F263" s="5">
        <v>0</v>
      </c>
      <c r="G263" s="5">
        <v>0</v>
      </c>
      <c r="H263" s="5">
        <v>0</v>
      </c>
      <c r="I263" s="5">
        <v>0</v>
      </c>
      <c r="J263" s="5">
        <v>0</v>
      </c>
      <c r="K263" s="5">
        <v>0</v>
      </c>
      <c r="L263" s="5">
        <v>0</v>
      </c>
      <c r="M263" s="5">
        <v>15.38</v>
      </c>
      <c r="N263" s="5">
        <v>16.260000000000002</v>
      </c>
      <c r="O263" s="5">
        <v>0</v>
      </c>
    </row>
    <row r="264" spans="1:15" x14ac:dyDescent="0.2">
      <c r="A264" s="4" t="str">
        <f>"0349929047"</f>
        <v>0349929047</v>
      </c>
      <c r="B264" t="s">
        <v>139</v>
      </c>
      <c r="C264" t="str">
        <f t="shared" si="23"/>
        <v>18/01/01</v>
      </c>
      <c r="D264" t="str">
        <f>"SCHOHARIE"</f>
        <v>SCHOHARIE</v>
      </c>
      <c r="E264" s="5">
        <v>23.2</v>
      </c>
      <c r="F264" s="5">
        <v>22.76</v>
      </c>
      <c r="G264" s="5">
        <v>0</v>
      </c>
      <c r="H264" s="5">
        <v>0</v>
      </c>
      <c r="I264" s="5">
        <v>17.32</v>
      </c>
      <c r="J264" s="5">
        <v>16.54</v>
      </c>
      <c r="K264" s="5">
        <v>32.799999999999997</v>
      </c>
      <c r="L264" s="5">
        <v>29.29</v>
      </c>
      <c r="M264" s="5">
        <v>0</v>
      </c>
      <c r="N264" s="5">
        <v>0</v>
      </c>
      <c r="O264" s="5">
        <v>0</v>
      </c>
    </row>
    <row r="265" spans="1:15" x14ac:dyDescent="0.2">
      <c r="A265" s="4" t="str">
        <f>"0170109147"</f>
        <v>0170109147</v>
      </c>
      <c r="B265" t="s">
        <v>85</v>
      </c>
      <c r="C265" t="str">
        <f t="shared" si="23"/>
        <v>18/01/01</v>
      </c>
      <c r="D265" t="str">
        <f>"SCHOHARIE"</f>
        <v>SCHOHARIE</v>
      </c>
      <c r="E265" s="5">
        <v>22.48</v>
      </c>
      <c r="F265" s="5">
        <v>22.78</v>
      </c>
      <c r="G265" s="5">
        <v>21.99</v>
      </c>
      <c r="H265" s="5">
        <v>340.78</v>
      </c>
      <c r="I265" s="5">
        <v>21.99</v>
      </c>
      <c r="J265" s="5">
        <v>21.99</v>
      </c>
      <c r="K265" s="5">
        <v>84.01</v>
      </c>
      <c r="L265" s="5">
        <v>84.01</v>
      </c>
      <c r="M265" s="5">
        <v>19.41</v>
      </c>
      <c r="N265" s="5">
        <v>20.76</v>
      </c>
      <c r="O265" s="5">
        <v>301.49</v>
      </c>
    </row>
    <row r="266" spans="1:15" x14ac:dyDescent="0.2">
      <c r="A266" s="4" t="str">
        <f>"0179766248"</f>
        <v>0179766248</v>
      </c>
      <c r="B266" t="s">
        <v>101</v>
      </c>
      <c r="C266" t="str">
        <f t="shared" si="23"/>
        <v>18/01/01</v>
      </c>
      <c r="D266" t="str">
        <f>"SCHUYLER"</f>
        <v>SCHUYLER</v>
      </c>
      <c r="E266" s="5">
        <v>0</v>
      </c>
      <c r="F266" s="5">
        <v>0</v>
      </c>
      <c r="G266" s="5">
        <v>0</v>
      </c>
      <c r="H266" s="5">
        <v>0</v>
      </c>
      <c r="I266" s="5">
        <v>0</v>
      </c>
      <c r="J266" s="5">
        <v>0</v>
      </c>
      <c r="K266" s="5">
        <v>0</v>
      </c>
      <c r="L266" s="5">
        <v>0</v>
      </c>
      <c r="M266" s="5">
        <v>16.55</v>
      </c>
      <c r="N266" s="5">
        <v>0</v>
      </c>
      <c r="O266" s="5">
        <v>0</v>
      </c>
    </row>
    <row r="267" spans="1:15" x14ac:dyDescent="0.2">
      <c r="A267" s="4" t="str">
        <f>"0194568848"</f>
        <v>0194568848</v>
      </c>
      <c r="B267" t="s">
        <v>105</v>
      </c>
      <c r="C267" t="str">
        <f t="shared" si="23"/>
        <v>18/01/01</v>
      </c>
      <c r="D267" t="str">
        <f>"SCHUYLER"</f>
        <v>SCHUYLER</v>
      </c>
      <c r="E267" s="5">
        <v>0</v>
      </c>
      <c r="F267" s="5">
        <v>0</v>
      </c>
      <c r="G267" s="5">
        <v>0</v>
      </c>
      <c r="H267" s="5">
        <v>0</v>
      </c>
      <c r="I267" s="5">
        <v>0</v>
      </c>
      <c r="J267" s="5">
        <v>0</v>
      </c>
      <c r="K267" s="5">
        <v>0</v>
      </c>
      <c r="L267" s="5">
        <v>0</v>
      </c>
      <c r="M267" s="5">
        <v>16.38</v>
      </c>
      <c r="N267" s="5">
        <v>0</v>
      </c>
      <c r="O267" s="5">
        <v>0</v>
      </c>
    </row>
    <row r="268" spans="1:15" x14ac:dyDescent="0.2">
      <c r="A268" s="4" t="str">
        <f>"0105243748"</f>
        <v>0105243748</v>
      </c>
      <c r="B268" t="s">
        <v>47</v>
      </c>
      <c r="C268" t="str">
        <f t="shared" si="23"/>
        <v>18/01/01</v>
      </c>
      <c r="D268" t="str">
        <f>"SCHUYLER"</f>
        <v>SCHUYLER</v>
      </c>
      <c r="E268" s="5">
        <v>21.08</v>
      </c>
      <c r="F268" s="5">
        <v>21.94</v>
      </c>
      <c r="G268" s="5">
        <v>27.96</v>
      </c>
      <c r="H268" s="5">
        <v>275.10000000000002</v>
      </c>
      <c r="I268" s="5">
        <v>27.75</v>
      </c>
      <c r="J268" s="5">
        <v>27.97</v>
      </c>
      <c r="K268" s="5">
        <v>130.61000000000001</v>
      </c>
      <c r="L268" s="5">
        <v>0</v>
      </c>
      <c r="M268" s="5">
        <v>22.06</v>
      </c>
      <c r="N268" s="5">
        <v>24.46</v>
      </c>
      <c r="O268" s="5">
        <v>281.12</v>
      </c>
    </row>
    <row r="269" spans="1:15" x14ac:dyDescent="0.2">
      <c r="A269" s="4" t="str">
        <f>"0147051149"</f>
        <v>0147051149</v>
      </c>
      <c r="B269" t="s">
        <v>72</v>
      </c>
      <c r="C269" t="str">
        <f t="shared" si="23"/>
        <v>18/01/01</v>
      </c>
      <c r="D269" t="str">
        <f>"SENECA"</f>
        <v>SENECA</v>
      </c>
      <c r="E269" s="5">
        <v>26.67</v>
      </c>
      <c r="F269" s="5">
        <v>26.74</v>
      </c>
      <c r="G269" s="5">
        <v>28.97</v>
      </c>
      <c r="H269" s="5">
        <v>0</v>
      </c>
      <c r="I269" s="5">
        <v>28.75</v>
      </c>
      <c r="J269" s="5">
        <v>27.96</v>
      </c>
      <c r="K269" s="5">
        <v>130.52000000000001</v>
      </c>
      <c r="L269" s="5">
        <v>130.52000000000001</v>
      </c>
      <c r="M269" s="5">
        <v>0</v>
      </c>
      <c r="N269" s="5">
        <v>0</v>
      </c>
      <c r="O269" s="5">
        <v>0</v>
      </c>
    </row>
    <row r="270" spans="1:15" x14ac:dyDescent="0.2">
      <c r="A270" s="4" t="str">
        <f>"0105243749"</f>
        <v>0105243749</v>
      </c>
      <c r="B270" t="s">
        <v>47</v>
      </c>
      <c r="C270" t="str">
        <f t="shared" si="23"/>
        <v>18/01/01</v>
      </c>
      <c r="D270" t="str">
        <f>"SENECA"</f>
        <v>SENECA</v>
      </c>
      <c r="E270" s="5">
        <v>26.93</v>
      </c>
      <c r="F270" s="5">
        <v>27.42</v>
      </c>
      <c r="G270" s="5">
        <v>29.54</v>
      </c>
      <c r="H270" s="5">
        <v>297.87</v>
      </c>
      <c r="I270" s="5">
        <v>29.33</v>
      </c>
      <c r="J270" s="5">
        <v>29.4</v>
      </c>
      <c r="K270" s="5">
        <v>166.73</v>
      </c>
      <c r="L270" s="5">
        <v>0</v>
      </c>
      <c r="M270" s="5">
        <v>27.2</v>
      </c>
      <c r="N270" s="5">
        <v>29.4</v>
      </c>
      <c r="O270" s="5">
        <v>339.59</v>
      </c>
    </row>
    <row r="271" spans="1:15" x14ac:dyDescent="0.2">
      <c r="A271" s="4" t="str">
        <f>"0327725444"</f>
        <v>0327725444</v>
      </c>
      <c r="B271" t="s">
        <v>135</v>
      </c>
      <c r="C271" t="str">
        <f t="shared" si="23"/>
        <v>18/01/01</v>
      </c>
      <c r="D271" t="str">
        <f t="shared" ref="D271:D277" si="24">"ST LAWRENCE"</f>
        <v>ST LAWRENCE</v>
      </c>
      <c r="E271" s="5">
        <v>22.54</v>
      </c>
      <c r="F271" s="5">
        <v>21.31</v>
      </c>
      <c r="G271" s="5">
        <v>0</v>
      </c>
      <c r="H271" s="5">
        <v>0</v>
      </c>
      <c r="I271" s="5">
        <v>0</v>
      </c>
      <c r="J271" s="5">
        <v>0</v>
      </c>
      <c r="K271" s="5">
        <v>90.44</v>
      </c>
      <c r="L271" s="5">
        <v>126.8</v>
      </c>
      <c r="M271" s="5">
        <v>0</v>
      </c>
      <c r="N271" s="5">
        <v>0</v>
      </c>
      <c r="O271" s="5">
        <v>0</v>
      </c>
    </row>
    <row r="272" spans="1:15" x14ac:dyDescent="0.2">
      <c r="A272" s="4" t="str">
        <f>"0095367744"</f>
        <v>0095367744</v>
      </c>
      <c r="B272" t="s">
        <v>38</v>
      </c>
      <c r="C272" t="str">
        <f t="shared" si="23"/>
        <v>18/01/01</v>
      </c>
      <c r="D272" t="str">
        <f t="shared" si="24"/>
        <v>ST LAWRENCE</v>
      </c>
      <c r="E272" s="5">
        <v>21.99</v>
      </c>
      <c r="F272" s="5">
        <v>23.29</v>
      </c>
      <c r="G272" s="5">
        <v>0</v>
      </c>
      <c r="H272" s="5">
        <v>0</v>
      </c>
      <c r="I272" s="5">
        <v>24.06</v>
      </c>
      <c r="J272" s="5">
        <v>23.29</v>
      </c>
      <c r="K272" s="5">
        <v>85.01</v>
      </c>
      <c r="L272" s="5">
        <v>85</v>
      </c>
      <c r="M272" s="5">
        <v>0</v>
      </c>
      <c r="N272" s="5">
        <v>0</v>
      </c>
      <c r="O272" s="5">
        <v>0</v>
      </c>
    </row>
    <row r="273" spans="1:15" x14ac:dyDescent="0.2">
      <c r="A273" s="4" t="str">
        <f>"0080671744"</f>
        <v>0080671744</v>
      </c>
      <c r="B273" t="s">
        <v>23</v>
      </c>
      <c r="C273" t="str">
        <f t="shared" si="23"/>
        <v>18/01/01</v>
      </c>
      <c r="D273" t="str">
        <f t="shared" si="24"/>
        <v>ST LAWRENCE</v>
      </c>
      <c r="E273" s="5">
        <v>20.56</v>
      </c>
      <c r="F273" s="5">
        <v>21.47</v>
      </c>
      <c r="G273" s="5">
        <v>0</v>
      </c>
      <c r="H273" s="5">
        <v>0</v>
      </c>
      <c r="I273" s="5">
        <v>0</v>
      </c>
      <c r="J273" s="5">
        <v>0</v>
      </c>
      <c r="K273" s="5">
        <v>90.26</v>
      </c>
      <c r="L273" s="5">
        <v>0</v>
      </c>
      <c r="M273" s="5">
        <v>0</v>
      </c>
      <c r="N273" s="5">
        <v>0</v>
      </c>
      <c r="O273" s="5">
        <v>0</v>
      </c>
    </row>
    <row r="274" spans="1:15" x14ac:dyDescent="0.2">
      <c r="A274" s="4" t="str">
        <f>"0089173644"</f>
        <v>0089173644</v>
      </c>
      <c r="B274" t="s">
        <v>30</v>
      </c>
      <c r="C274" t="str">
        <f t="shared" si="23"/>
        <v>18/01/01</v>
      </c>
      <c r="D274" t="str">
        <f t="shared" si="24"/>
        <v>ST LAWRENCE</v>
      </c>
      <c r="E274" s="5">
        <v>24.52</v>
      </c>
      <c r="F274" s="5">
        <v>25.16</v>
      </c>
      <c r="G274" s="5">
        <v>0</v>
      </c>
      <c r="H274" s="5">
        <v>0</v>
      </c>
      <c r="I274" s="5">
        <v>0</v>
      </c>
      <c r="J274" s="5">
        <v>0</v>
      </c>
      <c r="K274" s="5">
        <v>129.97</v>
      </c>
      <c r="L274" s="5">
        <v>0</v>
      </c>
      <c r="M274" s="5">
        <v>0</v>
      </c>
      <c r="N274" s="5">
        <v>0</v>
      </c>
      <c r="O274" s="5">
        <v>0</v>
      </c>
    </row>
    <row r="275" spans="1:15" x14ac:dyDescent="0.2">
      <c r="A275" s="4" t="str">
        <f>"0174106044"</f>
        <v>0174106044</v>
      </c>
      <c r="B275" t="s">
        <v>93</v>
      </c>
      <c r="C275" t="str">
        <f t="shared" si="23"/>
        <v>18/01/01</v>
      </c>
      <c r="D275" t="str">
        <f t="shared" si="24"/>
        <v>ST LAWRENCE</v>
      </c>
      <c r="E275" s="5">
        <v>0</v>
      </c>
      <c r="F275" s="5">
        <v>0</v>
      </c>
      <c r="G275" s="5">
        <v>0</v>
      </c>
      <c r="H275" s="5">
        <v>0</v>
      </c>
      <c r="I275" s="5">
        <v>0</v>
      </c>
      <c r="J275" s="5">
        <v>0</v>
      </c>
      <c r="K275" s="5">
        <v>0</v>
      </c>
      <c r="L275" s="5">
        <v>0</v>
      </c>
      <c r="M275" s="5">
        <v>16.88</v>
      </c>
      <c r="N275" s="5">
        <v>0</v>
      </c>
      <c r="O275" s="5">
        <v>0</v>
      </c>
    </row>
    <row r="276" spans="1:15" x14ac:dyDescent="0.2">
      <c r="A276" s="4" t="str">
        <f>"0296962044"</f>
        <v>0296962044</v>
      </c>
      <c r="B276" t="s">
        <v>129</v>
      </c>
      <c r="C276" t="str">
        <f t="shared" si="23"/>
        <v>18/01/01</v>
      </c>
      <c r="D276" t="str">
        <f t="shared" si="24"/>
        <v>ST LAWRENCE</v>
      </c>
      <c r="E276" s="5">
        <v>22.79</v>
      </c>
      <c r="F276" s="5">
        <v>23.1</v>
      </c>
      <c r="G276" s="5">
        <v>0</v>
      </c>
      <c r="H276" s="5">
        <v>0</v>
      </c>
      <c r="I276" s="5">
        <v>0</v>
      </c>
      <c r="J276" s="5">
        <v>0</v>
      </c>
      <c r="K276" s="5">
        <v>91.05</v>
      </c>
      <c r="L276" s="5">
        <v>90.95</v>
      </c>
      <c r="M276" s="5">
        <v>0</v>
      </c>
      <c r="N276" s="5">
        <v>0</v>
      </c>
      <c r="O276" s="5">
        <v>0</v>
      </c>
    </row>
    <row r="277" spans="1:15" x14ac:dyDescent="0.2">
      <c r="A277" s="4" t="str">
        <f>"0240778944"</f>
        <v>0240778944</v>
      </c>
      <c r="B277" t="s">
        <v>119</v>
      </c>
      <c r="C277" t="str">
        <f t="shared" si="23"/>
        <v>18/01/01</v>
      </c>
      <c r="D277" t="str">
        <f t="shared" si="24"/>
        <v>ST LAWRENCE</v>
      </c>
      <c r="E277" s="5">
        <v>0</v>
      </c>
      <c r="F277" s="5">
        <v>0</v>
      </c>
      <c r="G277" s="5">
        <v>0</v>
      </c>
      <c r="H277" s="5">
        <v>0</v>
      </c>
      <c r="I277" s="5">
        <v>0</v>
      </c>
      <c r="J277" s="5">
        <v>0</v>
      </c>
      <c r="K277" s="5">
        <v>0</v>
      </c>
      <c r="L277" s="5">
        <v>0</v>
      </c>
      <c r="M277" s="5">
        <v>18.03</v>
      </c>
      <c r="N277" s="5">
        <v>0</v>
      </c>
      <c r="O277" s="5">
        <v>0</v>
      </c>
    </row>
    <row r="278" spans="1:15" x14ac:dyDescent="0.2">
      <c r="A278" s="4" t="str">
        <f>"0179766250"</f>
        <v>0179766250</v>
      </c>
      <c r="B278" t="s">
        <v>101</v>
      </c>
      <c r="C278" t="str">
        <f t="shared" si="23"/>
        <v>18/01/01</v>
      </c>
      <c r="D278" t="str">
        <f>"STEUBEN"</f>
        <v>STEUBEN</v>
      </c>
      <c r="E278" s="5">
        <v>0</v>
      </c>
      <c r="F278" s="5">
        <v>0</v>
      </c>
      <c r="G278" s="5">
        <v>0</v>
      </c>
      <c r="H278" s="5">
        <v>0</v>
      </c>
      <c r="I278" s="5">
        <v>0</v>
      </c>
      <c r="J278" s="5">
        <v>0</v>
      </c>
      <c r="K278" s="5">
        <v>0</v>
      </c>
      <c r="L278" s="5">
        <v>0</v>
      </c>
      <c r="M278" s="5">
        <v>16.55</v>
      </c>
      <c r="N278" s="5">
        <v>0</v>
      </c>
      <c r="O278" s="5">
        <v>0</v>
      </c>
    </row>
    <row r="279" spans="1:15" x14ac:dyDescent="0.2">
      <c r="A279" s="4" t="str">
        <f>"0194568850"</f>
        <v>0194568850</v>
      </c>
      <c r="B279" t="s">
        <v>105</v>
      </c>
      <c r="C279" t="str">
        <f t="shared" si="23"/>
        <v>18/01/01</v>
      </c>
      <c r="D279" t="str">
        <f>"STEUBEN"</f>
        <v>STEUBEN</v>
      </c>
      <c r="E279" s="5">
        <v>0</v>
      </c>
      <c r="F279" s="5">
        <v>0</v>
      </c>
      <c r="G279" s="5">
        <v>0</v>
      </c>
      <c r="H279" s="5">
        <v>0</v>
      </c>
      <c r="I279" s="5">
        <v>0</v>
      </c>
      <c r="J279" s="5">
        <v>0</v>
      </c>
      <c r="K279" s="5">
        <v>0</v>
      </c>
      <c r="L279" s="5">
        <v>0</v>
      </c>
      <c r="M279" s="5">
        <v>16.239999999999998</v>
      </c>
      <c r="N279" s="5">
        <v>0</v>
      </c>
      <c r="O279" s="5">
        <v>0</v>
      </c>
    </row>
    <row r="280" spans="1:15" x14ac:dyDescent="0.2">
      <c r="A280" s="4" t="str">
        <f>"0091624350"</f>
        <v>0091624350</v>
      </c>
      <c r="B280" t="s">
        <v>35</v>
      </c>
      <c r="C280" t="str">
        <f t="shared" si="23"/>
        <v>18/01/01</v>
      </c>
      <c r="D280" t="str">
        <f>"STEUBEN"</f>
        <v>STEUBEN</v>
      </c>
      <c r="E280" s="5">
        <v>24.12</v>
      </c>
      <c r="F280" s="5">
        <v>24.39</v>
      </c>
      <c r="G280" s="5">
        <v>31.07</v>
      </c>
      <c r="H280" s="5">
        <v>312.98</v>
      </c>
      <c r="I280" s="5">
        <v>28.29</v>
      </c>
      <c r="J280" s="5">
        <v>28.53</v>
      </c>
      <c r="K280" s="5">
        <v>93.85</v>
      </c>
      <c r="L280" s="5">
        <v>94.15</v>
      </c>
      <c r="M280" s="5">
        <v>23.94</v>
      </c>
      <c r="N280" s="5">
        <v>25.51</v>
      </c>
      <c r="O280" s="5">
        <v>280.33999999999997</v>
      </c>
    </row>
    <row r="281" spans="1:15" x14ac:dyDescent="0.2">
      <c r="A281" s="4" t="str">
        <f>"0105243750"</f>
        <v>0105243750</v>
      </c>
      <c r="B281" t="s">
        <v>47</v>
      </c>
      <c r="C281" t="str">
        <f t="shared" si="23"/>
        <v>18/01/01</v>
      </c>
      <c r="D281" t="str">
        <f>"STEUBEN"</f>
        <v>STEUBEN</v>
      </c>
      <c r="E281" s="5">
        <v>30.55</v>
      </c>
      <c r="F281" s="5">
        <v>31.15</v>
      </c>
      <c r="G281" s="5">
        <v>27.92</v>
      </c>
      <c r="H281" s="5">
        <v>274.64999999999998</v>
      </c>
      <c r="I281" s="5">
        <v>27.71</v>
      </c>
      <c r="J281" s="5">
        <v>27.93</v>
      </c>
      <c r="K281" s="5">
        <v>121.1</v>
      </c>
      <c r="L281" s="5">
        <v>0</v>
      </c>
      <c r="M281" s="5">
        <v>22.03</v>
      </c>
      <c r="N281" s="5">
        <v>24.42</v>
      </c>
      <c r="O281" s="5">
        <v>280.67</v>
      </c>
    </row>
    <row r="282" spans="1:15" x14ac:dyDescent="0.2">
      <c r="A282" s="4" t="str">
        <f>"0035491250"</f>
        <v>0035491250</v>
      </c>
      <c r="B282" t="s">
        <v>7</v>
      </c>
      <c r="C282" t="str">
        <f t="shared" si="23"/>
        <v>18/01/01</v>
      </c>
      <c r="D282" t="str">
        <f>"STEUBEN"</f>
        <v>STEUBEN</v>
      </c>
      <c r="E282" s="5">
        <v>27.23</v>
      </c>
      <c r="F282" s="5">
        <v>31.14</v>
      </c>
      <c r="G282" s="5">
        <v>31.54</v>
      </c>
      <c r="H282" s="5">
        <v>343.33</v>
      </c>
      <c r="I282" s="5">
        <v>29.72</v>
      </c>
      <c r="J282" s="5">
        <v>32.06</v>
      </c>
      <c r="K282" s="5">
        <v>166.57</v>
      </c>
      <c r="L282" s="5">
        <v>166.57</v>
      </c>
      <c r="M282" s="5">
        <v>28.93</v>
      </c>
      <c r="N282" s="5">
        <v>30.97</v>
      </c>
      <c r="O282" s="5">
        <v>358.7</v>
      </c>
    </row>
    <row r="283" spans="1:15" x14ac:dyDescent="0.2">
      <c r="A283" s="4" t="str">
        <f>"0035467851"</f>
        <v>0035467851</v>
      </c>
      <c r="B283" t="s">
        <v>4</v>
      </c>
      <c r="C283" t="str">
        <f t="shared" si="23"/>
        <v>18/01/01</v>
      </c>
      <c r="D283" t="str">
        <f t="shared" ref="D283:D303" si="25">"SUFFOLK"</f>
        <v>SUFFOLK</v>
      </c>
      <c r="E283" s="5">
        <v>26.03</v>
      </c>
      <c r="F283" s="5">
        <v>26.31</v>
      </c>
      <c r="G283" s="5">
        <v>29.84</v>
      </c>
      <c r="H283" s="5">
        <v>312.68</v>
      </c>
      <c r="I283" s="5">
        <v>24.81</v>
      </c>
      <c r="J283" s="5">
        <v>31.15</v>
      </c>
      <c r="K283" s="5">
        <v>102.41</v>
      </c>
      <c r="L283" s="5">
        <v>0</v>
      </c>
      <c r="M283" s="5">
        <v>23.59</v>
      </c>
      <c r="N283" s="5">
        <v>24.86</v>
      </c>
      <c r="O283" s="5">
        <v>236.29</v>
      </c>
    </row>
    <row r="284" spans="1:15" x14ac:dyDescent="0.2">
      <c r="A284" s="4" t="str">
        <f>"0035466951"</f>
        <v>0035466951</v>
      </c>
      <c r="B284" t="s">
        <v>3</v>
      </c>
      <c r="C284" t="str">
        <f t="shared" si="23"/>
        <v>18/01/01</v>
      </c>
      <c r="D284" t="str">
        <f t="shared" si="25"/>
        <v>SUFFOLK</v>
      </c>
      <c r="E284" s="5">
        <v>23.64</v>
      </c>
      <c r="F284" s="5">
        <v>24.03</v>
      </c>
      <c r="G284" s="5">
        <v>35.01</v>
      </c>
      <c r="H284" s="5">
        <v>325.64</v>
      </c>
      <c r="I284" s="5">
        <v>25.02</v>
      </c>
      <c r="J284" s="5">
        <v>25.11</v>
      </c>
      <c r="K284" s="5">
        <v>108.14</v>
      </c>
      <c r="L284" s="5">
        <v>112.38</v>
      </c>
      <c r="M284" s="5">
        <v>25.61</v>
      </c>
      <c r="N284" s="5">
        <v>26.3</v>
      </c>
      <c r="O284" s="5">
        <v>324.31</v>
      </c>
    </row>
    <row r="285" spans="1:15" x14ac:dyDescent="0.2">
      <c r="A285" s="4" t="str">
        <f>"0456501951"</f>
        <v>0456501951</v>
      </c>
      <c r="B285" t="s">
        <v>157</v>
      </c>
      <c r="C285" t="str">
        <f t="shared" si="23"/>
        <v>18/01/01</v>
      </c>
      <c r="D285" t="str">
        <f t="shared" si="25"/>
        <v>SUFFOLK</v>
      </c>
      <c r="E285" s="5">
        <v>28.86</v>
      </c>
      <c r="F285" s="5">
        <v>27.74</v>
      </c>
      <c r="G285" s="5">
        <v>29.21</v>
      </c>
      <c r="H285" s="5">
        <v>209.57</v>
      </c>
      <c r="I285" s="5">
        <v>0</v>
      </c>
      <c r="J285" s="5">
        <v>26.19</v>
      </c>
      <c r="K285" s="5">
        <v>179.56</v>
      </c>
      <c r="L285" s="5">
        <v>160.4</v>
      </c>
      <c r="M285" s="5">
        <v>20.27</v>
      </c>
      <c r="N285" s="5">
        <v>21.18</v>
      </c>
      <c r="O285" s="5">
        <v>280.56</v>
      </c>
    </row>
    <row r="286" spans="1:15" x14ac:dyDescent="0.2">
      <c r="A286" s="4" t="str">
        <f>"0084696051"</f>
        <v>0084696051</v>
      </c>
      <c r="B286" t="s">
        <v>27</v>
      </c>
      <c r="C286" t="str">
        <f t="shared" si="23"/>
        <v>18/01/01</v>
      </c>
      <c r="D286" t="str">
        <f t="shared" si="25"/>
        <v>SUFFOLK</v>
      </c>
      <c r="E286" s="5">
        <v>22.01</v>
      </c>
      <c r="F286" s="5">
        <v>22.09</v>
      </c>
      <c r="G286" s="5">
        <v>26.03</v>
      </c>
      <c r="H286" s="5">
        <v>272.08</v>
      </c>
      <c r="I286" s="5">
        <v>23.62</v>
      </c>
      <c r="J286" s="5">
        <v>23.82</v>
      </c>
      <c r="K286" s="5">
        <v>110.33</v>
      </c>
      <c r="L286" s="5">
        <v>0</v>
      </c>
      <c r="M286" s="5">
        <v>21.69</v>
      </c>
      <c r="N286" s="5">
        <v>26.42</v>
      </c>
      <c r="O286" s="5">
        <v>259.07</v>
      </c>
    </row>
    <row r="287" spans="1:15" x14ac:dyDescent="0.2">
      <c r="A287" s="4" t="str">
        <f>"0085078451"</f>
        <v>0085078451</v>
      </c>
      <c r="B287" t="s">
        <v>28</v>
      </c>
      <c r="C287" t="str">
        <f t="shared" si="23"/>
        <v>18/01/01</v>
      </c>
      <c r="D287" t="str">
        <f t="shared" si="25"/>
        <v>SUFFOLK</v>
      </c>
      <c r="E287" s="5">
        <v>22.58</v>
      </c>
      <c r="F287" s="5">
        <v>23.02</v>
      </c>
      <c r="G287" s="5">
        <v>27.06</v>
      </c>
      <c r="H287" s="5">
        <v>278.17</v>
      </c>
      <c r="I287" s="5">
        <v>24.72</v>
      </c>
      <c r="J287" s="5">
        <v>28.14</v>
      </c>
      <c r="K287" s="5">
        <v>140.54</v>
      </c>
      <c r="L287" s="5">
        <v>151.38999999999999</v>
      </c>
      <c r="M287" s="5">
        <v>22.5</v>
      </c>
      <c r="N287" s="5">
        <v>25.16</v>
      </c>
      <c r="O287" s="5">
        <v>314.79000000000002</v>
      </c>
    </row>
    <row r="288" spans="1:15" x14ac:dyDescent="0.2">
      <c r="A288" s="4" t="str">
        <f>"0205618251"</f>
        <v>0205618251</v>
      </c>
      <c r="B288" t="s">
        <v>108</v>
      </c>
      <c r="C288" t="str">
        <f t="shared" si="23"/>
        <v>18/01/01</v>
      </c>
      <c r="D288" t="str">
        <f t="shared" si="25"/>
        <v>SUFFOLK</v>
      </c>
      <c r="E288" s="5">
        <v>23.77</v>
      </c>
      <c r="F288" s="5">
        <v>24.33</v>
      </c>
      <c r="G288" s="5">
        <v>30.12</v>
      </c>
      <c r="H288" s="5">
        <v>299.07</v>
      </c>
      <c r="I288" s="5">
        <v>0</v>
      </c>
      <c r="J288" s="5">
        <v>0</v>
      </c>
      <c r="K288" s="5">
        <v>140.35</v>
      </c>
      <c r="L288" s="5">
        <v>0</v>
      </c>
      <c r="M288" s="5">
        <v>0</v>
      </c>
      <c r="N288" s="5">
        <v>0</v>
      </c>
      <c r="O288" s="5">
        <v>0</v>
      </c>
    </row>
    <row r="289" spans="1:15" x14ac:dyDescent="0.2">
      <c r="A289" s="4" t="str">
        <f>"0078841851"</f>
        <v>0078841851</v>
      </c>
      <c r="B289" t="s">
        <v>22</v>
      </c>
      <c r="C289" t="str">
        <f t="shared" si="23"/>
        <v>18/01/01</v>
      </c>
      <c r="D289" t="str">
        <f t="shared" si="25"/>
        <v>SUFFOLK</v>
      </c>
      <c r="E289" s="5">
        <v>21.86</v>
      </c>
      <c r="F289" s="5">
        <v>21.38</v>
      </c>
      <c r="G289" s="5">
        <v>24.53</v>
      </c>
      <c r="H289" s="5">
        <v>272.14</v>
      </c>
      <c r="I289" s="5">
        <v>25.51</v>
      </c>
      <c r="J289" s="5">
        <v>25.31</v>
      </c>
      <c r="K289" s="5">
        <v>110.22</v>
      </c>
      <c r="L289" s="5">
        <v>147.80000000000001</v>
      </c>
      <c r="M289" s="5">
        <v>18.420000000000002</v>
      </c>
      <c r="N289" s="5">
        <v>25.77</v>
      </c>
      <c r="O289" s="5">
        <v>341.57</v>
      </c>
    </row>
    <row r="290" spans="1:15" x14ac:dyDescent="0.2">
      <c r="A290" s="4" t="str">
        <f>"0421373251"</f>
        <v>0421373251</v>
      </c>
      <c r="B290" t="s">
        <v>152</v>
      </c>
      <c r="C290" t="str">
        <f t="shared" si="23"/>
        <v>18/01/01</v>
      </c>
      <c r="D290" t="str">
        <f t="shared" si="25"/>
        <v>SUFFOLK</v>
      </c>
      <c r="E290" s="5">
        <v>0</v>
      </c>
      <c r="F290" s="5">
        <v>0</v>
      </c>
      <c r="G290" s="5">
        <v>0</v>
      </c>
      <c r="H290" s="5">
        <v>0</v>
      </c>
      <c r="I290" s="5">
        <v>0</v>
      </c>
      <c r="J290" s="5">
        <v>0</v>
      </c>
      <c r="K290" s="5">
        <v>0</v>
      </c>
      <c r="L290" s="5">
        <v>157.47999999999999</v>
      </c>
      <c r="M290" s="5">
        <v>30.73</v>
      </c>
      <c r="N290" s="5">
        <v>32.14</v>
      </c>
      <c r="O290" s="5">
        <v>385.21</v>
      </c>
    </row>
    <row r="291" spans="1:15" x14ac:dyDescent="0.2">
      <c r="A291" s="4" t="str">
        <f>"0081865351"</f>
        <v>0081865351</v>
      </c>
      <c r="B291" t="s">
        <v>26</v>
      </c>
      <c r="C291" t="str">
        <f t="shared" si="23"/>
        <v>18/01/01</v>
      </c>
      <c r="D291" t="str">
        <f t="shared" si="25"/>
        <v>SUFFOLK</v>
      </c>
      <c r="E291" s="5">
        <v>23.2</v>
      </c>
      <c r="F291" s="5">
        <v>23.48</v>
      </c>
      <c r="G291" s="5">
        <v>27.86</v>
      </c>
      <c r="H291" s="5">
        <v>280.56</v>
      </c>
      <c r="I291" s="5">
        <v>0</v>
      </c>
      <c r="J291" s="5">
        <v>0</v>
      </c>
      <c r="K291" s="5">
        <v>95.21</v>
      </c>
      <c r="L291" s="5">
        <v>0</v>
      </c>
      <c r="M291" s="5">
        <v>22.16</v>
      </c>
      <c r="N291" s="5">
        <v>0</v>
      </c>
      <c r="O291" s="5">
        <v>251.08</v>
      </c>
    </row>
    <row r="292" spans="1:15" x14ac:dyDescent="0.2">
      <c r="A292" s="4" t="str">
        <f>"0417496151"</f>
        <v>0417496151</v>
      </c>
      <c r="B292" t="s">
        <v>148</v>
      </c>
      <c r="C292" t="str">
        <f t="shared" si="23"/>
        <v>18/01/01</v>
      </c>
      <c r="D292" t="str">
        <f t="shared" si="25"/>
        <v>SUFFOLK</v>
      </c>
      <c r="E292" s="5">
        <v>0</v>
      </c>
      <c r="F292" s="5">
        <v>23.03</v>
      </c>
      <c r="G292" s="5">
        <v>0</v>
      </c>
      <c r="H292" s="5">
        <v>264.64999999999998</v>
      </c>
      <c r="I292" s="5">
        <v>0</v>
      </c>
      <c r="J292" s="5">
        <v>0</v>
      </c>
      <c r="K292" s="5">
        <v>96.92</v>
      </c>
      <c r="L292" s="5">
        <v>96.84</v>
      </c>
      <c r="M292" s="5">
        <v>23.33</v>
      </c>
      <c r="N292" s="5">
        <v>24.28</v>
      </c>
      <c r="O292" s="5">
        <v>291.54000000000002</v>
      </c>
    </row>
    <row r="293" spans="1:15" x14ac:dyDescent="0.2">
      <c r="A293" s="4" t="str">
        <f>"0150897451"</f>
        <v>0150897451</v>
      </c>
      <c r="B293" t="s">
        <v>76</v>
      </c>
      <c r="C293" t="str">
        <f t="shared" si="23"/>
        <v>18/01/01</v>
      </c>
      <c r="D293" t="str">
        <f t="shared" si="25"/>
        <v>SUFFOLK</v>
      </c>
      <c r="E293" s="5">
        <v>26.8</v>
      </c>
      <c r="F293" s="5">
        <v>24.51</v>
      </c>
      <c r="G293" s="5">
        <v>25.71</v>
      </c>
      <c r="H293" s="5">
        <v>312.38</v>
      </c>
      <c r="I293" s="5">
        <v>29.19</v>
      </c>
      <c r="J293" s="5">
        <v>25.71</v>
      </c>
      <c r="K293" s="5">
        <v>131.15</v>
      </c>
      <c r="L293" s="5">
        <v>176.91</v>
      </c>
      <c r="M293" s="5">
        <v>22.19</v>
      </c>
      <c r="N293" s="5">
        <v>27.17</v>
      </c>
      <c r="O293" s="5">
        <v>352.34</v>
      </c>
    </row>
    <row r="294" spans="1:15" x14ac:dyDescent="0.2">
      <c r="A294" s="4" t="str">
        <f>"0231917551"</f>
        <v>0231917551</v>
      </c>
      <c r="B294" t="s">
        <v>115</v>
      </c>
      <c r="C294" t="str">
        <f t="shared" si="23"/>
        <v>18/01/01</v>
      </c>
      <c r="D294" t="str">
        <f t="shared" si="25"/>
        <v>SUFFOLK</v>
      </c>
      <c r="E294" s="5">
        <v>22.5</v>
      </c>
      <c r="F294" s="5">
        <v>25.15</v>
      </c>
      <c r="G294" s="5">
        <v>27.8</v>
      </c>
      <c r="H294" s="5">
        <v>397.73</v>
      </c>
      <c r="I294" s="5">
        <v>0</v>
      </c>
      <c r="J294" s="5">
        <v>0</v>
      </c>
      <c r="K294" s="5">
        <v>78.64</v>
      </c>
      <c r="L294" s="5">
        <v>0</v>
      </c>
      <c r="M294" s="5">
        <v>25.15</v>
      </c>
      <c r="N294" s="5">
        <v>25.15</v>
      </c>
      <c r="O294" s="5">
        <v>438.31</v>
      </c>
    </row>
    <row r="295" spans="1:15" x14ac:dyDescent="0.2">
      <c r="A295" s="4" t="str">
        <f>"0150251051"</f>
        <v>0150251051</v>
      </c>
      <c r="B295" t="s">
        <v>75</v>
      </c>
      <c r="C295" t="str">
        <f t="shared" si="23"/>
        <v>18/01/01</v>
      </c>
      <c r="D295" t="str">
        <f t="shared" si="25"/>
        <v>SUFFOLK</v>
      </c>
      <c r="E295" s="5">
        <v>0</v>
      </c>
      <c r="F295" s="5">
        <v>32.82</v>
      </c>
      <c r="G295" s="5">
        <v>0</v>
      </c>
      <c r="H295" s="5">
        <v>323.54000000000002</v>
      </c>
      <c r="I295" s="5">
        <v>0</v>
      </c>
      <c r="J295" s="5">
        <v>0</v>
      </c>
      <c r="K295" s="5">
        <v>179.05</v>
      </c>
      <c r="L295" s="5">
        <v>0</v>
      </c>
      <c r="M295" s="5">
        <v>33.79</v>
      </c>
      <c r="N295" s="5">
        <v>0</v>
      </c>
      <c r="O295" s="5">
        <v>328.3</v>
      </c>
    </row>
    <row r="296" spans="1:15" x14ac:dyDescent="0.2">
      <c r="A296" s="4" t="str">
        <f>"0108728751"</f>
        <v>0108728751</v>
      </c>
      <c r="B296" t="s">
        <v>54</v>
      </c>
      <c r="C296" t="str">
        <f t="shared" si="23"/>
        <v>18/01/01</v>
      </c>
      <c r="D296" t="str">
        <f t="shared" si="25"/>
        <v>SUFFOLK</v>
      </c>
      <c r="E296" s="5">
        <v>23.31</v>
      </c>
      <c r="F296" s="5">
        <v>23.56</v>
      </c>
      <c r="G296" s="5">
        <v>27.32</v>
      </c>
      <c r="H296" s="5">
        <v>270.33999999999997</v>
      </c>
      <c r="I296" s="5">
        <v>28.18</v>
      </c>
      <c r="J296" s="5">
        <v>25.84</v>
      </c>
      <c r="K296" s="5">
        <v>118.27</v>
      </c>
      <c r="L296" s="5">
        <v>0</v>
      </c>
      <c r="M296" s="5">
        <v>22.01</v>
      </c>
      <c r="N296" s="5">
        <v>22.55</v>
      </c>
      <c r="O296" s="5">
        <v>285.5</v>
      </c>
    </row>
    <row r="297" spans="1:15" x14ac:dyDescent="0.2">
      <c r="A297" s="4" t="str">
        <f>"0042019551"</f>
        <v>0042019551</v>
      </c>
      <c r="B297" t="s">
        <v>9</v>
      </c>
      <c r="C297" t="str">
        <f t="shared" si="23"/>
        <v>18/01/01</v>
      </c>
      <c r="D297" t="str">
        <f t="shared" si="25"/>
        <v>SUFFOLK</v>
      </c>
      <c r="E297" s="5">
        <v>19.62</v>
      </c>
      <c r="F297" s="5">
        <v>19.899999999999999</v>
      </c>
      <c r="G297" s="5">
        <v>27.26</v>
      </c>
      <c r="H297" s="5">
        <v>243.55</v>
      </c>
      <c r="I297" s="5">
        <v>21.38</v>
      </c>
      <c r="J297" s="5">
        <v>21.38</v>
      </c>
      <c r="K297" s="5">
        <v>90.43</v>
      </c>
      <c r="L297" s="5">
        <v>90.43</v>
      </c>
      <c r="M297" s="5">
        <v>21.13</v>
      </c>
      <c r="N297" s="5">
        <v>21.92</v>
      </c>
      <c r="O297" s="5">
        <v>264.12</v>
      </c>
    </row>
    <row r="298" spans="1:15" x14ac:dyDescent="0.2">
      <c r="A298" s="4" t="str">
        <f>"0417503151"</f>
        <v>0417503151</v>
      </c>
      <c r="B298" t="s">
        <v>149</v>
      </c>
      <c r="C298" t="str">
        <f t="shared" si="23"/>
        <v>18/01/01</v>
      </c>
      <c r="D298" t="str">
        <f t="shared" si="25"/>
        <v>SUFFOLK</v>
      </c>
      <c r="E298" s="5">
        <v>23.12</v>
      </c>
      <c r="F298" s="5">
        <v>23.14</v>
      </c>
      <c r="G298" s="5">
        <v>26.89</v>
      </c>
      <c r="H298" s="5">
        <v>295.67</v>
      </c>
      <c r="I298" s="5">
        <v>27.8</v>
      </c>
      <c r="J298" s="5">
        <v>27.8</v>
      </c>
      <c r="K298" s="5">
        <v>101.78</v>
      </c>
      <c r="L298" s="5">
        <v>124.56</v>
      </c>
      <c r="M298" s="5">
        <v>22.81</v>
      </c>
      <c r="N298" s="5">
        <v>24.18</v>
      </c>
      <c r="O298" s="5">
        <v>292.61</v>
      </c>
    </row>
    <row r="299" spans="1:15" x14ac:dyDescent="0.2">
      <c r="A299" s="4" t="str">
        <f>"0134254351"</f>
        <v>0134254351</v>
      </c>
      <c r="B299" t="s">
        <v>65</v>
      </c>
      <c r="C299" t="str">
        <f t="shared" si="23"/>
        <v>18/01/01</v>
      </c>
      <c r="D299" t="str">
        <f t="shared" si="25"/>
        <v>SUFFOLK</v>
      </c>
      <c r="E299" s="5">
        <v>20.28</v>
      </c>
      <c r="F299" s="5">
        <v>20.55</v>
      </c>
      <c r="G299" s="5">
        <v>25.7</v>
      </c>
      <c r="H299" s="5">
        <v>252.01</v>
      </c>
      <c r="I299" s="5">
        <v>26.73</v>
      </c>
      <c r="J299" s="5">
        <v>24.04</v>
      </c>
      <c r="K299" s="5">
        <v>90.43</v>
      </c>
      <c r="L299" s="5">
        <v>0</v>
      </c>
      <c r="M299" s="5">
        <v>21.68</v>
      </c>
      <c r="N299" s="5">
        <v>22.23</v>
      </c>
      <c r="O299" s="5">
        <v>283.58</v>
      </c>
    </row>
    <row r="300" spans="1:15" x14ac:dyDescent="0.2">
      <c r="A300" s="4" t="str">
        <f>"0047617351"</f>
        <v>0047617351</v>
      </c>
      <c r="B300" t="s">
        <v>6</v>
      </c>
      <c r="C300" t="str">
        <f t="shared" si="23"/>
        <v>18/01/01</v>
      </c>
      <c r="D300" t="str">
        <f t="shared" si="25"/>
        <v>SUFFOLK</v>
      </c>
      <c r="E300" s="5">
        <v>19.07</v>
      </c>
      <c r="F300" s="5">
        <v>19.29</v>
      </c>
      <c r="G300" s="5">
        <v>33.1</v>
      </c>
      <c r="H300" s="5">
        <v>237.6</v>
      </c>
      <c r="I300" s="5">
        <v>27.86</v>
      </c>
      <c r="J300" s="5">
        <v>29.91</v>
      </c>
      <c r="K300" s="5">
        <v>101.65</v>
      </c>
      <c r="L300" s="5">
        <v>154.26</v>
      </c>
      <c r="M300" s="5">
        <v>20</v>
      </c>
      <c r="N300" s="5">
        <v>26.36</v>
      </c>
      <c r="O300" s="5">
        <v>257.38</v>
      </c>
    </row>
    <row r="301" spans="1:15" x14ac:dyDescent="0.2">
      <c r="A301" s="4" t="str">
        <f>"0108549651"</f>
        <v>0108549651</v>
      </c>
      <c r="B301" t="s">
        <v>53</v>
      </c>
      <c r="C301" t="str">
        <f t="shared" si="23"/>
        <v>18/01/01</v>
      </c>
      <c r="D301" t="str">
        <f t="shared" si="25"/>
        <v>SUFFOLK</v>
      </c>
      <c r="E301" s="5">
        <v>19.75</v>
      </c>
      <c r="F301" s="5">
        <v>20.18</v>
      </c>
      <c r="G301" s="5">
        <v>35.119999999999997</v>
      </c>
      <c r="H301" s="5">
        <v>248.45</v>
      </c>
      <c r="I301" s="5">
        <v>22.71</v>
      </c>
      <c r="J301" s="5">
        <v>22.68</v>
      </c>
      <c r="K301" s="5">
        <v>72.89</v>
      </c>
      <c r="L301" s="5">
        <v>153.94</v>
      </c>
      <c r="M301" s="5">
        <v>20.67</v>
      </c>
      <c r="N301" s="5">
        <v>26.38</v>
      </c>
      <c r="O301" s="5">
        <v>269.64</v>
      </c>
    </row>
    <row r="302" spans="1:15" x14ac:dyDescent="0.2">
      <c r="A302" s="4" t="str">
        <f>"0035491251"</f>
        <v>0035491251</v>
      </c>
      <c r="B302" t="s">
        <v>7</v>
      </c>
      <c r="C302" t="str">
        <f t="shared" si="23"/>
        <v>18/01/01</v>
      </c>
      <c r="D302" t="str">
        <f t="shared" si="25"/>
        <v>SUFFOLK</v>
      </c>
      <c r="E302" s="5">
        <v>25.57</v>
      </c>
      <c r="F302" s="5">
        <v>26.04</v>
      </c>
      <c r="G302" s="5">
        <v>32.020000000000003</v>
      </c>
      <c r="H302" s="5">
        <v>329.88</v>
      </c>
      <c r="I302" s="5">
        <v>36.01</v>
      </c>
      <c r="J302" s="5">
        <v>31.68</v>
      </c>
      <c r="K302" s="5">
        <v>141.65</v>
      </c>
      <c r="L302" s="5">
        <v>133.19</v>
      </c>
      <c r="M302" s="5">
        <v>25.99</v>
      </c>
      <c r="N302" s="5">
        <v>27.34</v>
      </c>
      <c r="O302" s="5">
        <v>323.17</v>
      </c>
    </row>
    <row r="303" spans="1:15" x14ac:dyDescent="0.2">
      <c r="A303" s="4" t="str">
        <f>"0113351351"</f>
        <v>0113351351</v>
      </c>
      <c r="B303" t="s">
        <v>56</v>
      </c>
      <c r="C303" t="str">
        <f t="shared" si="23"/>
        <v>18/01/01</v>
      </c>
      <c r="D303" t="str">
        <f t="shared" si="25"/>
        <v>SUFFOLK</v>
      </c>
      <c r="E303" s="5">
        <v>23.72</v>
      </c>
      <c r="F303" s="5">
        <v>23.58</v>
      </c>
      <c r="G303" s="5">
        <v>28.55</v>
      </c>
      <c r="H303" s="5">
        <v>284.97000000000003</v>
      </c>
      <c r="I303" s="5">
        <v>26.72</v>
      </c>
      <c r="J303" s="5">
        <v>26.76</v>
      </c>
      <c r="K303" s="5">
        <v>142.04</v>
      </c>
      <c r="L303" s="5">
        <v>179.31</v>
      </c>
      <c r="M303" s="5">
        <v>22.33</v>
      </c>
      <c r="N303" s="5">
        <v>26.28</v>
      </c>
      <c r="O303" s="5">
        <v>324.39</v>
      </c>
    </row>
    <row r="304" spans="1:15" x14ac:dyDescent="0.2">
      <c r="A304" s="4" t="str">
        <f>"0173848552"</f>
        <v>0173848552</v>
      </c>
      <c r="B304" t="s">
        <v>90</v>
      </c>
      <c r="C304" t="str">
        <f t="shared" si="23"/>
        <v>18/01/01</v>
      </c>
      <c r="D304" t="str">
        <f>"SULLIVAN"</f>
        <v>SULLIVAN</v>
      </c>
      <c r="E304" s="5">
        <v>0</v>
      </c>
      <c r="F304" s="5">
        <v>0</v>
      </c>
      <c r="G304" s="5">
        <v>0</v>
      </c>
      <c r="H304" s="5">
        <v>0</v>
      </c>
      <c r="I304" s="5">
        <v>0</v>
      </c>
      <c r="J304" s="5">
        <v>0</v>
      </c>
      <c r="K304" s="5">
        <v>0</v>
      </c>
      <c r="L304" s="5">
        <v>0</v>
      </c>
      <c r="M304" s="5">
        <v>16.02</v>
      </c>
      <c r="N304" s="5">
        <v>0</v>
      </c>
      <c r="O304" s="5">
        <v>0</v>
      </c>
    </row>
    <row r="305" spans="1:15" x14ac:dyDescent="0.2">
      <c r="A305" s="4" t="str">
        <f>"0099143352"</f>
        <v>0099143352</v>
      </c>
      <c r="B305" t="s">
        <v>42</v>
      </c>
      <c r="C305" t="str">
        <f t="shared" si="23"/>
        <v>18/01/01</v>
      </c>
      <c r="D305" t="str">
        <f>"SULLIVAN"</f>
        <v>SULLIVAN</v>
      </c>
      <c r="E305" s="5">
        <v>21.94</v>
      </c>
      <c r="F305" s="5">
        <v>22.42</v>
      </c>
      <c r="G305" s="5">
        <v>30.01</v>
      </c>
      <c r="H305" s="5">
        <v>300.39999999999998</v>
      </c>
      <c r="I305" s="5">
        <v>31.38</v>
      </c>
      <c r="J305" s="5">
        <v>27.48</v>
      </c>
      <c r="K305" s="5">
        <v>141.49</v>
      </c>
      <c r="L305" s="5">
        <v>164.49</v>
      </c>
      <c r="M305" s="5">
        <v>18.850000000000001</v>
      </c>
      <c r="N305" s="5">
        <v>26.41</v>
      </c>
      <c r="O305" s="5">
        <v>341.96</v>
      </c>
    </row>
    <row r="306" spans="1:15" x14ac:dyDescent="0.2">
      <c r="A306" s="4" t="str">
        <f>"0324945652"</f>
        <v>0324945652</v>
      </c>
      <c r="B306" t="s">
        <v>133</v>
      </c>
      <c r="C306" t="str">
        <f t="shared" si="23"/>
        <v>18/01/01</v>
      </c>
      <c r="D306" t="str">
        <f>"SULLIVAN"</f>
        <v>SULLIVAN</v>
      </c>
      <c r="E306" s="5">
        <v>0</v>
      </c>
      <c r="F306" s="5">
        <v>0</v>
      </c>
      <c r="G306" s="5">
        <v>0</v>
      </c>
      <c r="H306" s="5">
        <v>0</v>
      </c>
      <c r="I306" s="5">
        <v>0</v>
      </c>
      <c r="J306" s="5">
        <v>0</v>
      </c>
      <c r="K306" s="5">
        <v>0</v>
      </c>
      <c r="L306" s="5">
        <v>0</v>
      </c>
      <c r="M306" s="5">
        <v>17.23</v>
      </c>
      <c r="N306" s="5">
        <v>19.420000000000002</v>
      </c>
      <c r="O306" s="5">
        <v>222.22</v>
      </c>
    </row>
    <row r="307" spans="1:15" x14ac:dyDescent="0.2">
      <c r="A307" s="4" t="str">
        <f>"0173893052"</f>
        <v>0173893052</v>
      </c>
      <c r="B307" t="s">
        <v>91</v>
      </c>
      <c r="C307" t="str">
        <f t="shared" si="23"/>
        <v>18/01/01</v>
      </c>
      <c r="D307" t="str">
        <f>"SULLIVAN"</f>
        <v>SULLIVAN</v>
      </c>
      <c r="E307" s="5">
        <v>0</v>
      </c>
      <c r="F307" s="5">
        <v>0</v>
      </c>
      <c r="G307" s="5">
        <v>0</v>
      </c>
      <c r="H307" s="5">
        <v>0</v>
      </c>
      <c r="I307" s="5">
        <v>0</v>
      </c>
      <c r="J307" s="5">
        <v>0</v>
      </c>
      <c r="K307" s="5">
        <v>0</v>
      </c>
      <c r="L307" s="5">
        <v>0</v>
      </c>
      <c r="M307" s="5">
        <v>17.37</v>
      </c>
      <c r="N307" s="5">
        <v>19.36</v>
      </c>
      <c r="O307" s="5">
        <v>0</v>
      </c>
    </row>
    <row r="308" spans="1:15" x14ac:dyDescent="0.2">
      <c r="A308" s="4" t="str">
        <f>"0179766253"</f>
        <v>0179766253</v>
      </c>
      <c r="B308" t="s">
        <v>101</v>
      </c>
      <c r="C308" t="str">
        <f t="shared" si="23"/>
        <v>18/01/01</v>
      </c>
      <c r="D308" t="str">
        <f>"TIOGA"</f>
        <v>TIOGA</v>
      </c>
      <c r="E308" s="5">
        <v>0</v>
      </c>
      <c r="F308" s="5">
        <v>0</v>
      </c>
      <c r="G308" s="5">
        <v>0</v>
      </c>
      <c r="H308" s="5">
        <v>0</v>
      </c>
      <c r="I308" s="5">
        <v>0</v>
      </c>
      <c r="J308" s="5">
        <v>0</v>
      </c>
      <c r="K308" s="5">
        <v>0</v>
      </c>
      <c r="L308" s="5">
        <v>0</v>
      </c>
      <c r="M308" s="5">
        <v>16.55</v>
      </c>
      <c r="N308" s="5">
        <v>0</v>
      </c>
      <c r="O308" s="5">
        <v>0</v>
      </c>
    </row>
    <row r="309" spans="1:15" x14ac:dyDescent="0.2">
      <c r="A309" s="4" t="str">
        <f>"0059035453"</f>
        <v>0059035453</v>
      </c>
      <c r="B309" t="s">
        <v>20</v>
      </c>
      <c r="C309" t="str">
        <f t="shared" si="23"/>
        <v>18/01/01</v>
      </c>
      <c r="D309" t="str">
        <f>"TIOGA"</f>
        <v>TIOGA</v>
      </c>
      <c r="E309" s="5">
        <v>23.4</v>
      </c>
      <c r="F309" s="5">
        <v>23.7</v>
      </c>
      <c r="G309" s="5">
        <v>30.44</v>
      </c>
      <c r="H309" s="5">
        <v>280.32</v>
      </c>
      <c r="I309" s="5">
        <v>27.21</v>
      </c>
      <c r="J309" s="5">
        <v>27.17</v>
      </c>
      <c r="K309" s="5">
        <v>89.89</v>
      </c>
      <c r="L309" s="5">
        <v>163.55000000000001</v>
      </c>
      <c r="M309" s="5">
        <v>22.48</v>
      </c>
      <c r="N309" s="5">
        <v>24.6</v>
      </c>
      <c r="O309" s="5">
        <v>256.3</v>
      </c>
    </row>
    <row r="310" spans="1:15" x14ac:dyDescent="0.2">
      <c r="A310" s="4" t="str">
        <f>"0174116653"</f>
        <v>0174116653</v>
      </c>
      <c r="B310" t="s">
        <v>94</v>
      </c>
      <c r="C310" t="str">
        <f t="shared" si="23"/>
        <v>18/01/01</v>
      </c>
      <c r="D310" t="str">
        <f>"TIOGA"</f>
        <v>TIOGA</v>
      </c>
      <c r="E310" s="5">
        <v>0</v>
      </c>
      <c r="F310" s="5">
        <v>0</v>
      </c>
      <c r="G310" s="5">
        <v>0</v>
      </c>
      <c r="H310" s="5">
        <v>0</v>
      </c>
      <c r="I310" s="5">
        <v>0</v>
      </c>
      <c r="J310" s="5">
        <v>0</v>
      </c>
      <c r="K310" s="5">
        <v>0</v>
      </c>
      <c r="L310" s="5">
        <v>0</v>
      </c>
      <c r="M310" s="5">
        <v>15.53</v>
      </c>
      <c r="N310" s="5">
        <v>17.52</v>
      </c>
      <c r="O310" s="5">
        <v>0</v>
      </c>
    </row>
    <row r="311" spans="1:15" x14ac:dyDescent="0.2">
      <c r="A311" s="4" t="str">
        <f>"0105243753"</f>
        <v>0105243753</v>
      </c>
      <c r="B311" t="s">
        <v>47</v>
      </c>
      <c r="C311" t="str">
        <f t="shared" si="23"/>
        <v>18/01/01</v>
      </c>
      <c r="D311" t="str">
        <f>"TIOGA"</f>
        <v>TIOGA</v>
      </c>
      <c r="E311" s="5">
        <v>24.07</v>
      </c>
      <c r="F311" s="5">
        <v>23.64</v>
      </c>
      <c r="G311" s="5">
        <v>27.92</v>
      </c>
      <c r="H311" s="5">
        <v>274.82</v>
      </c>
      <c r="I311" s="5">
        <v>28.09</v>
      </c>
      <c r="J311" s="5">
        <v>27.89</v>
      </c>
      <c r="K311" s="5">
        <v>108</v>
      </c>
      <c r="L311" s="5">
        <v>0</v>
      </c>
      <c r="M311" s="5">
        <v>22.03</v>
      </c>
      <c r="N311" s="5">
        <v>24.42</v>
      </c>
      <c r="O311" s="5">
        <v>280.66000000000003</v>
      </c>
    </row>
    <row r="312" spans="1:15" x14ac:dyDescent="0.2">
      <c r="A312" s="4" t="str">
        <f>"0080671754"</f>
        <v>0080671754</v>
      </c>
      <c r="B312" t="s">
        <v>23</v>
      </c>
      <c r="C312" t="str">
        <f t="shared" si="23"/>
        <v>18/01/01</v>
      </c>
      <c r="D312" t="str">
        <f>"TOMPKINS"</f>
        <v>TOMPKINS</v>
      </c>
      <c r="E312" s="5">
        <v>23.58</v>
      </c>
      <c r="F312" s="5">
        <v>23.62</v>
      </c>
      <c r="G312" s="5">
        <v>0</v>
      </c>
      <c r="H312" s="5">
        <v>0</v>
      </c>
      <c r="I312" s="5">
        <v>0</v>
      </c>
      <c r="J312" s="5">
        <v>0</v>
      </c>
      <c r="K312" s="5">
        <v>79.790000000000006</v>
      </c>
      <c r="L312" s="5">
        <v>0</v>
      </c>
      <c r="M312" s="5">
        <v>0</v>
      </c>
      <c r="N312" s="5">
        <v>0</v>
      </c>
      <c r="O312" s="5">
        <v>0</v>
      </c>
    </row>
    <row r="313" spans="1:15" x14ac:dyDescent="0.2">
      <c r="A313" s="4" t="str">
        <f>"0105243754"</f>
        <v>0105243754</v>
      </c>
      <c r="B313" t="s">
        <v>47</v>
      </c>
      <c r="C313" t="str">
        <f t="shared" si="23"/>
        <v>18/01/01</v>
      </c>
      <c r="D313" t="str">
        <f>"TOMPKINS"</f>
        <v>TOMPKINS</v>
      </c>
      <c r="E313" s="5">
        <v>23.43</v>
      </c>
      <c r="F313" s="5">
        <v>24.12</v>
      </c>
      <c r="G313" s="5">
        <v>27.96</v>
      </c>
      <c r="H313" s="5">
        <v>275.5</v>
      </c>
      <c r="I313" s="5">
        <v>27.75</v>
      </c>
      <c r="J313" s="5">
        <v>27.93</v>
      </c>
      <c r="K313" s="5">
        <v>105.19</v>
      </c>
      <c r="L313" s="5">
        <v>0</v>
      </c>
      <c r="M313" s="5">
        <v>22.08</v>
      </c>
      <c r="N313" s="5">
        <v>24.46</v>
      </c>
      <c r="O313" s="5">
        <v>281.05</v>
      </c>
    </row>
    <row r="314" spans="1:15" x14ac:dyDescent="0.2">
      <c r="A314" s="4" t="str">
        <f>"0128098255"</f>
        <v>0128098255</v>
      </c>
      <c r="B314" t="s">
        <v>63</v>
      </c>
      <c r="C314" t="str">
        <f t="shared" si="23"/>
        <v>18/01/01</v>
      </c>
      <c r="D314" t="str">
        <f t="shared" ref="D314:D323" si="26">"ULSTER"</f>
        <v>ULSTER</v>
      </c>
      <c r="E314" s="5">
        <v>29.01</v>
      </c>
      <c r="F314" s="5">
        <v>20.78</v>
      </c>
      <c r="G314" s="5">
        <v>29.01</v>
      </c>
      <c r="H314" s="5">
        <v>238.29</v>
      </c>
      <c r="I314" s="5">
        <v>29.01</v>
      </c>
      <c r="J314" s="5">
        <v>29.01</v>
      </c>
      <c r="K314" s="5">
        <v>155.71</v>
      </c>
      <c r="L314" s="5">
        <v>137.72999999999999</v>
      </c>
      <c r="M314" s="5">
        <v>24.86</v>
      </c>
      <c r="N314" s="5">
        <v>26.43</v>
      </c>
      <c r="O314" s="5">
        <v>242.82</v>
      </c>
    </row>
    <row r="315" spans="1:15" x14ac:dyDescent="0.2">
      <c r="A315" s="4" t="str">
        <f>"0173848555"</f>
        <v>0173848555</v>
      </c>
      <c r="B315" t="s">
        <v>90</v>
      </c>
      <c r="C315" t="str">
        <f t="shared" si="23"/>
        <v>18/01/01</v>
      </c>
      <c r="D315" t="str">
        <f t="shared" si="26"/>
        <v>ULSTER</v>
      </c>
      <c r="E315" s="5">
        <v>0</v>
      </c>
      <c r="F315" s="5">
        <v>0</v>
      </c>
      <c r="G315" s="5">
        <v>0</v>
      </c>
      <c r="H315" s="5">
        <v>0</v>
      </c>
      <c r="I315" s="5">
        <v>0</v>
      </c>
      <c r="J315" s="5">
        <v>0</v>
      </c>
      <c r="K315" s="5">
        <v>0</v>
      </c>
      <c r="L315" s="5">
        <v>0</v>
      </c>
      <c r="M315" s="5">
        <v>17.97</v>
      </c>
      <c r="N315" s="5">
        <v>0</v>
      </c>
      <c r="O315" s="5">
        <v>0</v>
      </c>
    </row>
    <row r="316" spans="1:15" x14ac:dyDescent="0.2">
      <c r="A316" s="4" t="str">
        <f>"0099143355"</f>
        <v>0099143355</v>
      </c>
      <c r="B316" t="s">
        <v>42</v>
      </c>
      <c r="C316" t="str">
        <f t="shared" si="23"/>
        <v>18/01/01</v>
      </c>
      <c r="D316" t="str">
        <f t="shared" si="26"/>
        <v>ULSTER</v>
      </c>
      <c r="E316" s="5">
        <v>22.03</v>
      </c>
      <c r="F316" s="5">
        <v>22.55</v>
      </c>
      <c r="G316" s="5">
        <v>25.71</v>
      </c>
      <c r="H316" s="5">
        <v>299.91000000000003</v>
      </c>
      <c r="I316" s="5">
        <v>31.44</v>
      </c>
      <c r="J316" s="5">
        <v>27.44</v>
      </c>
      <c r="K316" s="5">
        <v>130.99</v>
      </c>
      <c r="L316" s="5">
        <v>131</v>
      </c>
      <c r="M316" s="5">
        <v>18.98</v>
      </c>
      <c r="N316" s="5">
        <v>26</v>
      </c>
      <c r="O316" s="5">
        <v>245.82</v>
      </c>
    </row>
    <row r="317" spans="1:15" x14ac:dyDescent="0.2">
      <c r="A317" s="4" t="str">
        <f>"0116304255"</f>
        <v>0116304255</v>
      </c>
      <c r="B317" t="s">
        <v>57</v>
      </c>
      <c r="C317" t="str">
        <f t="shared" si="23"/>
        <v>18/01/01</v>
      </c>
      <c r="D317" t="str">
        <f t="shared" si="26"/>
        <v>ULSTER</v>
      </c>
      <c r="E317" s="5">
        <v>21.01</v>
      </c>
      <c r="F317" s="5">
        <v>22.35</v>
      </c>
      <c r="G317" s="5">
        <v>24.04</v>
      </c>
      <c r="H317" s="5">
        <v>195.87</v>
      </c>
      <c r="I317" s="5">
        <v>20.51</v>
      </c>
      <c r="J317" s="5">
        <v>19.8</v>
      </c>
      <c r="K317" s="5">
        <v>91.07</v>
      </c>
      <c r="L317" s="5">
        <v>84.93</v>
      </c>
      <c r="M317" s="5">
        <v>18.760000000000002</v>
      </c>
      <c r="N317" s="5">
        <v>20.329999999999998</v>
      </c>
      <c r="O317" s="5">
        <v>230.5</v>
      </c>
    </row>
    <row r="318" spans="1:15" x14ac:dyDescent="0.2">
      <c r="A318" s="4" t="str">
        <f>"0094476155"</f>
        <v>0094476155</v>
      </c>
      <c r="B318" t="s">
        <v>37</v>
      </c>
      <c r="C318" t="str">
        <f t="shared" si="23"/>
        <v>18/01/01</v>
      </c>
      <c r="D318" t="str">
        <f t="shared" si="26"/>
        <v>ULSTER</v>
      </c>
      <c r="E318" s="5">
        <v>0</v>
      </c>
      <c r="F318" s="5">
        <v>21.06</v>
      </c>
      <c r="G318" s="5">
        <v>0</v>
      </c>
      <c r="H318" s="5">
        <v>0</v>
      </c>
      <c r="I318" s="5">
        <v>0</v>
      </c>
      <c r="J318" s="5">
        <v>0</v>
      </c>
      <c r="K318" s="5">
        <v>0</v>
      </c>
      <c r="L318" s="5">
        <v>0</v>
      </c>
      <c r="M318" s="5">
        <v>0</v>
      </c>
      <c r="N318" s="5">
        <v>0</v>
      </c>
      <c r="O318" s="5">
        <v>0</v>
      </c>
    </row>
    <row r="319" spans="1:15" x14ac:dyDescent="0.2">
      <c r="A319" s="4" t="str">
        <f>"0324945655"</f>
        <v>0324945655</v>
      </c>
      <c r="B319" t="s">
        <v>133</v>
      </c>
      <c r="C319" t="str">
        <f t="shared" si="23"/>
        <v>18/01/01</v>
      </c>
      <c r="D319" t="str">
        <f t="shared" si="26"/>
        <v>ULSTER</v>
      </c>
      <c r="E319" s="5">
        <v>0</v>
      </c>
      <c r="F319" s="5">
        <v>0</v>
      </c>
      <c r="G319" s="5">
        <v>0</v>
      </c>
      <c r="H319" s="5">
        <v>0</v>
      </c>
      <c r="I319" s="5">
        <v>0</v>
      </c>
      <c r="J319" s="5">
        <v>0</v>
      </c>
      <c r="K319" s="5">
        <v>0</v>
      </c>
      <c r="L319" s="5">
        <v>0</v>
      </c>
      <c r="M319" s="5">
        <v>17.2</v>
      </c>
      <c r="N319" s="5">
        <v>0</v>
      </c>
      <c r="O319" s="5">
        <v>0</v>
      </c>
    </row>
    <row r="320" spans="1:15" x14ac:dyDescent="0.2">
      <c r="A320" s="4" t="str">
        <f>"0173893055"</f>
        <v>0173893055</v>
      </c>
      <c r="B320" t="s">
        <v>91</v>
      </c>
      <c r="C320" t="str">
        <f t="shared" si="23"/>
        <v>18/01/01</v>
      </c>
      <c r="D320" t="str">
        <f t="shared" si="26"/>
        <v>ULSTER</v>
      </c>
      <c r="E320" s="5">
        <v>0</v>
      </c>
      <c r="F320" s="5">
        <v>0</v>
      </c>
      <c r="G320" s="5">
        <v>0</v>
      </c>
      <c r="H320" s="5">
        <v>0</v>
      </c>
      <c r="I320" s="5">
        <v>0</v>
      </c>
      <c r="J320" s="5">
        <v>0</v>
      </c>
      <c r="K320" s="5">
        <v>0</v>
      </c>
      <c r="L320" s="5">
        <v>0</v>
      </c>
      <c r="M320" s="5">
        <v>16.41</v>
      </c>
      <c r="N320" s="5">
        <v>0</v>
      </c>
      <c r="O320" s="5">
        <v>0</v>
      </c>
    </row>
    <row r="321" spans="1:15" x14ac:dyDescent="0.2">
      <c r="A321" s="4" t="str">
        <f>"0174097255"</f>
        <v>0174097255</v>
      </c>
      <c r="B321" t="s">
        <v>92</v>
      </c>
      <c r="C321" t="str">
        <f t="shared" si="23"/>
        <v>18/01/01</v>
      </c>
      <c r="D321" t="str">
        <f t="shared" si="26"/>
        <v>ULSTER</v>
      </c>
      <c r="E321" s="5">
        <v>21.29</v>
      </c>
      <c r="F321" s="5">
        <v>21.29</v>
      </c>
      <c r="G321" s="5">
        <v>24.51</v>
      </c>
      <c r="H321" s="5">
        <v>159.69999999999999</v>
      </c>
      <c r="I321" s="5">
        <v>23.06</v>
      </c>
      <c r="J321" s="5">
        <v>21.24</v>
      </c>
      <c r="K321" s="5">
        <v>63.44</v>
      </c>
      <c r="L321" s="5">
        <v>107.86</v>
      </c>
      <c r="M321" s="5">
        <v>19.93</v>
      </c>
      <c r="N321" s="5">
        <v>22.75</v>
      </c>
      <c r="O321" s="5">
        <v>251.95</v>
      </c>
    </row>
    <row r="322" spans="1:15" x14ac:dyDescent="0.2">
      <c r="A322" s="4" t="str">
        <f>"0091093055"</f>
        <v>0091093055</v>
      </c>
      <c r="B322" t="s">
        <v>34</v>
      </c>
      <c r="C322" t="str">
        <f t="shared" si="23"/>
        <v>18/01/01</v>
      </c>
      <c r="D322" t="str">
        <f t="shared" si="26"/>
        <v>ULSTER</v>
      </c>
      <c r="E322" s="5">
        <v>23.9</v>
      </c>
      <c r="F322" s="5">
        <v>24.69</v>
      </c>
      <c r="G322" s="5">
        <v>26.32</v>
      </c>
      <c r="H322" s="5">
        <v>0</v>
      </c>
      <c r="I322" s="5">
        <v>26.06</v>
      </c>
      <c r="J322" s="5">
        <v>25.29</v>
      </c>
      <c r="K322" s="5">
        <v>83.88</v>
      </c>
      <c r="L322" s="5">
        <v>83.88</v>
      </c>
      <c r="M322" s="5">
        <v>0</v>
      </c>
      <c r="N322" s="5">
        <v>0</v>
      </c>
      <c r="O322" s="5">
        <v>0</v>
      </c>
    </row>
    <row r="323" spans="1:15" x14ac:dyDescent="0.2">
      <c r="A323" s="4" t="str">
        <f>"0035491255"</f>
        <v>0035491255</v>
      </c>
      <c r="B323" t="s">
        <v>7</v>
      </c>
      <c r="C323" t="str">
        <f t="shared" si="23"/>
        <v>18/01/01</v>
      </c>
      <c r="D323" t="str">
        <f t="shared" si="26"/>
        <v>ULSTER</v>
      </c>
      <c r="E323" s="5">
        <v>21.62</v>
      </c>
      <c r="F323" s="5">
        <v>22.25</v>
      </c>
      <c r="G323" s="5">
        <v>24.05</v>
      </c>
      <c r="H323" s="5">
        <v>263.11</v>
      </c>
      <c r="I323" s="5">
        <v>29.06</v>
      </c>
      <c r="J323" s="5">
        <v>28.28</v>
      </c>
      <c r="K323" s="5">
        <v>167.28</v>
      </c>
      <c r="L323" s="5">
        <v>147.12</v>
      </c>
      <c r="M323" s="5">
        <v>17.38</v>
      </c>
      <c r="N323" s="5">
        <v>26.24</v>
      </c>
      <c r="O323" s="5">
        <v>227.29</v>
      </c>
    </row>
    <row r="324" spans="1:15" x14ac:dyDescent="0.2">
      <c r="A324" s="4" t="str">
        <f>"0179301756"</f>
        <v>0179301756</v>
      </c>
      <c r="B324" t="s">
        <v>98</v>
      </c>
      <c r="C324" t="str">
        <f t="shared" si="23"/>
        <v>18/01/01</v>
      </c>
      <c r="D324" t="str">
        <f t="shared" ref="D324:D329" si="27">"WARREN"</f>
        <v>WARREN</v>
      </c>
      <c r="E324" s="5">
        <v>0</v>
      </c>
      <c r="F324" s="5">
        <v>0</v>
      </c>
      <c r="G324" s="5">
        <v>0</v>
      </c>
      <c r="H324" s="5">
        <v>0</v>
      </c>
      <c r="I324" s="5">
        <v>0</v>
      </c>
      <c r="J324" s="5">
        <v>0</v>
      </c>
      <c r="K324" s="5">
        <v>0</v>
      </c>
      <c r="L324" s="5">
        <v>0</v>
      </c>
      <c r="M324" s="5">
        <v>16.96</v>
      </c>
      <c r="N324" s="5">
        <v>0</v>
      </c>
      <c r="O324" s="5">
        <v>0</v>
      </c>
    </row>
    <row r="325" spans="1:15" x14ac:dyDescent="0.2">
      <c r="A325" s="4" t="str">
        <f>"0240779856"</f>
        <v>0240779856</v>
      </c>
      <c r="B325" t="s">
        <v>121</v>
      </c>
      <c r="C325" t="str">
        <f t="shared" ref="C325:C375" si="28">"18/01/01"</f>
        <v>18/01/01</v>
      </c>
      <c r="D325" t="str">
        <f t="shared" si="27"/>
        <v>WARREN</v>
      </c>
      <c r="E325" s="5">
        <v>0</v>
      </c>
      <c r="F325" s="5">
        <v>0</v>
      </c>
      <c r="G325" s="5">
        <v>0</v>
      </c>
      <c r="H325" s="5">
        <v>0</v>
      </c>
      <c r="I325" s="5">
        <v>0</v>
      </c>
      <c r="J325" s="5">
        <v>0</v>
      </c>
      <c r="K325" s="5">
        <v>0</v>
      </c>
      <c r="L325" s="5">
        <v>0</v>
      </c>
      <c r="M325" s="5">
        <v>19.579999999999998</v>
      </c>
      <c r="N325" s="5">
        <v>21.59</v>
      </c>
      <c r="O325" s="5">
        <v>236.63</v>
      </c>
    </row>
    <row r="326" spans="1:15" x14ac:dyDescent="0.2">
      <c r="A326" s="4" t="str">
        <f>"0215044356"</f>
        <v>0215044356</v>
      </c>
      <c r="B326" t="s">
        <v>109</v>
      </c>
      <c r="C326" t="str">
        <f t="shared" si="28"/>
        <v>18/01/01</v>
      </c>
      <c r="D326" t="str">
        <f t="shared" si="27"/>
        <v>WARREN</v>
      </c>
      <c r="E326" s="5">
        <v>24.12</v>
      </c>
      <c r="F326" s="5">
        <v>24.42</v>
      </c>
      <c r="G326" s="5">
        <v>0</v>
      </c>
      <c r="H326" s="5">
        <v>0</v>
      </c>
      <c r="I326" s="5">
        <v>0</v>
      </c>
      <c r="J326" s="5">
        <v>0</v>
      </c>
      <c r="K326" s="5">
        <v>90.62</v>
      </c>
      <c r="L326" s="5">
        <v>91.47</v>
      </c>
      <c r="M326" s="5">
        <v>0</v>
      </c>
      <c r="N326" s="5">
        <v>0</v>
      </c>
      <c r="O326" s="5">
        <v>0</v>
      </c>
    </row>
    <row r="327" spans="1:15" x14ac:dyDescent="0.2">
      <c r="A327" s="4" t="str">
        <f>"0035807656"</f>
        <v>0035807656</v>
      </c>
      <c r="B327" t="s">
        <v>8</v>
      </c>
      <c r="C327" t="str">
        <f t="shared" si="28"/>
        <v>18/01/01</v>
      </c>
      <c r="D327" t="str">
        <f t="shared" si="27"/>
        <v>WARREN</v>
      </c>
      <c r="E327" s="5">
        <v>20.399999999999999</v>
      </c>
      <c r="F327" s="5">
        <v>20.47</v>
      </c>
      <c r="G327" s="5">
        <v>0</v>
      </c>
      <c r="H327" s="5">
        <v>0</v>
      </c>
      <c r="I327" s="5">
        <v>0</v>
      </c>
      <c r="J327" s="5">
        <v>0</v>
      </c>
      <c r="K327" s="5">
        <v>84.09</v>
      </c>
      <c r="L327" s="5">
        <v>84.09</v>
      </c>
      <c r="M327" s="5">
        <v>16.98</v>
      </c>
      <c r="N327" s="5">
        <v>16.54</v>
      </c>
      <c r="O327" s="5">
        <v>0</v>
      </c>
    </row>
    <row r="328" spans="1:15" x14ac:dyDescent="0.2">
      <c r="A328" s="4" t="str">
        <f>"0089173656"</f>
        <v>0089173656</v>
      </c>
      <c r="B328" t="s">
        <v>30</v>
      </c>
      <c r="C328" t="str">
        <f t="shared" si="28"/>
        <v>18/01/01</v>
      </c>
      <c r="D328" t="str">
        <f t="shared" si="27"/>
        <v>WARREN</v>
      </c>
      <c r="E328" s="5">
        <v>24.6</v>
      </c>
      <c r="F328" s="5">
        <v>25.17</v>
      </c>
      <c r="G328" s="5">
        <v>0</v>
      </c>
      <c r="H328" s="5">
        <v>0</v>
      </c>
      <c r="I328" s="5">
        <v>0</v>
      </c>
      <c r="J328" s="5">
        <v>0</v>
      </c>
      <c r="K328" s="5">
        <v>131.51</v>
      </c>
      <c r="L328" s="5">
        <v>0</v>
      </c>
      <c r="M328" s="5">
        <v>0</v>
      </c>
      <c r="N328" s="5">
        <v>0</v>
      </c>
      <c r="O328" s="5">
        <v>0</v>
      </c>
    </row>
    <row r="329" spans="1:15" x14ac:dyDescent="0.2">
      <c r="A329" s="4" t="str">
        <f>"0170109156"</f>
        <v>0170109156</v>
      </c>
      <c r="B329" t="s">
        <v>85</v>
      </c>
      <c r="C329" t="str">
        <f t="shared" si="28"/>
        <v>18/01/01</v>
      </c>
      <c r="D329" t="str">
        <f t="shared" si="27"/>
        <v>WARREN</v>
      </c>
      <c r="E329" s="5">
        <v>22.65</v>
      </c>
      <c r="F329" s="5">
        <v>22.95</v>
      </c>
      <c r="G329" s="5">
        <v>24.29</v>
      </c>
      <c r="H329" s="5">
        <v>344.51</v>
      </c>
      <c r="I329" s="5">
        <v>24.29</v>
      </c>
      <c r="J329" s="5">
        <v>23.89</v>
      </c>
      <c r="K329" s="5">
        <v>84.02</v>
      </c>
      <c r="L329" s="5">
        <v>84.02</v>
      </c>
      <c r="M329" s="5">
        <v>19.45</v>
      </c>
      <c r="N329" s="5">
        <v>21.1</v>
      </c>
      <c r="O329" s="5">
        <v>307.29000000000002</v>
      </c>
    </row>
    <row r="330" spans="1:15" x14ac:dyDescent="0.2">
      <c r="A330" s="4" t="str">
        <f>"0179301757"</f>
        <v>0179301757</v>
      </c>
      <c r="B330" t="s">
        <v>98</v>
      </c>
      <c r="C330" t="str">
        <f t="shared" si="28"/>
        <v>18/01/01</v>
      </c>
      <c r="D330" t="str">
        <f>"WASHINGTON"</f>
        <v>WASHINGTON</v>
      </c>
      <c r="E330" s="5">
        <v>0</v>
      </c>
      <c r="F330" s="5">
        <v>0</v>
      </c>
      <c r="G330" s="5">
        <v>0</v>
      </c>
      <c r="H330" s="5">
        <v>0</v>
      </c>
      <c r="I330" s="5">
        <v>0</v>
      </c>
      <c r="J330" s="5">
        <v>0</v>
      </c>
      <c r="K330" s="5">
        <v>0</v>
      </c>
      <c r="L330" s="5">
        <v>0</v>
      </c>
      <c r="M330" s="5">
        <v>16.440000000000001</v>
      </c>
      <c r="N330" s="5">
        <v>20.34</v>
      </c>
      <c r="O330" s="5">
        <v>0</v>
      </c>
    </row>
    <row r="331" spans="1:15" x14ac:dyDescent="0.2">
      <c r="A331" s="4" t="str">
        <f>"0215044357"</f>
        <v>0215044357</v>
      </c>
      <c r="B331" t="s">
        <v>109</v>
      </c>
      <c r="C331" t="str">
        <f t="shared" si="28"/>
        <v>18/01/01</v>
      </c>
      <c r="D331" t="str">
        <f>"WASHINGTON"</f>
        <v>WASHINGTON</v>
      </c>
      <c r="E331" s="5">
        <v>24.1</v>
      </c>
      <c r="F331" s="5">
        <v>24.4</v>
      </c>
      <c r="G331" s="5">
        <v>0</v>
      </c>
      <c r="H331" s="5">
        <v>0</v>
      </c>
      <c r="I331" s="5">
        <v>0</v>
      </c>
      <c r="J331" s="5">
        <v>0</v>
      </c>
      <c r="K331" s="5">
        <v>91.11</v>
      </c>
      <c r="L331" s="5">
        <v>90.13</v>
      </c>
      <c r="M331" s="5">
        <v>0</v>
      </c>
      <c r="N331" s="5">
        <v>0</v>
      </c>
      <c r="O331" s="5">
        <v>0</v>
      </c>
    </row>
    <row r="332" spans="1:15" x14ac:dyDescent="0.2">
      <c r="A332" s="4" t="str">
        <f>"0296979957"</f>
        <v>0296979957</v>
      </c>
      <c r="B332" t="s">
        <v>130</v>
      </c>
      <c r="C332" t="str">
        <f t="shared" si="28"/>
        <v>18/01/01</v>
      </c>
      <c r="D332" t="str">
        <f>"WASHINGTON"</f>
        <v>WASHINGTON</v>
      </c>
      <c r="E332" s="5">
        <v>20.36</v>
      </c>
      <c r="F332" s="5">
        <v>20.65</v>
      </c>
      <c r="G332" s="5">
        <v>0</v>
      </c>
      <c r="H332" s="5">
        <v>0</v>
      </c>
      <c r="I332" s="5">
        <v>0</v>
      </c>
      <c r="J332" s="5">
        <v>0</v>
      </c>
      <c r="K332" s="5">
        <v>50</v>
      </c>
      <c r="L332" s="5">
        <v>50</v>
      </c>
      <c r="M332" s="5">
        <v>19.54</v>
      </c>
      <c r="N332" s="5">
        <v>0</v>
      </c>
      <c r="O332" s="5">
        <v>0</v>
      </c>
    </row>
    <row r="333" spans="1:15" x14ac:dyDescent="0.2">
      <c r="A333" s="4" t="str">
        <f>"0035807657"</f>
        <v>0035807657</v>
      </c>
      <c r="B333" t="s">
        <v>8</v>
      </c>
      <c r="C333" t="str">
        <f t="shared" si="28"/>
        <v>18/01/01</v>
      </c>
      <c r="D333" t="str">
        <f>"WASHINGTON"</f>
        <v>WASHINGTON</v>
      </c>
      <c r="E333" s="5">
        <v>19.649999999999999</v>
      </c>
      <c r="F333" s="5">
        <v>21.65</v>
      </c>
      <c r="G333" s="5">
        <v>0</v>
      </c>
      <c r="H333" s="5">
        <v>0</v>
      </c>
      <c r="I333" s="5">
        <v>0</v>
      </c>
      <c r="J333" s="5">
        <v>0</v>
      </c>
      <c r="K333" s="5">
        <v>84.11</v>
      </c>
      <c r="L333" s="5">
        <v>84.11</v>
      </c>
      <c r="M333" s="5">
        <v>17.25</v>
      </c>
      <c r="N333" s="5">
        <v>20.66</v>
      </c>
      <c r="O333" s="5">
        <v>0</v>
      </c>
    </row>
    <row r="334" spans="1:15" x14ac:dyDescent="0.2">
      <c r="A334" s="4" t="str">
        <f>"0170109157"</f>
        <v>0170109157</v>
      </c>
      <c r="B334" t="s">
        <v>85</v>
      </c>
      <c r="C334" t="str">
        <f t="shared" si="28"/>
        <v>18/01/01</v>
      </c>
      <c r="D334" t="str">
        <f>"WASHINGTON"</f>
        <v>WASHINGTON</v>
      </c>
      <c r="E334" s="5">
        <v>22.59</v>
      </c>
      <c r="F334" s="5">
        <v>22.89</v>
      </c>
      <c r="G334" s="5">
        <v>24.15</v>
      </c>
      <c r="H334" s="5">
        <v>344.46</v>
      </c>
      <c r="I334" s="5">
        <v>24.15</v>
      </c>
      <c r="J334" s="5">
        <v>23.94</v>
      </c>
      <c r="K334" s="5">
        <v>84.01</v>
      </c>
      <c r="L334" s="5">
        <v>84.01</v>
      </c>
      <c r="M334" s="5">
        <v>19.489999999999998</v>
      </c>
      <c r="N334" s="5">
        <v>21.06</v>
      </c>
      <c r="O334" s="5">
        <v>308.01</v>
      </c>
    </row>
    <row r="335" spans="1:15" x14ac:dyDescent="0.2">
      <c r="A335" s="4" t="str">
        <f>"0194568858"</f>
        <v>0194568858</v>
      </c>
      <c r="B335" t="s">
        <v>105</v>
      </c>
      <c r="C335" t="str">
        <f t="shared" si="28"/>
        <v>18/01/01</v>
      </c>
      <c r="D335" t="str">
        <f>"WAYNE"</f>
        <v>WAYNE</v>
      </c>
      <c r="E335" s="5">
        <v>0</v>
      </c>
      <c r="F335" s="5">
        <v>0</v>
      </c>
      <c r="G335" s="5">
        <v>0</v>
      </c>
      <c r="H335" s="5">
        <v>0</v>
      </c>
      <c r="I335" s="5">
        <v>0</v>
      </c>
      <c r="J335" s="5">
        <v>0</v>
      </c>
      <c r="K335" s="5">
        <v>0</v>
      </c>
      <c r="L335" s="5">
        <v>0</v>
      </c>
      <c r="M335" s="5">
        <v>16.36</v>
      </c>
      <c r="N335" s="5">
        <v>0</v>
      </c>
      <c r="O335" s="5">
        <v>0</v>
      </c>
    </row>
    <row r="336" spans="1:15" x14ac:dyDescent="0.2">
      <c r="A336" s="4" t="str">
        <f>"0147051158"</f>
        <v>0147051158</v>
      </c>
      <c r="B336" t="s">
        <v>72</v>
      </c>
      <c r="C336" t="str">
        <f t="shared" si="28"/>
        <v>18/01/01</v>
      </c>
      <c r="D336" t="str">
        <f>"WAYNE"</f>
        <v>WAYNE</v>
      </c>
      <c r="E336" s="5">
        <v>27.15</v>
      </c>
      <c r="F336" s="5">
        <v>27.14</v>
      </c>
      <c r="G336" s="5">
        <v>29.33</v>
      </c>
      <c r="H336" s="5">
        <v>0</v>
      </c>
      <c r="I336" s="5">
        <v>28.52</v>
      </c>
      <c r="J336" s="5">
        <v>28.59</v>
      </c>
      <c r="K336" s="5">
        <v>131.28</v>
      </c>
      <c r="L336" s="5">
        <v>131.28</v>
      </c>
      <c r="M336" s="5">
        <v>0</v>
      </c>
      <c r="N336" s="5">
        <v>0</v>
      </c>
      <c r="O336" s="5">
        <v>0</v>
      </c>
    </row>
    <row r="337" spans="1:15" x14ac:dyDescent="0.2">
      <c r="A337" s="4" t="str">
        <f>"0417181758"</f>
        <v>0417181758</v>
      </c>
      <c r="B337" t="s">
        <v>146</v>
      </c>
      <c r="C337" t="str">
        <f t="shared" si="28"/>
        <v>18/01/01</v>
      </c>
      <c r="D337" t="str">
        <f>"WAYNE"</f>
        <v>WAYNE</v>
      </c>
      <c r="E337" s="5">
        <v>0</v>
      </c>
      <c r="F337" s="5">
        <v>0</v>
      </c>
      <c r="G337" s="5">
        <v>0</v>
      </c>
      <c r="H337" s="5">
        <v>0</v>
      </c>
      <c r="I337" s="5">
        <v>0</v>
      </c>
      <c r="J337" s="5">
        <v>0</v>
      </c>
      <c r="K337" s="5">
        <v>0</v>
      </c>
      <c r="L337" s="5">
        <v>0</v>
      </c>
      <c r="M337" s="5">
        <v>24</v>
      </c>
      <c r="N337" s="5">
        <v>0</v>
      </c>
      <c r="O337" s="5">
        <v>0</v>
      </c>
    </row>
    <row r="338" spans="1:15" x14ac:dyDescent="0.2">
      <c r="A338" s="4" t="str">
        <f>"0054673659"</f>
        <v>0054673659</v>
      </c>
      <c r="B338" t="s">
        <v>14</v>
      </c>
      <c r="C338" t="str">
        <f t="shared" si="28"/>
        <v>18/01/01</v>
      </c>
      <c r="D338" t="str">
        <f t="shared" ref="D338:D370" si="29">"WESTCHESTER"</f>
        <v>WESTCHESTER</v>
      </c>
      <c r="E338" s="5">
        <v>21.98</v>
      </c>
      <c r="F338" s="5">
        <v>22.26</v>
      </c>
      <c r="G338" s="5">
        <v>24.49</v>
      </c>
      <c r="H338" s="5">
        <v>274.22000000000003</v>
      </c>
      <c r="I338" s="5">
        <v>0</v>
      </c>
      <c r="J338" s="5">
        <v>0</v>
      </c>
      <c r="K338" s="5">
        <v>98.12</v>
      </c>
      <c r="L338" s="5">
        <v>0</v>
      </c>
      <c r="M338" s="5">
        <v>21.07</v>
      </c>
      <c r="N338" s="5">
        <v>0</v>
      </c>
      <c r="O338" s="5">
        <v>0</v>
      </c>
    </row>
    <row r="339" spans="1:15" x14ac:dyDescent="0.2">
      <c r="A339" s="4" t="str">
        <f>"0035467859"</f>
        <v>0035467859</v>
      </c>
      <c r="B339" t="s">
        <v>4</v>
      </c>
      <c r="C339" t="str">
        <f t="shared" si="28"/>
        <v>18/01/01</v>
      </c>
      <c r="D339" t="str">
        <f t="shared" si="29"/>
        <v>WESTCHESTER</v>
      </c>
      <c r="E339" s="5">
        <v>27.45</v>
      </c>
      <c r="F339" s="5">
        <v>27.73</v>
      </c>
      <c r="G339" s="5">
        <v>33.15</v>
      </c>
      <c r="H339" s="5">
        <v>345.98</v>
      </c>
      <c r="I339" s="5">
        <v>30.66</v>
      </c>
      <c r="J339" s="5">
        <v>22.5</v>
      </c>
      <c r="K339" s="5">
        <v>67.03</v>
      </c>
      <c r="L339" s="5">
        <v>0</v>
      </c>
      <c r="M339" s="5">
        <v>25.88</v>
      </c>
      <c r="N339" s="5">
        <v>26.88</v>
      </c>
      <c r="O339" s="5">
        <v>282.43</v>
      </c>
    </row>
    <row r="340" spans="1:15" x14ac:dyDescent="0.2">
      <c r="A340" s="4" t="str">
        <f>"0099157559"</f>
        <v>0099157559</v>
      </c>
      <c r="B340" t="s">
        <v>44</v>
      </c>
      <c r="C340" t="str">
        <f t="shared" si="28"/>
        <v>18/01/01</v>
      </c>
      <c r="D340" t="str">
        <f t="shared" si="29"/>
        <v>WESTCHESTER</v>
      </c>
      <c r="E340" s="5">
        <v>27.95</v>
      </c>
      <c r="F340" s="5">
        <v>26.91</v>
      </c>
      <c r="G340" s="5">
        <v>25.8</v>
      </c>
      <c r="H340" s="5">
        <v>335.04</v>
      </c>
      <c r="I340" s="5">
        <v>30.26</v>
      </c>
      <c r="J340" s="5">
        <v>31.56</v>
      </c>
      <c r="K340" s="5">
        <v>170.27</v>
      </c>
      <c r="L340" s="5">
        <v>170.27</v>
      </c>
      <c r="M340" s="5">
        <v>22.1</v>
      </c>
      <c r="N340" s="5">
        <v>28.22</v>
      </c>
      <c r="O340" s="5">
        <v>284.45999999999998</v>
      </c>
    </row>
    <row r="341" spans="1:15" x14ac:dyDescent="0.2">
      <c r="A341" s="4" t="str">
        <f>"0354909359"</f>
        <v>0354909359</v>
      </c>
      <c r="B341" t="s">
        <v>141</v>
      </c>
      <c r="C341" t="str">
        <f t="shared" si="28"/>
        <v>18/01/01</v>
      </c>
      <c r="D341" t="str">
        <f t="shared" si="29"/>
        <v>WESTCHESTER</v>
      </c>
      <c r="E341" s="5">
        <v>24.42</v>
      </c>
      <c r="F341" s="5">
        <v>24.71</v>
      </c>
      <c r="G341" s="5">
        <v>26.94</v>
      </c>
      <c r="H341" s="5">
        <v>306.17</v>
      </c>
      <c r="I341" s="5">
        <v>27.8</v>
      </c>
      <c r="J341" s="5">
        <v>27.8</v>
      </c>
      <c r="K341" s="5">
        <v>167.36</v>
      </c>
      <c r="L341" s="5">
        <v>159.84</v>
      </c>
      <c r="M341" s="5">
        <v>26.4</v>
      </c>
      <c r="N341" s="5">
        <v>26.17</v>
      </c>
      <c r="O341" s="5">
        <v>283.77999999999997</v>
      </c>
    </row>
    <row r="342" spans="1:15" x14ac:dyDescent="0.2">
      <c r="A342" s="4" t="str">
        <f>"0084696059"</f>
        <v>0084696059</v>
      </c>
      <c r="B342" t="s">
        <v>27</v>
      </c>
      <c r="C342" t="str">
        <f t="shared" si="28"/>
        <v>18/01/01</v>
      </c>
      <c r="D342" t="str">
        <f t="shared" si="29"/>
        <v>WESTCHESTER</v>
      </c>
      <c r="E342" s="5">
        <v>19.57</v>
      </c>
      <c r="F342" s="5">
        <v>19.95</v>
      </c>
      <c r="G342" s="5">
        <v>24.77</v>
      </c>
      <c r="H342" s="5">
        <v>244.22</v>
      </c>
      <c r="I342" s="5">
        <v>18.57</v>
      </c>
      <c r="J342" s="5">
        <v>21.16</v>
      </c>
      <c r="K342" s="5">
        <v>0</v>
      </c>
      <c r="L342" s="5">
        <v>0</v>
      </c>
      <c r="M342" s="5">
        <v>20.14</v>
      </c>
      <c r="N342" s="5">
        <v>26.43</v>
      </c>
      <c r="O342" s="5">
        <v>264.33999999999997</v>
      </c>
    </row>
    <row r="343" spans="1:15" x14ac:dyDescent="0.2">
      <c r="A343" s="4" t="str">
        <f>"0099143359"</f>
        <v>0099143359</v>
      </c>
      <c r="B343" t="s">
        <v>42</v>
      </c>
      <c r="C343" t="str">
        <f t="shared" si="28"/>
        <v>18/01/01</v>
      </c>
      <c r="D343" t="str">
        <f t="shared" si="29"/>
        <v>WESTCHESTER</v>
      </c>
      <c r="E343" s="5">
        <v>23.09</v>
      </c>
      <c r="F343" s="5">
        <v>23.45</v>
      </c>
      <c r="G343" s="5">
        <v>30.19</v>
      </c>
      <c r="H343" s="5">
        <v>252.89</v>
      </c>
      <c r="I343" s="5">
        <v>37.53</v>
      </c>
      <c r="J343" s="5">
        <v>31.77</v>
      </c>
      <c r="K343" s="5">
        <v>179.31</v>
      </c>
      <c r="L343" s="5">
        <v>179.31</v>
      </c>
      <c r="M343" s="5">
        <v>20.67</v>
      </c>
      <c r="N343" s="5">
        <v>22.61</v>
      </c>
      <c r="O343" s="5">
        <v>227.82</v>
      </c>
    </row>
    <row r="344" spans="1:15" x14ac:dyDescent="0.2">
      <c r="A344" s="4" t="str">
        <f>"0331460159"</f>
        <v>0331460159</v>
      </c>
      <c r="B344" t="s">
        <v>137</v>
      </c>
      <c r="C344" t="str">
        <f t="shared" si="28"/>
        <v>18/01/01</v>
      </c>
      <c r="D344" t="str">
        <f t="shared" si="29"/>
        <v>WESTCHESTER</v>
      </c>
      <c r="E344" s="5">
        <v>22.23</v>
      </c>
      <c r="F344" s="5">
        <v>21.93</v>
      </c>
      <c r="G344" s="5">
        <v>35.81</v>
      </c>
      <c r="H344" s="5">
        <v>269.95999999999998</v>
      </c>
      <c r="I344" s="5">
        <v>37.82</v>
      </c>
      <c r="J344" s="5">
        <v>31.86</v>
      </c>
      <c r="K344" s="5">
        <v>170.47</v>
      </c>
      <c r="L344" s="5">
        <v>170.47</v>
      </c>
      <c r="M344" s="5">
        <v>28.61</v>
      </c>
      <c r="N344" s="5">
        <v>31.26</v>
      </c>
      <c r="O344" s="5">
        <v>358.52</v>
      </c>
    </row>
    <row r="345" spans="1:15" x14ac:dyDescent="0.2">
      <c r="A345" s="4" t="str">
        <f>"0078841859"</f>
        <v>0078841859</v>
      </c>
      <c r="B345" t="s">
        <v>22</v>
      </c>
      <c r="C345" t="str">
        <f t="shared" si="28"/>
        <v>18/01/01</v>
      </c>
      <c r="D345" t="str">
        <f t="shared" si="29"/>
        <v>WESTCHESTER</v>
      </c>
      <c r="E345" s="5">
        <v>21.71</v>
      </c>
      <c r="F345" s="5">
        <v>20.85</v>
      </c>
      <c r="G345" s="5">
        <v>28.26</v>
      </c>
      <c r="H345" s="5">
        <v>267.77</v>
      </c>
      <c r="I345" s="5">
        <v>27.39</v>
      </c>
      <c r="J345" s="5">
        <v>27.39</v>
      </c>
      <c r="K345" s="5">
        <v>0</v>
      </c>
      <c r="L345" s="5">
        <v>147.34</v>
      </c>
      <c r="M345" s="5">
        <v>21.53</v>
      </c>
      <c r="N345" s="5">
        <v>26.38</v>
      </c>
      <c r="O345" s="5">
        <v>340.9</v>
      </c>
    </row>
    <row r="346" spans="1:15" x14ac:dyDescent="0.2">
      <c r="A346" s="4" t="str">
        <f>"0413692159"</f>
        <v>0413692159</v>
      </c>
      <c r="B346" t="s">
        <v>144</v>
      </c>
      <c r="C346" t="str">
        <f t="shared" si="28"/>
        <v>18/01/01</v>
      </c>
      <c r="D346" t="str">
        <f t="shared" si="29"/>
        <v>WESTCHESTER</v>
      </c>
      <c r="E346" s="5">
        <v>0</v>
      </c>
      <c r="F346" s="5">
        <v>0</v>
      </c>
      <c r="G346" s="5">
        <v>0</v>
      </c>
      <c r="H346" s="5">
        <v>0</v>
      </c>
      <c r="I346" s="5">
        <v>0</v>
      </c>
      <c r="J346" s="5">
        <v>0</v>
      </c>
      <c r="K346" s="5">
        <v>0</v>
      </c>
      <c r="L346" s="5">
        <v>0</v>
      </c>
      <c r="M346" s="5">
        <v>20.53</v>
      </c>
      <c r="N346" s="5">
        <v>0</v>
      </c>
      <c r="O346" s="5">
        <v>265.74</v>
      </c>
    </row>
    <row r="347" spans="1:15" x14ac:dyDescent="0.2">
      <c r="A347" s="4" t="str">
        <f>"0105254259"</f>
        <v>0105254259</v>
      </c>
      <c r="B347" t="s">
        <v>48</v>
      </c>
      <c r="C347" t="str">
        <f t="shared" si="28"/>
        <v>18/01/01</v>
      </c>
      <c r="D347" t="str">
        <f t="shared" si="29"/>
        <v>WESTCHESTER</v>
      </c>
      <c r="E347" s="5">
        <v>22.67</v>
      </c>
      <c r="F347" s="5">
        <v>23.26</v>
      </c>
      <c r="G347" s="5">
        <v>0</v>
      </c>
      <c r="H347" s="5">
        <v>287.18</v>
      </c>
      <c r="I347" s="5">
        <v>0</v>
      </c>
      <c r="J347" s="5">
        <v>0</v>
      </c>
      <c r="K347" s="5">
        <v>96.2</v>
      </c>
      <c r="L347" s="5">
        <v>96.2</v>
      </c>
      <c r="M347" s="5">
        <v>22.15</v>
      </c>
      <c r="N347" s="5">
        <v>0</v>
      </c>
      <c r="O347" s="5">
        <v>283.64</v>
      </c>
    </row>
    <row r="348" spans="1:15" x14ac:dyDescent="0.2">
      <c r="A348" s="4" t="str">
        <f>"0166411759"</f>
        <v>0166411759</v>
      </c>
      <c r="B348" t="s">
        <v>81</v>
      </c>
      <c r="C348" t="str">
        <f t="shared" si="28"/>
        <v>18/01/01</v>
      </c>
      <c r="D348" t="str">
        <f t="shared" si="29"/>
        <v>WESTCHESTER</v>
      </c>
      <c r="E348" s="5">
        <v>24.88</v>
      </c>
      <c r="F348" s="5">
        <v>25.18</v>
      </c>
      <c r="G348" s="5">
        <v>26.51</v>
      </c>
      <c r="H348" s="5">
        <v>291.17</v>
      </c>
      <c r="I348" s="5">
        <v>28.6</v>
      </c>
      <c r="J348" s="5">
        <v>25.41</v>
      </c>
      <c r="K348" s="5">
        <v>129.66999999999999</v>
      </c>
      <c r="L348" s="5">
        <v>0</v>
      </c>
      <c r="M348" s="5">
        <v>25.32</v>
      </c>
      <c r="N348" s="5">
        <v>26.66</v>
      </c>
      <c r="O348" s="5">
        <v>241.9</v>
      </c>
    </row>
    <row r="349" spans="1:15" x14ac:dyDescent="0.2">
      <c r="A349" s="4" t="str">
        <f>"0240779859"</f>
        <v>0240779859</v>
      </c>
      <c r="B349" t="s">
        <v>120</v>
      </c>
      <c r="C349" t="str">
        <f t="shared" si="28"/>
        <v>18/01/01</v>
      </c>
      <c r="D349" t="str">
        <f t="shared" si="29"/>
        <v>WESTCHESTER</v>
      </c>
      <c r="E349" s="5">
        <v>0</v>
      </c>
      <c r="F349" s="5">
        <v>0</v>
      </c>
      <c r="G349" s="5">
        <v>0</v>
      </c>
      <c r="H349" s="5">
        <v>0</v>
      </c>
      <c r="I349" s="5">
        <v>0</v>
      </c>
      <c r="J349" s="5">
        <v>0</v>
      </c>
      <c r="K349" s="5">
        <v>0</v>
      </c>
      <c r="L349" s="5">
        <v>0</v>
      </c>
      <c r="M349" s="5">
        <v>22.31</v>
      </c>
      <c r="N349" s="5">
        <v>22.85</v>
      </c>
      <c r="O349" s="5">
        <v>288.37</v>
      </c>
    </row>
    <row r="350" spans="1:15" x14ac:dyDescent="0.2">
      <c r="A350" s="4" t="str">
        <f>"0393790059"</f>
        <v>0393790059</v>
      </c>
      <c r="B350" t="s">
        <v>143</v>
      </c>
      <c r="C350" t="str">
        <f t="shared" si="28"/>
        <v>18/01/01</v>
      </c>
      <c r="D350" t="str">
        <f t="shared" si="29"/>
        <v>WESTCHESTER</v>
      </c>
      <c r="E350" s="5">
        <v>20.239999999999998</v>
      </c>
      <c r="F350" s="5">
        <v>20.51</v>
      </c>
      <c r="G350" s="5">
        <v>25.39</v>
      </c>
      <c r="H350" s="5">
        <v>276.08999999999997</v>
      </c>
      <c r="I350" s="5">
        <v>0</v>
      </c>
      <c r="J350" s="5">
        <v>0</v>
      </c>
      <c r="K350" s="5">
        <v>96.92</v>
      </c>
      <c r="L350" s="5">
        <v>96.92</v>
      </c>
      <c r="M350" s="5">
        <v>19.239999999999998</v>
      </c>
      <c r="N350" s="5">
        <v>0</v>
      </c>
      <c r="O350" s="5">
        <v>0</v>
      </c>
    </row>
    <row r="351" spans="1:15" x14ac:dyDescent="0.2">
      <c r="A351" s="4" t="str">
        <f>"0054661259"</f>
        <v>0054661259</v>
      </c>
      <c r="B351" t="s">
        <v>12</v>
      </c>
      <c r="C351" t="str">
        <f t="shared" si="28"/>
        <v>18/01/01</v>
      </c>
      <c r="D351" t="str">
        <f t="shared" si="29"/>
        <v>WESTCHESTER</v>
      </c>
      <c r="E351" s="5">
        <v>23.5</v>
      </c>
      <c r="F351" s="5">
        <v>23.63</v>
      </c>
      <c r="G351" s="5">
        <v>30.4</v>
      </c>
      <c r="H351" s="5">
        <v>294.31</v>
      </c>
      <c r="I351" s="5">
        <v>33.409999999999997</v>
      </c>
      <c r="J351" s="5">
        <v>23.92</v>
      </c>
      <c r="K351" s="5">
        <v>179.22</v>
      </c>
      <c r="L351" s="5">
        <v>179.22</v>
      </c>
      <c r="M351" s="5">
        <v>21.69</v>
      </c>
      <c r="N351" s="5">
        <v>21.67</v>
      </c>
      <c r="O351" s="5">
        <v>285.27</v>
      </c>
    </row>
    <row r="352" spans="1:15" x14ac:dyDescent="0.2">
      <c r="A352" s="4" t="str">
        <f>"0054660359"</f>
        <v>0054660359</v>
      </c>
      <c r="B352" t="s">
        <v>11</v>
      </c>
      <c r="C352" t="str">
        <f t="shared" si="28"/>
        <v>18/01/01</v>
      </c>
      <c r="D352" t="str">
        <f t="shared" si="29"/>
        <v>WESTCHESTER</v>
      </c>
      <c r="E352" s="5">
        <v>23.62</v>
      </c>
      <c r="F352" s="5">
        <v>23.9</v>
      </c>
      <c r="G352" s="5">
        <v>0</v>
      </c>
      <c r="H352" s="5">
        <v>0</v>
      </c>
      <c r="I352" s="5">
        <v>25.12</v>
      </c>
      <c r="J352" s="5">
        <v>0</v>
      </c>
      <c r="K352" s="5">
        <v>0</v>
      </c>
      <c r="L352" s="5">
        <v>0</v>
      </c>
      <c r="M352" s="5">
        <v>21.1</v>
      </c>
      <c r="N352" s="5">
        <v>22.35</v>
      </c>
      <c r="O352" s="5">
        <v>0</v>
      </c>
    </row>
    <row r="353" spans="1:15" x14ac:dyDescent="0.2">
      <c r="A353" s="4" t="str">
        <f>"0179472959"</f>
        <v>0179472959</v>
      </c>
      <c r="B353" t="s">
        <v>99</v>
      </c>
      <c r="C353" t="str">
        <f t="shared" si="28"/>
        <v>18/01/01</v>
      </c>
      <c r="D353" t="str">
        <f t="shared" si="29"/>
        <v>WESTCHESTER</v>
      </c>
      <c r="E353" s="5">
        <v>22.03</v>
      </c>
      <c r="F353" s="5">
        <v>21.94</v>
      </c>
      <c r="G353" s="5">
        <v>27.03</v>
      </c>
      <c r="H353" s="5">
        <v>270.11</v>
      </c>
      <c r="I353" s="5">
        <v>23.83</v>
      </c>
      <c r="J353" s="5">
        <v>26.03</v>
      </c>
      <c r="K353" s="5">
        <v>124.46</v>
      </c>
      <c r="L353" s="5">
        <v>130.16999999999999</v>
      </c>
      <c r="M353" s="5">
        <v>20.69</v>
      </c>
      <c r="N353" s="5">
        <v>21.32</v>
      </c>
      <c r="O353" s="5">
        <v>265.02</v>
      </c>
    </row>
    <row r="354" spans="1:15" x14ac:dyDescent="0.2">
      <c r="A354" s="4" t="str">
        <f>"0165664259"</f>
        <v>0165664259</v>
      </c>
      <c r="B354" t="s">
        <v>5</v>
      </c>
      <c r="C354" t="str">
        <f t="shared" si="28"/>
        <v>18/01/01</v>
      </c>
      <c r="D354" t="str">
        <f t="shared" si="29"/>
        <v>WESTCHESTER</v>
      </c>
      <c r="E354" s="5">
        <v>21.6</v>
      </c>
      <c r="F354" s="5">
        <v>23.29</v>
      </c>
      <c r="G354" s="5">
        <v>30.23</v>
      </c>
      <c r="H354" s="5">
        <v>326.06</v>
      </c>
      <c r="I354" s="5">
        <v>35.4</v>
      </c>
      <c r="J354" s="5">
        <v>34.14</v>
      </c>
      <c r="K354" s="5">
        <v>170.27</v>
      </c>
      <c r="L354" s="5">
        <v>170.27</v>
      </c>
      <c r="M354" s="5">
        <v>25.39</v>
      </c>
      <c r="N354" s="5">
        <v>26.08</v>
      </c>
      <c r="O354" s="5">
        <v>326.23</v>
      </c>
    </row>
    <row r="355" spans="1:15" x14ac:dyDescent="0.2">
      <c r="A355" s="4" t="str">
        <f>"0054665859"</f>
        <v>0054665859</v>
      </c>
      <c r="B355" t="s">
        <v>13</v>
      </c>
      <c r="C355" t="str">
        <f t="shared" si="28"/>
        <v>18/01/01</v>
      </c>
      <c r="D355" t="str">
        <f t="shared" si="29"/>
        <v>WESTCHESTER</v>
      </c>
      <c r="E355" s="5">
        <v>24.67</v>
      </c>
      <c r="F355" s="5">
        <v>24.48</v>
      </c>
      <c r="G355" s="5">
        <v>0</v>
      </c>
      <c r="H355" s="5">
        <v>293.32</v>
      </c>
      <c r="I355" s="5">
        <v>0</v>
      </c>
      <c r="J355" s="5">
        <v>0</v>
      </c>
      <c r="K355" s="5">
        <v>0</v>
      </c>
      <c r="L355" s="5">
        <v>0</v>
      </c>
      <c r="M355" s="5">
        <v>21.7</v>
      </c>
      <c r="N355" s="5">
        <v>0</v>
      </c>
      <c r="O355" s="5">
        <v>0</v>
      </c>
    </row>
    <row r="356" spans="1:15" x14ac:dyDescent="0.2">
      <c r="A356" s="4" t="str">
        <f>"0167928559"</f>
        <v>0167928559</v>
      </c>
      <c r="B356" t="s">
        <v>84</v>
      </c>
      <c r="C356" t="str">
        <f t="shared" si="28"/>
        <v>18/01/01</v>
      </c>
      <c r="D356" t="str">
        <f t="shared" si="29"/>
        <v>WESTCHESTER</v>
      </c>
      <c r="E356" s="5">
        <v>26.38</v>
      </c>
      <c r="F356" s="5">
        <v>26.7</v>
      </c>
      <c r="G356" s="5">
        <v>0</v>
      </c>
      <c r="H356" s="5">
        <v>302.66000000000003</v>
      </c>
      <c r="I356" s="5">
        <v>0</v>
      </c>
      <c r="J356" s="5">
        <v>0</v>
      </c>
      <c r="K356" s="5">
        <v>90.25</v>
      </c>
      <c r="L356" s="5">
        <v>90.25</v>
      </c>
      <c r="M356" s="5">
        <v>0</v>
      </c>
      <c r="N356" s="5">
        <v>0</v>
      </c>
      <c r="O356" s="5">
        <v>0</v>
      </c>
    </row>
    <row r="357" spans="1:15" x14ac:dyDescent="0.2">
      <c r="A357" s="4" t="str">
        <f>"0166968559"</f>
        <v>0166968559</v>
      </c>
      <c r="B357" t="s">
        <v>83</v>
      </c>
      <c r="C357" t="str">
        <f t="shared" si="28"/>
        <v>18/01/01</v>
      </c>
      <c r="D357" t="str">
        <f t="shared" si="29"/>
        <v>WESTCHESTER</v>
      </c>
      <c r="E357" s="5">
        <v>23.96</v>
      </c>
      <c r="F357" s="5">
        <v>23.93</v>
      </c>
      <c r="G357" s="5">
        <v>31.94</v>
      </c>
      <c r="H357" s="5">
        <v>239.77</v>
      </c>
      <c r="I357" s="5">
        <v>0</v>
      </c>
      <c r="J357" s="5">
        <v>0</v>
      </c>
      <c r="K357" s="5">
        <v>0</v>
      </c>
      <c r="L357" s="5">
        <v>0</v>
      </c>
      <c r="M357" s="5">
        <v>0</v>
      </c>
      <c r="N357" s="5">
        <v>0</v>
      </c>
      <c r="O357" s="5">
        <v>0</v>
      </c>
    </row>
    <row r="358" spans="1:15" x14ac:dyDescent="0.2">
      <c r="A358" s="4" t="str">
        <f>"0231917559"</f>
        <v>0231917559</v>
      </c>
      <c r="B358" t="s">
        <v>115</v>
      </c>
      <c r="C358" t="str">
        <f t="shared" si="28"/>
        <v>18/01/01</v>
      </c>
      <c r="D358" t="str">
        <f t="shared" si="29"/>
        <v>WESTCHESTER</v>
      </c>
      <c r="E358" s="5">
        <v>21.59</v>
      </c>
      <c r="F358" s="5">
        <v>28.84</v>
      </c>
      <c r="G358" s="5">
        <v>0</v>
      </c>
      <c r="H358" s="5">
        <v>324.39999999999998</v>
      </c>
      <c r="I358" s="5">
        <v>0</v>
      </c>
      <c r="J358" s="5">
        <v>0</v>
      </c>
      <c r="K358" s="5">
        <v>75.290000000000006</v>
      </c>
      <c r="L358" s="5">
        <v>0</v>
      </c>
      <c r="M358" s="5">
        <v>26.08</v>
      </c>
      <c r="N358" s="5">
        <v>22.53</v>
      </c>
      <c r="O358" s="5">
        <v>312.20999999999998</v>
      </c>
    </row>
    <row r="359" spans="1:15" x14ac:dyDescent="0.2">
      <c r="A359" s="4" t="str">
        <f>"0346749859"</f>
        <v>0346749859</v>
      </c>
      <c r="B359" t="s">
        <v>138</v>
      </c>
      <c r="C359" t="str">
        <f t="shared" si="28"/>
        <v>18/01/01</v>
      </c>
      <c r="D359" t="str">
        <f t="shared" si="29"/>
        <v>WESTCHESTER</v>
      </c>
      <c r="E359" s="5">
        <v>24.41</v>
      </c>
      <c r="F359" s="5">
        <v>24.02</v>
      </c>
      <c r="G359" s="5">
        <v>27.15</v>
      </c>
      <c r="H359" s="5">
        <v>291.52999999999997</v>
      </c>
      <c r="I359" s="5">
        <v>27.46</v>
      </c>
      <c r="J359" s="5">
        <v>25.37</v>
      </c>
      <c r="K359" s="5">
        <v>127.71</v>
      </c>
      <c r="L359" s="5">
        <v>133.88</v>
      </c>
      <c r="M359" s="5">
        <v>23.79</v>
      </c>
      <c r="N359" s="5">
        <v>24.32</v>
      </c>
      <c r="O359" s="5">
        <v>248.58</v>
      </c>
    </row>
    <row r="360" spans="1:15" x14ac:dyDescent="0.2">
      <c r="A360" s="4" t="str">
        <f>"0106927259"</f>
        <v>0106927259</v>
      </c>
      <c r="B360" t="s">
        <v>52</v>
      </c>
      <c r="C360" t="str">
        <f t="shared" si="28"/>
        <v>18/01/01</v>
      </c>
      <c r="D360" t="str">
        <f t="shared" si="29"/>
        <v>WESTCHESTER</v>
      </c>
      <c r="E360" s="5">
        <v>26.4</v>
      </c>
      <c r="F360" s="5">
        <v>26.68</v>
      </c>
      <c r="G360" s="5">
        <v>0</v>
      </c>
      <c r="H360" s="5">
        <v>322.19</v>
      </c>
      <c r="I360" s="5">
        <v>29.35</v>
      </c>
      <c r="J360" s="5">
        <v>29.35</v>
      </c>
      <c r="K360" s="5">
        <v>108.22</v>
      </c>
      <c r="L360" s="5">
        <v>108.22</v>
      </c>
      <c r="M360" s="5">
        <v>26.2</v>
      </c>
      <c r="N360" s="5">
        <v>26.54</v>
      </c>
      <c r="O360" s="5">
        <v>330.41</v>
      </c>
    </row>
    <row r="361" spans="1:15" x14ac:dyDescent="0.2">
      <c r="A361" s="4" t="str">
        <f>"0108728759"</f>
        <v>0108728759</v>
      </c>
      <c r="B361" t="s">
        <v>54</v>
      </c>
      <c r="C361" t="str">
        <f t="shared" si="28"/>
        <v>18/01/01</v>
      </c>
      <c r="D361" t="str">
        <f t="shared" si="29"/>
        <v>WESTCHESTER</v>
      </c>
      <c r="E361" s="5">
        <v>22.88</v>
      </c>
      <c r="F361" s="5">
        <v>24.42</v>
      </c>
      <c r="G361" s="5">
        <v>26.44</v>
      </c>
      <c r="H361" s="5">
        <v>280.56</v>
      </c>
      <c r="I361" s="5">
        <v>26.57</v>
      </c>
      <c r="J361" s="5">
        <v>26.54</v>
      </c>
      <c r="K361" s="5">
        <v>117.15</v>
      </c>
      <c r="L361" s="5">
        <v>0</v>
      </c>
      <c r="M361" s="5">
        <v>21.49</v>
      </c>
      <c r="N361" s="5">
        <v>22.25</v>
      </c>
      <c r="O361" s="5">
        <v>281.95</v>
      </c>
    </row>
    <row r="362" spans="1:15" x14ac:dyDescent="0.2">
      <c r="A362" s="4" t="str">
        <f>"0054668559"</f>
        <v>0054668559</v>
      </c>
      <c r="B362" t="s">
        <v>9</v>
      </c>
      <c r="C362" t="str">
        <f t="shared" si="28"/>
        <v>18/01/01</v>
      </c>
      <c r="D362" t="str">
        <f t="shared" si="29"/>
        <v>WESTCHESTER</v>
      </c>
      <c r="E362" s="5">
        <v>20.6</v>
      </c>
      <c r="F362" s="5">
        <v>20.07</v>
      </c>
      <c r="G362" s="5">
        <v>20.420000000000002</v>
      </c>
      <c r="H362" s="5">
        <v>245.76</v>
      </c>
      <c r="I362" s="5">
        <v>27.31</v>
      </c>
      <c r="J362" s="5">
        <v>24.61</v>
      </c>
      <c r="K362" s="5">
        <v>90.42</v>
      </c>
      <c r="L362" s="5">
        <v>90.42</v>
      </c>
      <c r="M362" s="5">
        <v>20.7</v>
      </c>
      <c r="N362" s="5">
        <v>23.22</v>
      </c>
      <c r="O362" s="5">
        <v>263.41000000000003</v>
      </c>
    </row>
    <row r="363" spans="1:15" x14ac:dyDescent="0.2">
      <c r="A363" s="4" t="str">
        <f>"0172952459"</f>
        <v>0172952459</v>
      </c>
      <c r="B363" t="s">
        <v>88</v>
      </c>
      <c r="C363" t="str">
        <f t="shared" si="28"/>
        <v>18/01/01</v>
      </c>
      <c r="D363" t="str">
        <f t="shared" si="29"/>
        <v>WESTCHESTER</v>
      </c>
      <c r="E363" s="5">
        <v>20.329999999999998</v>
      </c>
      <c r="F363" s="5">
        <v>21.4</v>
      </c>
      <c r="G363" s="5">
        <v>17.04</v>
      </c>
      <c r="H363" s="5">
        <v>263.05</v>
      </c>
      <c r="I363" s="5">
        <v>22.97</v>
      </c>
      <c r="J363" s="5">
        <v>22.97</v>
      </c>
      <c r="K363" s="5">
        <v>90.34</v>
      </c>
      <c r="L363" s="5">
        <v>0</v>
      </c>
      <c r="M363" s="5">
        <v>21.17</v>
      </c>
      <c r="N363" s="5">
        <v>21.72</v>
      </c>
      <c r="O363" s="5">
        <v>268.48</v>
      </c>
    </row>
    <row r="364" spans="1:15" x14ac:dyDescent="0.2">
      <c r="A364" s="4" t="str">
        <f>"0098972659"</f>
        <v>0098972659</v>
      </c>
      <c r="B364" t="s">
        <v>6</v>
      </c>
      <c r="C364" t="str">
        <f t="shared" si="28"/>
        <v>18/01/01</v>
      </c>
      <c r="D364" t="str">
        <f t="shared" si="29"/>
        <v>WESTCHESTER</v>
      </c>
      <c r="E364" s="5">
        <v>26.88</v>
      </c>
      <c r="F364" s="5">
        <v>18.68</v>
      </c>
      <c r="G364" s="5">
        <v>23.9</v>
      </c>
      <c r="H364" s="5">
        <v>239.04</v>
      </c>
      <c r="I364" s="5">
        <v>27.86</v>
      </c>
      <c r="J364" s="5">
        <v>29.92</v>
      </c>
      <c r="K364" s="5">
        <v>121.11</v>
      </c>
      <c r="L364" s="5">
        <v>154.1</v>
      </c>
      <c r="M364" s="5">
        <v>20.27</v>
      </c>
      <c r="N364" s="5">
        <v>26.38</v>
      </c>
      <c r="O364" s="5">
        <v>262.13</v>
      </c>
    </row>
    <row r="365" spans="1:15" x14ac:dyDescent="0.2">
      <c r="A365" s="4" t="str">
        <f>"0108549659"</f>
        <v>0108549659</v>
      </c>
      <c r="B365" t="s">
        <v>53</v>
      </c>
      <c r="C365" t="str">
        <f t="shared" si="28"/>
        <v>18/01/01</v>
      </c>
      <c r="D365" t="str">
        <f t="shared" si="29"/>
        <v>WESTCHESTER</v>
      </c>
      <c r="E365" s="5">
        <v>26.85</v>
      </c>
      <c r="F365" s="5">
        <v>20.07</v>
      </c>
      <c r="G365" s="5">
        <v>35.130000000000003</v>
      </c>
      <c r="H365" s="5">
        <v>247.13</v>
      </c>
      <c r="I365" s="5">
        <v>27.88</v>
      </c>
      <c r="J365" s="5">
        <v>29.93</v>
      </c>
      <c r="K365" s="5">
        <v>147.63</v>
      </c>
      <c r="L365" s="5">
        <v>147.63</v>
      </c>
      <c r="M365" s="5">
        <v>20.85</v>
      </c>
      <c r="N365" s="5">
        <v>26.37</v>
      </c>
      <c r="O365" s="5">
        <v>271.97000000000003</v>
      </c>
    </row>
    <row r="366" spans="1:15" x14ac:dyDescent="0.2">
      <c r="A366" s="4" t="str">
        <f>"0035491259"</f>
        <v>0035491259</v>
      </c>
      <c r="B366" t="s">
        <v>7</v>
      </c>
      <c r="C366" t="str">
        <f t="shared" si="28"/>
        <v>18/01/01</v>
      </c>
      <c r="D366" t="str">
        <f t="shared" si="29"/>
        <v>WESTCHESTER</v>
      </c>
      <c r="E366" s="5">
        <v>24.85</v>
      </c>
      <c r="F366" s="5">
        <v>24.79</v>
      </c>
      <c r="G366" s="5">
        <v>28.04</v>
      </c>
      <c r="H366" s="5">
        <v>314.05</v>
      </c>
      <c r="I366" s="5">
        <v>37.18</v>
      </c>
      <c r="J366" s="5">
        <v>30.43</v>
      </c>
      <c r="K366" s="5">
        <v>170.57</v>
      </c>
      <c r="L366" s="5">
        <v>151.93</v>
      </c>
      <c r="M366" s="5">
        <v>21.58</v>
      </c>
      <c r="N366" s="5">
        <v>23.07</v>
      </c>
      <c r="O366" s="5">
        <v>329.45</v>
      </c>
    </row>
    <row r="367" spans="1:15" x14ac:dyDescent="0.2">
      <c r="A367" s="4" t="str">
        <f>"0078581959"</f>
        <v>0078581959</v>
      </c>
      <c r="B367" t="s">
        <v>21</v>
      </c>
      <c r="C367" t="str">
        <f t="shared" si="28"/>
        <v>18/01/01</v>
      </c>
      <c r="D367" t="str">
        <f t="shared" si="29"/>
        <v>WESTCHESTER</v>
      </c>
      <c r="E367" s="5">
        <v>23.08</v>
      </c>
      <c r="F367" s="5">
        <v>23.36</v>
      </c>
      <c r="G367" s="5">
        <v>26.65</v>
      </c>
      <c r="H367" s="5">
        <v>288.49</v>
      </c>
      <c r="I367" s="5">
        <v>26.2</v>
      </c>
      <c r="J367" s="5">
        <v>25.25</v>
      </c>
      <c r="K367" s="5">
        <v>0</v>
      </c>
      <c r="L367" s="5">
        <v>0</v>
      </c>
      <c r="M367" s="5">
        <v>23.08</v>
      </c>
      <c r="N367" s="5">
        <v>23.99</v>
      </c>
      <c r="O367" s="5">
        <v>280.43</v>
      </c>
    </row>
    <row r="368" spans="1:15" x14ac:dyDescent="0.2">
      <c r="A368" s="4" t="str">
        <f>"0146034259"</f>
        <v>0146034259</v>
      </c>
      <c r="B368" t="s">
        <v>71</v>
      </c>
      <c r="C368" t="str">
        <f t="shared" si="28"/>
        <v>18/01/01</v>
      </c>
      <c r="D368" t="str">
        <f t="shared" si="29"/>
        <v>WESTCHESTER</v>
      </c>
      <c r="E368" s="5">
        <v>0</v>
      </c>
      <c r="F368" s="5">
        <v>21.97</v>
      </c>
      <c r="G368" s="5">
        <v>0</v>
      </c>
      <c r="H368" s="5">
        <v>265.51</v>
      </c>
      <c r="I368" s="5">
        <v>0</v>
      </c>
      <c r="J368" s="5">
        <v>0</v>
      </c>
      <c r="K368" s="5">
        <v>0</v>
      </c>
      <c r="L368" s="5">
        <v>0</v>
      </c>
      <c r="M368" s="5">
        <v>0</v>
      </c>
      <c r="N368" s="5">
        <v>0</v>
      </c>
      <c r="O368" s="5">
        <v>0</v>
      </c>
    </row>
    <row r="369" spans="1:15" x14ac:dyDescent="0.2">
      <c r="A369" s="4" t="str">
        <f>"0166045759"</f>
        <v>0166045759</v>
      </c>
      <c r="B369" t="s">
        <v>80</v>
      </c>
      <c r="C369" t="str">
        <f t="shared" si="28"/>
        <v>18/01/01</v>
      </c>
      <c r="D369" t="str">
        <f t="shared" si="29"/>
        <v>WESTCHESTER</v>
      </c>
      <c r="E369" s="5">
        <v>19.190000000000001</v>
      </c>
      <c r="F369" s="5">
        <v>21.87</v>
      </c>
      <c r="G369" s="5">
        <v>0</v>
      </c>
      <c r="H369" s="5">
        <v>293.44</v>
      </c>
      <c r="I369" s="5">
        <v>0</v>
      </c>
      <c r="J369" s="5">
        <v>29.86</v>
      </c>
      <c r="K369" s="5">
        <v>0</v>
      </c>
      <c r="L369" s="5">
        <v>81.41</v>
      </c>
      <c r="M369" s="5">
        <v>0</v>
      </c>
      <c r="N369" s="5">
        <v>0</v>
      </c>
      <c r="O369" s="5">
        <v>0</v>
      </c>
    </row>
    <row r="370" spans="1:15" x14ac:dyDescent="0.2">
      <c r="A370" s="4" t="str">
        <f>"0145838259"</f>
        <v>0145838259</v>
      </c>
      <c r="B370" t="s">
        <v>70</v>
      </c>
      <c r="C370" t="str">
        <f t="shared" si="28"/>
        <v>18/01/01</v>
      </c>
      <c r="D370" t="str">
        <f t="shared" si="29"/>
        <v>WESTCHESTER</v>
      </c>
      <c r="E370" s="5">
        <v>21.37</v>
      </c>
      <c r="F370" s="5">
        <v>21.65</v>
      </c>
      <c r="G370" s="5">
        <v>22.63</v>
      </c>
      <c r="H370" s="5">
        <v>316.45999999999998</v>
      </c>
      <c r="I370" s="5">
        <v>14.81</v>
      </c>
      <c r="J370" s="5">
        <v>14.81</v>
      </c>
      <c r="K370" s="5">
        <v>94.94</v>
      </c>
      <c r="L370" s="5">
        <v>94.91</v>
      </c>
      <c r="M370" s="5">
        <v>21.35</v>
      </c>
      <c r="N370" s="5">
        <v>0</v>
      </c>
      <c r="O370" s="5">
        <v>0</v>
      </c>
    </row>
    <row r="371" spans="1:15" x14ac:dyDescent="0.2">
      <c r="A371" s="4" t="str">
        <f>"0194568860"</f>
        <v>0194568860</v>
      </c>
      <c r="B371" t="s">
        <v>105</v>
      </c>
      <c r="C371" t="str">
        <f t="shared" si="28"/>
        <v>18/01/01</v>
      </c>
      <c r="D371" t="str">
        <f>"WYOMING"</f>
        <v>WYOMING</v>
      </c>
      <c r="E371" s="5">
        <v>0</v>
      </c>
      <c r="F371" s="5">
        <v>0</v>
      </c>
      <c r="G371" s="5">
        <v>0</v>
      </c>
      <c r="H371" s="5">
        <v>0</v>
      </c>
      <c r="I371" s="5">
        <v>0</v>
      </c>
      <c r="J371" s="5">
        <v>0</v>
      </c>
      <c r="K371" s="5">
        <v>0</v>
      </c>
      <c r="L371" s="5">
        <v>0</v>
      </c>
      <c r="M371" s="5">
        <v>16.32</v>
      </c>
      <c r="N371" s="5">
        <v>0</v>
      </c>
      <c r="O371" s="5">
        <v>0</v>
      </c>
    </row>
    <row r="372" spans="1:15" x14ac:dyDescent="0.2">
      <c r="A372" s="4" t="str">
        <f>"0090452760"</f>
        <v>0090452760</v>
      </c>
      <c r="B372" t="s">
        <v>31</v>
      </c>
      <c r="C372" t="str">
        <f t="shared" si="28"/>
        <v>18/01/01</v>
      </c>
      <c r="D372" t="str">
        <f>"WYOMING"</f>
        <v>WYOMING</v>
      </c>
      <c r="E372" s="5">
        <v>25.78</v>
      </c>
      <c r="F372" s="5">
        <v>26.26</v>
      </c>
      <c r="G372" s="5">
        <v>0</v>
      </c>
      <c r="H372" s="5">
        <v>0</v>
      </c>
      <c r="I372" s="5">
        <v>0</v>
      </c>
      <c r="J372" s="5">
        <v>0</v>
      </c>
      <c r="K372" s="5">
        <v>83.85</v>
      </c>
      <c r="L372" s="5">
        <v>83.85</v>
      </c>
      <c r="M372" s="5">
        <v>0</v>
      </c>
      <c r="N372" s="5">
        <v>0</v>
      </c>
      <c r="O372" s="5">
        <v>0</v>
      </c>
    </row>
    <row r="373" spans="1:15" x14ac:dyDescent="0.2">
      <c r="A373" s="4" t="str">
        <f>"0240778960"</f>
        <v>0240778960</v>
      </c>
      <c r="B373" t="s">
        <v>119</v>
      </c>
      <c r="C373" t="str">
        <f t="shared" si="28"/>
        <v>18/01/01</v>
      </c>
      <c r="D373" t="str">
        <f>"WYOMING"</f>
        <v>WYOMING</v>
      </c>
      <c r="E373" s="5">
        <v>0</v>
      </c>
      <c r="F373" s="5">
        <v>0</v>
      </c>
      <c r="G373" s="5">
        <v>0</v>
      </c>
      <c r="H373" s="5">
        <v>0</v>
      </c>
      <c r="I373" s="5">
        <v>0</v>
      </c>
      <c r="J373" s="5">
        <v>0</v>
      </c>
      <c r="K373" s="5">
        <v>0</v>
      </c>
      <c r="L373" s="5">
        <v>0</v>
      </c>
      <c r="M373" s="5">
        <v>18</v>
      </c>
      <c r="N373" s="5">
        <v>0</v>
      </c>
      <c r="O373" s="5">
        <v>0</v>
      </c>
    </row>
    <row r="374" spans="1:15" x14ac:dyDescent="0.2">
      <c r="A374" s="4" t="str">
        <f>"0194568861"</f>
        <v>0194568861</v>
      </c>
      <c r="B374" t="s">
        <v>105</v>
      </c>
      <c r="C374" t="str">
        <f t="shared" si="28"/>
        <v>18/01/01</v>
      </c>
      <c r="D374" t="str">
        <f>"YATES"</f>
        <v>YATES</v>
      </c>
      <c r="E374" s="5">
        <v>0</v>
      </c>
      <c r="F374" s="5">
        <v>0</v>
      </c>
      <c r="G374" s="5">
        <v>0</v>
      </c>
      <c r="H374" s="5">
        <v>0</v>
      </c>
      <c r="I374" s="5">
        <v>0</v>
      </c>
      <c r="J374" s="5">
        <v>0</v>
      </c>
      <c r="K374" s="5">
        <v>0</v>
      </c>
      <c r="L374" s="5">
        <v>0</v>
      </c>
      <c r="M374" s="5">
        <v>16.920000000000002</v>
      </c>
      <c r="N374" s="5">
        <v>0</v>
      </c>
      <c r="O374" s="5">
        <v>0</v>
      </c>
    </row>
    <row r="375" spans="1:15" x14ac:dyDescent="0.2">
      <c r="A375" s="4" t="str">
        <f>"0147051161"</f>
        <v>0147051161</v>
      </c>
      <c r="B375" t="s">
        <v>72</v>
      </c>
      <c r="C375" t="str">
        <f t="shared" si="28"/>
        <v>18/01/01</v>
      </c>
      <c r="D375" t="str">
        <f>"YATES"</f>
        <v>YATES</v>
      </c>
      <c r="E375" s="5">
        <v>26.64</v>
      </c>
      <c r="F375" s="5">
        <v>26.7</v>
      </c>
      <c r="G375" s="5">
        <v>29.94</v>
      </c>
      <c r="H375" s="5">
        <v>0</v>
      </c>
      <c r="I375" s="5">
        <v>29.73</v>
      </c>
      <c r="J375" s="5">
        <v>30.9</v>
      </c>
      <c r="K375" s="5">
        <v>130.49</v>
      </c>
      <c r="L375" s="5">
        <v>130.51</v>
      </c>
      <c r="M375" s="5">
        <v>0</v>
      </c>
      <c r="N375" s="5">
        <v>0</v>
      </c>
      <c r="O375" s="5">
        <v>0</v>
      </c>
    </row>
  </sheetData>
  <pageMargins left="0.7" right="0.7" top="0.75" bottom="0.75" header="0.3" footer="0.3"/>
  <pageSetup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Initial Personal Care Rate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2018-04-12T12:57:03Z</dcterms:created>
  <dcterms:modified xsi:type="dcterms:W3CDTF">2018-04-23T16:41:23Z</dcterms:modified>
</cp:coreProperties>
</file>