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mc:AlternateContent xmlns:mc="http://schemas.openxmlformats.org/markup-compatibility/2006">
    <mc:Choice Requires="x15">
      <x15ac:absPath xmlns:x15ac="http://schemas.microsoft.com/office/spreadsheetml/2010/11/ac" url="C:\Users\kmm13\Desktop\"/>
    </mc:Choice>
  </mc:AlternateContent>
  <bookViews>
    <workbookView xWindow="0" yWindow="0" windowWidth="28800" windowHeight="13275"/>
  </bookViews>
  <sheets>
    <sheet name="Funds Flow Summary" sheetId="1" r:id="rId1"/>
    <sheet name="Funds Flow - Partner Detail" sheetId="2" r:id="rId2"/>
    <sheet name="2nd Tier Funds Flow" sheetId="13" r:id="rId3"/>
    <sheet name="Partner Engagement" sheetId="3" r:id="rId4"/>
    <sheet name="Sheet1" sheetId="14" state="hidden" r:id="rId5"/>
    <sheet name="CareCompass Perf Network 032017" sheetId="12" state="hidden" r:id="rId6"/>
  </sheets>
  <externalReferences>
    <externalReference r:id="rId7"/>
  </externalReferences>
  <definedNames>
    <definedName name="_xlnm._FilterDatabase" localSheetId="5" hidden="1">'CareCompass Perf Network 032017'!$A$1:$BJ$1502</definedName>
    <definedName name="_xlnm.Print_Area" localSheetId="2">'2nd Tier Funds Flow'!$A$1:$J$300</definedName>
  </definedNames>
  <calcPr calcId="171027"/>
  <pivotCaches>
    <pivotCache cacheId="0" r:id="rId8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H1502" i="12" l="1"/>
  <c r="BH1501" i="12"/>
  <c r="BH1500" i="12"/>
  <c r="BH1499" i="12"/>
  <c r="BH1498" i="12"/>
  <c r="BH1497" i="12"/>
  <c r="BH1496" i="12"/>
  <c r="BH1495" i="12"/>
  <c r="BH1494" i="12"/>
  <c r="BH1493" i="12"/>
  <c r="BH1492" i="12"/>
  <c r="BH1491" i="12"/>
  <c r="BH1490" i="12"/>
  <c r="BH1489" i="12"/>
  <c r="BH1488" i="12"/>
  <c r="BH1487" i="12"/>
  <c r="BH1486" i="12"/>
  <c r="BH1485" i="12"/>
  <c r="BH1484" i="12"/>
  <c r="BH1483" i="12"/>
  <c r="BH1482" i="12"/>
  <c r="BH1481" i="12"/>
  <c r="BH1480" i="12"/>
  <c r="BH1479" i="12"/>
  <c r="BH1478" i="12"/>
  <c r="BH1477" i="12"/>
  <c r="BH1476" i="12"/>
  <c r="BH1475" i="12"/>
  <c r="BH1474" i="12"/>
  <c r="BH1473" i="12"/>
  <c r="BH1472" i="12"/>
  <c r="BH1471" i="12"/>
  <c r="BH1470" i="12"/>
  <c r="BH1469" i="12"/>
  <c r="BH1468" i="12"/>
  <c r="BH1467" i="12"/>
  <c r="BH1466" i="12"/>
  <c r="BH1465" i="12"/>
  <c r="BH1464" i="12"/>
  <c r="BH1463" i="12"/>
  <c r="BH1462" i="12"/>
  <c r="BH1461" i="12"/>
  <c r="BH1460" i="12"/>
  <c r="BH1459" i="12"/>
  <c r="BH1458" i="12"/>
  <c r="BH1457" i="12"/>
  <c r="BH1456" i="12"/>
  <c r="BH1455" i="12"/>
  <c r="BH1454" i="12"/>
  <c r="BH1453" i="12"/>
  <c r="BH1452" i="12"/>
  <c r="BH1451" i="12"/>
  <c r="BH1450" i="12"/>
  <c r="BH1449" i="12"/>
  <c r="BH1448" i="12"/>
  <c r="BH1447" i="12"/>
  <c r="BH1446" i="12"/>
  <c r="BH1445" i="12"/>
  <c r="BH1444" i="12"/>
  <c r="BH1443" i="12"/>
  <c r="BH1442" i="12"/>
  <c r="BH1441" i="12"/>
  <c r="BH1440" i="12"/>
  <c r="BH1439" i="12"/>
  <c r="BH1438" i="12"/>
  <c r="BH1437" i="12"/>
  <c r="BH1436" i="12"/>
  <c r="BH1435" i="12"/>
  <c r="BH1434" i="12"/>
  <c r="BH1433" i="12"/>
  <c r="BH1432" i="12"/>
  <c r="BH1431" i="12"/>
  <c r="BH1430" i="12"/>
  <c r="BH1429" i="12"/>
  <c r="BH1428" i="12"/>
  <c r="BH1427" i="12"/>
  <c r="BH1426" i="12"/>
  <c r="BH1425" i="12"/>
  <c r="BH1424" i="12"/>
  <c r="BH1423" i="12"/>
  <c r="BH1422" i="12"/>
  <c r="BH1421" i="12"/>
  <c r="BH1420" i="12"/>
  <c r="BH1419" i="12"/>
  <c r="BH1418" i="12"/>
  <c r="BH1417" i="12"/>
  <c r="BH1416" i="12"/>
  <c r="BH1415" i="12"/>
  <c r="BH1414" i="12"/>
  <c r="BH1413" i="12"/>
  <c r="BH1412" i="12"/>
  <c r="BH1411" i="12"/>
  <c r="BH1410" i="12"/>
  <c r="BH1409" i="12"/>
  <c r="BH1408" i="12"/>
  <c r="BH1407" i="12"/>
  <c r="BH1406" i="12"/>
  <c r="BH1405" i="12"/>
  <c r="BH1404" i="12"/>
  <c r="BH1403" i="12"/>
  <c r="BH1402" i="12"/>
  <c r="BH1401" i="12"/>
  <c r="BH1400" i="12"/>
  <c r="BH1399" i="12"/>
  <c r="BH1398" i="12"/>
  <c r="BH1397" i="12"/>
  <c r="BH1396" i="12"/>
  <c r="BH1395" i="12"/>
  <c r="BH1394" i="12"/>
  <c r="BH1393" i="12"/>
  <c r="BH1392" i="12"/>
  <c r="BH1391" i="12"/>
  <c r="BH1390" i="12"/>
  <c r="BH1389" i="12"/>
  <c r="BH1388" i="12"/>
  <c r="BH1387" i="12"/>
  <c r="BH1386" i="12"/>
  <c r="BH1385" i="12"/>
  <c r="BH1384" i="12"/>
  <c r="BH1383" i="12"/>
  <c r="BH1382" i="12"/>
  <c r="BH1381" i="12"/>
  <c r="BH1380" i="12"/>
  <c r="BH1379" i="12"/>
  <c r="BH1378" i="12"/>
  <c r="BH1377" i="12"/>
  <c r="BH1376" i="12"/>
  <c r="BH1375" i="12"/>
  <c r="BH1374" i="12"/>
  <c r="BH1373" i="12"/>
  <c r="BH1372" i="12"/>
  <c r="BH1371" i="12"/>
  <c r="BH1370" i="12"/>
  <c r="BH1369" i="12"/>
  <c r="BH1368" i="12"/>
  <c r="BH1367" i="12"/>
  <c r="BH1366" i="12"/>
  <c r="BH1365" i="12"/>
  <c r="BH1364" i="12"/>
  <c r="BH1363" i="12"/>
  <c r="BH1362" i="12"/>
  <c r="BH1361" i="12"/>
  <c r="BH1360" i="12"/>
  <c r="BH1359" i="12"/>
  <c r="BH1358" i="12"/>
  <c r="BH1357" i="12"/>
  <c r="BH1356" i="12"/>
  <c r="BH1355" i="12"/>
  <c r="BH1354" i="12"/>
  <c r="BH1353" i="12"/>
  <c r="BH1352" i="12"/>
  <c r="BH1351" i="12"/>
  <c r="BH1350" i="12"/>
  <c r="BH1349" i="12"/>
  <c r="BH1348" i="12"/>
  <c r="BH1347" i="12"/>
  <c r="BH1346" i="12"/>
  <c r="BH1345" i="12"/>
  <c r="BH1344" i="12"/>
  <c r="BH1343" i="12"/>
  <c r="BH1342" i="12"/>
  <c r="BH1341" i="12"/>
  <c r="BH1340" i="12"/>
  <c r="BH1339" i="12"/>
  <c r="BH1338" i="12"/>
  <c r="BH1337" i="12"/>
  <c r="BH1336" i="12"/>
  <c r="BH1335" i="12"/>
  <c r="BH1334" i="12"/>
  <c r="BH1333" i="12"/>
  <c r="BH1332" i="12"/>
  <c r="BH1331" i="12"/>
  <c r="BH1330" i="12"/>
  <c r="BH1329" i="12"/>
  <c r="BH1328" i="12"/>
  <c r="BH1327" i="12"/>
  <c r="BH1326" i="12"/>
  <c r="BH1325" i="12"/>
  <c r="BH1324" i="12"/>
  <c r="BH1323" i="12"/>
  <c r="BH1322" i="12"/>
  <c r="BH1321" i="12"/>
  <c r="BH1320" i="12"/>
  <c r="BH1319" i="12"/>
  <c r="BH1318" i="12"/>
  <c r="BH1317" i="12"/>
  <c r="BH1316" i="12"/>
  <c r="BH1315" i="12"/>
  <c r="BH1314" i="12"/>
  <c r="BH1313" i="12"/>
  <c r="BH1312" i="12"/>
  <c r="BH1311" i="12"/>
  <c r="BH1310" i="12"/>
  <c r="BH1309" i="12"/>
  <c r="BH1308" i="12"/>
  <c r="BH1307" i="12"/>
  <c r="BH1306" i="12"/>
  <c r="BH1305" i="12"/>
  <c r="BH1304" i="12"/>
  <c r="BH1303" i="12"/>
  <c r="BH1302" i="12"/>
  <c r="BH1301" i="12"/>
  <c r="BH1300" i="12"/>
  <c r="BH1299" i="12"/>
  <c r="BH1298" i="12"/>
  <c r="BH1297" i="12"/>
  <c r="BH1296" i="12"/>
  <c r="BH1295" i="12"/>
  <c r="BH1294" i="12"/>
  <c r="BH1293" i="12"/>
  <c r="BH1292" i="12"/>
  <c r="BH1291" i="12"/>
  <c r="BH1290" i="12"/>
  <c r="BH1289" i="12"/>
  <c r="BH1288" i="12"/>
  <c r="BH1287" i="12"/>
  <c r="BH1286" i="12"/>
  <c r="BH1285" i="12"/>
  <c r="BH1284" i="12"/>
  <c r="BH1283" i="12"/>
  <c r="BH1282" i="12"/>
  <c r="BH1281" i="12"/>
  <c r="BH1280" i="12"/>
  <c r="BH1279" i="12"/>
  <c r="BH1278" i="12"/>
  <c r="BH1277" i="12"/>
  <c r="BH1276" i="12"/>
  <c r="BH1275" i="12"/>
  <c r="BH1274" i="12"/>
  <c r="BH1273" i="12"/>
  <c r="BH1272" i="12"/>
  <c r="BH1271" i="12"/>
  <c r="BH1270" i="12"/>
  <c r="BH1269" i="12"/>
  <c r="BH1268" i="12"/>
  <c r="BH1267" i="12"/>
  <c r="BH1266" i="12"/>
  <c r="BH1265" i="12"/>
  <c r="BH1264" i="12"/>
  <c r="BH1263" i="12"/>
  <c r="BH1262" i="12"/>
  <c r="BH1261" i="12"/>
  <c r="BH1260" i="12"/>
  <c r="BH1259" i="12"/>
  <c r="BH1258" i="12"/>
  <c r="BH1257" i="12"/>
  <c r="BH1256" i="12"/>
  <c r="BH1255" i="12"/>
  <c r="BH1254" i="12"/>
  <c r="BH1253" i="12"/>
  <c r="BH1252" i="12"/>
  <c r="BH1251" i="12"/>
  <c r="BH1250" i="12"/>
  <c r="BH1249" i="12"/>
  <c r="BH1248" i="12"/>
  <c r="BH1247" i="12"/>
  <c r="BH1246" i="12"/>
  <c r="BH1245" i="12"/>
  <c r="BH1244" i="12"/>
  <c r="BH1243" i="12"/>
  <c r="BH1242" i="12"/>
  <c r="BH1241" i="12"/>
  <c r="BH1240" i="12"/>
  <c r="BH1239" i="12"/>
  <c r="BH1238" i="12"/>
  <c r="BH1237" i="12"/>
  <c r="BH1236" i="12"/>
  <c r="BH1235" i="12"/>
  <c r="BH1234" i="12"/>
  <c r="BH1233" i="12"/>
  <c r="BH1232" i="12"/>
  <c r="BH1231" i="12"/>
  <c r="BH1230" i="12"/>
  <c r="BH1229" i="12"/>
  <c r="BH1228" i="12"/>
  <c r="BH1227" i="12"/>
  <c r="BH1226" i="12"/>
  <c r="BH1225" i="12"/>
  <c r="BH1224" i="12"/>
  <c r="BH1223" i="12"/>
  <c r="BH1222" i="12"/>
  <c r="BH1221" i="12"/>
  <c r="BH1220" i="12"/>
  <c r="BH1219" i="12"/>
  <c r="BH1218" i="12"/>
  <c r="BH1217" i="12"/>
  <c r="BH1216" i="12"/>
  <c r="BH1215" i="12"/>
  <c r="BH1214" i="12"/>
  <c r="BH1213" i="12"/>
  <c r="BH1212" i="12"/>
  <c r="BH1211" i="12"/>
  <c r="BH1210" i="12"/>
  <c r="BH1209" i="12"/>
  <c r="BH1208" i="12"/>
  <c r="BH1207" i="12"/>
  <c r="BH1206" i="12"/>
  <c r="BH1205" i="12"/>
  <c r="BH1204" i="12"/>
  <c r="BH1203" i="12"/>
  <c r="BH1202" i="12"/>
  <c r="BH1201" i="12"/>
  <c r="BH1200" i="12"/>
  <c r="BH1199" i="12"/>
  <c r="BH1198" i="12"/>
  <c r="BH1197" i="12"/>
  <c r="BH1196" i="12"/>
  <c r="BH1195" i="12"/>
  <c r="BH1194" i="12"/>
  <c r="BH1193" i="12"/>
  <c r="BH1192" i="12"/>
  <c r="BH1191" i="12"/>
  <c r="BH1190" i="12"/>
  <c r="BH1189" i="12"/>
  <c r="BH1188" i="12"/>
  <c r="BH1187" i="12"/>
  <c r="BH1186" i="12"/>
  <c r="BH1185" i="12"/>
  <c r="BH1184" i="12"/>
  <c r="BH1183" i="12"/>
  <c r="BH1182" i="12"/>
  <c r="BH1181" i="12"/>
  <c r="BH1180" i="12"/>
  <c r="BH1179" i="12"/>
  <c r="BH1178" i="12"/>
  <c r="BH1177" i="12"/>
  <c r="BH1176" i="12"/>
  <c r="BH1175" i="12"/>
  <c r="BH1174" i="12"/>
  <c r="BH1173" i="12"/>
  <c r="BH1172" i="12"/>
  <c r="BH1171" i="12"/>
  <c r="BH1170" i="12"/>
  <c r="BH1169" i="12"/>
  <c r="BH1168" i="12"/>
  <c r="BH1167" i="12"/>
  <c r="BH1166" i="12"/>
  <c r="BH1165" i="12"/>
  <c r="BH1164" i="12"/>
  <c r="BH1163" i="12"/>
  <c r="BH1162" i="12"/>
  <c r="BH1161" i="12"/>
  <c r="BH1160" i="12"/>
  <c r="BH1159" i="12"/>
  <c r="BH1158" i="12"/>
  <c r="BH1157" i="12"/>
  <c r="BH1156" i="12"/>
  <c r="BH1155" i="12"/>
  <c r="BH1154" i="12"/>
  <c r="BH1153" i="12"/>
  <c r="BH1152" i="12"/>
  <c r="BH1151" i="12"/>
  <c r="BH1150" i="12"/>
  <c r="BH1149" i="12"/>
  <c r="BH1148" i="12"/>
  <c r="BH1147" i="12"/>
  <c r="BH1146" i="12"/>
  <c r="BH1145" i="12"/>
  <c r="BH1144" i="12"/>
  <c r="BH1143" i="12"/>
  <c r="BH1142" i="12"/>
  <c r="BH1141" i="12"/>
  <c r="BH1140" i="12"/>
  <c r="BH1139" i="12"/>
  <c r="BH1138" i="12"/>
  <c r="BH1137" i="12"/>
  <c r="BH1136" i="12"/>
  <c r="BH1135" i="12"/>
  <c r="BH1134" i="12"/>
  <c r="BH1133" i="12"/>
  <c r="BH1132" i="12"/>
  <c r="BH1131" i="12"/>
  <c r="BH1130" i="12"/>
  <c r="BH1129" i="12"/>
  <c r="BH1128" i="12"/>
  <c r="BH1127" i="12"/>
  <c r="BH1126" i="12"/>
  <c r="BH1125" i="12"/>
  <c r="BH1124" i="12"/>
  <c r="BH1123" i="12"/>
  <c r="BH1122" i="12"/>
  <c r="BH1121" i="12"/>
  <c r="BH1120" i="12"/>
  <c r="BH1119" i="12"/>
  <c r="BH1118" i="12"/>
  <c r="BH1117" i="12"/>
  <c r="BH1116" i="12"/>
  <c r="BH1115" i="12"/>
  <c r="BH1114" i="12"/>
  <c r="BH1113" i="12"/>
  <c r="BH1112" i="12"/>
  <c r="BH1111" i="12"/>
  <c r="BH1110" i="12"/>
  <c r="BH1109" i="12"/>
  <c r="BH1108" i="12"/>
  <c r="BH1107" i="12"/>
  <c r="BH1106" i="12"/>
  <c r="BH1105" i="12"/>
  <c r="BH1104" i="12"/>
  <c r="BH1103" i="12"/>
  <c r="BH1102" i="12"/>
  <c r="BH1101" i="12"/>
  <c r="BH1100" i="12"/>
  <c r="BH1099" i="12"/>
  <c r="BH1098" i="12"/>
  <c r="BH1097" i="12"/>
  <c r="BH1096" i="12"/>
  <c r="BH1095" i="12"/>
  <c r="BH1094" i="12"/>
  <c r="BH1093" i="12"/>
  <c r="BH1092" i="12"/>
  <c r="BH1091" i="12"/>
  <c r="BH1090" i="12"/>
  <c r="BH1089" i="12"/>
  <c r="BH1088" i="12"/>
  <c r="BH1087" i="12"/>
  <c r="BH1086" i="12"/>
  <c r="BH1085" i="12"/>
  <c r="BH1084" i="12"/>
  <c r="BH1083" i="12"/>
  <c r="BH1082" i="12"/>
  <c r="BH1081" i="12"/>
  <c r="BH1080" i="12"/>
  <c r="BH1079" i="12"/>
  <c r="BH1078" i="12"/>
  <c r="BH1077" i="12"/>
  <c r="BH1076" i="12"/>
  <c r="BH1075" i="12"/>
  <c r="BH1074" i="12"/>
  <c r="BH1073" i="12"/>
  <c r="BH1072" i="12"/>
  <c r="BH1071" i="12"/>
  <c r="BH1070" i="12"/>
  <c r="BH1069" i="12"/>
  <c r="BH1068" i="12"/>
  <c r="BH1067" i="12"/>
  <c r="BH1066" i="12"/>
  <c r="BH1065" i="12"/>
  <c r="BH1064" i="12"/>
  <c r="BH1063" i="12"/>
  <c r="BH1062" i="12"/>
  <c r="BH1061" i="12"/>
  <c r="BH1060" i="12"/>
  <c r="BH1059" i="12"/>
  <c r="BH1058" i="12"/>
  <c r="BH1057" i="12"/>
  <c r="BH1056" i="12"/>
  <c r="BH1055" i="12"/>
  <c r="BH1054" i="12"/>
  <c r="BH1053" i="12"/>
  <c r="BH1052" i="12"/>
  <c r="BH1051" i="12"/>
  <c r="BH1050" i="12"/>
  <c r="BH1049" i="12"/>
  <c r="BH1048" i="12"/>
  <c r="BH1047" i="12"/>
  <c r="BH1046" i="12"/>
  <c r="BH1045" i="12"/>
  <c r="BH1044" i="12"/>
  <c r="BH1043" i="12"/>
  <c r="BH1042" i="12"/>
  <c r="BH1041" i="12"/>
  <c r="BH1040" i="12"/>
  <c r="BH1039" i="12"/>
  <c r="BH1038" i="12"/>
  <c r="BH1037" i="12"/>
  <c r="BH1036" i="12"/>
  <c r="BH1035" i="12"/>
  <c r="BH1034" i="12"/>
  <c r="BH1033" i="12"/>
  <c r="BH1032" i="12"/>
  <c r="BH1031" i="12"/>
  <c r="BH1030" i="12"/>
  <c r="BH1029" i="12"/>
  <c r="BH1028" i="12"/>
  <c r="BH1027" i="12"/>
  <c r="BH1026" i="12"/>
  <c r="BH1025" i="12"/>
  <c r="BH1024" i="12"/>
  <c r="BH1023" i="12"/>
  <c r="BH1022" i="12"/>
  <c r="BH1021" i="12"/>
  <c r="BH1020" i="12"/>
  <c r="BH1019" i="12"/>
  <c r="BH1018" i="12"/>
  <c r="BH1017" i="12"/>
  <c r="BH1016" i="12"/>
  <c r="BH1015" i="12"/>
  <c r="BH1014" i="12"/>
  <c r="BH1013" i="12"/>
  <c r="BH1012" i="12"/>
  <c r="BH1011" i="12"/>
  <c r="BH1010" i="12"/>
  <c r="BH1009" i="12"/>
  <c r="BH1008" i="12"/>
  <c r="BH1007" i="12"/>
  <c r="BH1006" i="12"/>
  <c r="BH1005" i="12"/>
  <c r="BH1004" i="12"/>
  <c r="BH1003" i="12"/>
  <c r="BH1002" i="12"/>
  <c r="BH1001" i="12"/>
  <c r="BH1000" i="12"/>
  <c r="BH999" i="12"/>
  <c r="BH998" i="12"/>
  <c r="BH997" i="12"/>
  <c r="BH996" i="12"/>
  <c r="BH995" i="12"/>
  <c r="BH994" i="12"/>
  <c r="BH993" i="12"/>
  <c r="BH992" i="12"/>
  <c r="BH991" i="12"/>
  <c r="BH990" i="12"/>
  <c r="BH989" i="12"/>
  <c r="BH988" i="12"/>
  <c r="BH987" i="12"/>
  <c r="BH986" i="12"/>
  <c r="BH985" i="12"/>
  <c r="BH984" i="12"/>
  <c r="BH983" i="12"/>
  <c r="BH982" i="12"/>
  <c r="BH981" i="12"/>
  <c r="BH980" i="12"/>
  <c r="BH979" i="12"/>
  <c r="BH978" i="12"/>
  <c r="BH977" i="12"/>
  <c r="BH976" i="12"/>
  <c r="BH975" i="12"/>
  <c r="BH974" i="12"/>
  <c r="BH973" i="12"/>
  <c r="BH972" i="12"/>
  <c r="BH971" i="12"/>
  <c r="BH970" i="12"/>
  <c r="BH969" i="12"/>
  <c r="BH968" i="12"/>
  <c r="BH967" i="12"/>
  <c r="BH966" i="12"/>
  <c r="BH965" i="12"/>
  <c r="BH964" i="12"/>
  <c r="BH963" i="12"/>
  <c r="BH962" i="12"/>
  <c r="BH961" i="12"/>
  <c r="BH960" i="12"/>
  <c r="BH959" i="12"/>
  <c r="BH958" i="12"/>
  <c r="BH957" i="12"/>
  <c r="BH956" i="12"/>
  <c r="BH955" i="12"/>
  <c r="BH954" i="12"/>
  <c r="BH953" i="12"/>
  <c r="BH952" i="12"/>
  <c r="BH951" i="12"/>
  <c r="BH950" i="12"/>
  <c r="BH949" i="12"/>
  <c r="BH948" i="12"/>
  <c r="BH947" i="12"/>
  <c r="BH946" i="12"/>
  <c r="BH945" i="12"/>
  <c r="BH944" i="12"/>
  <c r="BH943" i="12"/>
  <c r="BH942" i="12"/>
  <c r="BH941" i="12"/>
  <c r="BH940" i="12"/>
  <c r="BH939" i="12"/>
  <c r="BH938" i="12"/>
  <c r="BH937" i="12"/>
  <c r="BH936" i="12"/>
  <c r="BH935" i="12"/>
  <c r="BH934" i="12"/>
  <c r="BH933" i="12"/>
  <c r="BH932" i="12"/>
  <c r="BH931" i="12"/>
  <c r="BH930" i="12"/>
  <c r="BH929" i="12"/>
  <c r="BH928" i="12"/>
  <c r="BH927" i="12"/>
  <c r="BH926" i="12"/>
  <c r="BH925" i="12"/>
  <c r="BH924" i="12"/>
  <c r="BH923" i="12"/>
  <c r="BH922" i="12"/>
  <c r="BH921" i="12"/>
  <c r="BH920" i="12"/>
  <c r="BH919" i="12"/>
  <c r="BH918" i="12"/>
  <c r="BH917" i="12"/>
  <c r="BH916" i="12"/>
  <c r="BH915" i="12"/>
  <c r="BH914" i="12"/>
  <c r="BH913" i="12"/>
  <c r="BH912" i="12"/>
  <c r="BH911" i="12"/>
  <c r="BH910" i="12"/>
  <c r="BH909" i="12"/>
  <c r="BH908" i="12"/>
  <c r="BH907" i="12"/>
  <c r="BH906" i="12"/>
  <c r="BH905" i="12"/>
  <c r="BH904" i="12"/>
  <c r="BH903" i="12"/>
  <c r="BH902" i="12"/>
  <c r="BH901" i="12"/>
  <c r="BH900" i="12"/>
  <c r="BH899" i="12"/>
  <c r="BH898" i="12"/>
  <c r="BH897" i="12"/>
  <c r="BH896" i="12"/>
  <c r="BH895" i="12"/>
  <c r="BH894" i="12"/>
  <c r="BH893" i="12"/>
  <c r="BH892" i="12"/>
  <c r="BH891" i="12"/>
  <c r="BH890" i="12"/>
  <c r="BH889" i="12"/>
  <c r="BH888" i="12"/>
  <c r="BH887" i="12"/>
  <c r="BH886" i="12"/>
  <c r="BH885" i="12"/>
  <c r="BH884" i="12"/>
  <c r="BH883" i="12"/>
  <c r="BH882" i="12"/>
  <c r="BH881" i="12"/>
  <c r="BH880" i="12"/>
  <c r="BH879" i="12"/>
  <c r="BH878" i="12"/>
  <c r="BH877" i="12"/>
  <c r="BH876" i="12"/>
  <c r="BH875" i="12"/>
  <c r="BH874" i="12"/>
  <c r="BH873" i="12"/>
  <c r="BH872" i="12"/>
  <c r="BH871" i="12"/>
  <c r="BH870" i="12"/>
  <c r="BH869" i="12"/>
  <c r="BH868" i="12"/>
  <c r="BH867" i="12"/>
  <c r="BH866" i="12"/>
  <c r="BH865" i="12"/>
  <c r="BH864" i="12"/>
  <c r="BH863" i="12"/>
  <c r="BH862" i="12"/>
  <c r="BH861" i="12"/>
  <c r="BH860" i="12"/>
  <c r="BH859" i="12"/>
  <c r="BH858" i="12"/>
  <c r="BH857" i="12"/>
  <c r="BH856" i="12"/>
  <c r="BH855" i="12"/>
  <c r="BH854" i="12"/>
  <c r="BH853" i="12"/>
  <c r="BH852" i="12"/>
  <c r="BH851" i="12"/>
  <c r="BH850" i="12"/>
  <c r="BH849" i="12"/>
  <c r="BH848" i="12"/>
  <c r="BH847" i="12"/>
  <c r="BH846" i="12"/>
  <c r="BH845" i="12"/>
  <c r="BH844" i="12"/>
  <c r="BH843" i="12"/>
  <c r="BH842" i="12"/>
  <c r="BH841" i="12"/>
  <c r="BH840" i="12"/>
  <c r="BH839" i="12"/>
  <c r="BH838" i="12"/>
  <c r="BH837" i="12"/>
  <c r="BH836" i="12"/>
  <c r="BH835" i="12"/>
  <c r="BH834" i="12"/>
  <c r="BH833" i="12"/>
  <c r="BH832" i="12"/>
  <c r="BH831" i="12"/>
  <c r="BH830" i="12"/>
  <c r="BH829" i="12"/>
  <c r="BH828" i="12"/>
  <c r="BH827" i="12"/>
  <c r="BH826" i="12"/>
  <c r="BH825" i="12"/>
  <c r="BH824" i="12"/>
  <c r="BH823" i="12"/>
  <c r="BH822" i="12"/>
  <c r="BH821" i="12"/>
  <c r="BH820" i="12"/>
  <c r="BH819" i="12"/>
  <c r="BH818" i="12"/>
  <c r="BH817" i="12"/>
  <c r="BH816" i="12"/>
  <c r="BH815" i="12"/>
  <c r="BH814" i="12"/>
  <c r="BH813" i="12"/>
  <c r="BH812" i="12"/>
  <c r="BH811" i="12"/>
  <c r="BH810" i="12"/>
  <c r="BH809" i="12"/>
  <c r="BH808" i="12"/>
  <c r="BH807" i="12"/>
  <c r="BH806" i="12"/>
  <c r="BH805" i="12"/>
  <c r="BH804" i="12"/>
  <c r="BH803" i="12"/>
  <c r="BH802" i="12"/>
  <c r="BH801" i="12"/>
  <c r="BH800" i="12"/>
  <c r="BH799" i="12"/>
  <c r="BH798" i="12"/>
  <c r="BH797" i="12"/>
  <c r="BH796" i="12"/>
  <c r="BH795" i="12"/>
  <c r="BH794" i="12"/>
  <c r="BH793" i="12"/>
  <c r="BH792" i="12"/>
  <c r="BH791" i="12"/>
  <c r="BH790" i="12"/>
  <c r="BH789" i="12"/>
  <c r="BH788" i="12"/>
  <c r="BH787" i="12"/>
  <c r="BH786" i="12"/>
  <c r="BH785" i="12"/>
  <c r="BH784" i="12"/>
  <c r="BH783" i="12"/>
  <c r="BH782" i="12"/>
  <c r="BH781" i="12"/>
  <c r="BH780" i="12"/>
  <c r="BH779" i="12"/>
  <c r="BH778" i="12"/>
  <c r="BH777" i="12"/>
  <c r="BH776" i="12"/>
  <c r="BH775" i="12"/>
  <c r="BH774" i="12"/>
  <c r="BH773" i="12"/>
  <c r="BH772" i="12"/>
  <c r="BH771" i="12"/>
  <c r="BH770" i="12"/>
  <c r="BH769" i="12"/>
  <c r="BH768" i="12"/>
  <c r="BH767" i="12"/>
  <c r="BH766" i="12"/>
  <c r="BH765" i="12"/>
  <c r="BH764" i="12"/>
  <c r="BH763" i="12"/>
  <c r="BH762" i="12"/>
  <c r="BH761" i="12"/>
  <c r="BH760" i="12"/>
  <c r="BH759" i="12"/>
  <c r="BH758" i="12"/>
  <c r="BH757" i="12"/>
  <c r="BH756" i="12"/>
  <c r="BH755" i="12"/>
  <c r="BH754" i="12"/>
  <c r="BH753" i="12"/>
  <c r="BH752" i="12"/>
  <c r="BH751" i="12"/>
  <c r="BH750" i="12"/>
  <c r="BH749" i="12"/>
  <c r="BH748" i="12"/>
  <c r="BH747" i="12"/>
  <c r="BH746" i="12"/>
  <c r="BH745" i="12"/>
  <c r="BH744" i="12"/>
  <c r="BH743" i="12"/>
  <c r="BH742" i="12"/>
  <c r="BH741" i="12"/>
  <c r="BH740" i="12"/>
  <c r="BH739" i="12"/>
  <c r="BH738" i="12"/>
  <c r="BH737" i="12"/>
  <c r="BH736" i="12"/>
  <c r="BH735" i="12"/>
  <c r="BH734" i="12"/>
  <c r="BH733" i="12"/>
  <c r="BH732" i="12"/>
  <c r="BH731" i="12"/>
  <c r="BH730" i="12"/>
  <c r="BH729" i="12"/>
  <c r="BH728" i="12"/>
  <c r="BH727" i="12"/>
  <c r="BH726" i="12"/>
  <c r="BH725" i="12"/>
  <c r="BH724" i="12"/>
  <c r="BH723" i="12"/>
  <c r="BH722" i="12"/>
  <c r="BH721" i="12"/>
  <c r="BH720" i="12"/>
  <c r="BH719" i="12"/>
  <c r="BH718" i="12"/>
  <c r="BH717" i="12"/>
  <c r="BH716" i="12"/>
  <c r="BH715" i="12"/>
  <c r="BH714" i="12"/>
  <c r="BH713" i="12"/>
  <c r="BH712" i="12"/>
  <c r="BH711" i="12"/>
  <c r="BH710" i="12"/>
  <c r="BH709" i="12"/>
  <c r="BH708" i="12"/>
  <c r="BH707" i="12"/>
  <c r="BH706" i="12"/>
  <c r="BH705" i="12"/>
  <c r="BH704" i="12"/>
  <c r="BH703" i="12"/>
  <c r="BH702" i="12"/>
  <c r="BH701" i="12"/>
  <c r="BH700" i="12"/>
  <c r="BH699" i="12"/>
  <c r="BH698" i="12"/>
  <c r="BH697" i="12"/>
  <c r="BH696" i="12"/>
  <c r="BH695" i="12"/>
  <c r="BH694" i="12"/>
  <c r="BH693" i="12"/>
  <c r="BH692" i="12"/>
  <c r="BH691" i="12"/>
  <c r="BH690" i="12"/>
  <c r="BH689" i="12"/>
  <c r="BH688" i="12"/>
  <c r="BH687" i="12"/>
  <c r="BH686" i="12"/>
  <c r="BH685" i="12"/>
  <c r="BH684" i="12"/>
  <c r="BH683" i="12"/>
  <c r="BH682" i="12"/>
  <c r="BH681" i="12"/>
  <c r="BH680" i="12"/>
  <c r="BH679" i="12"/>
  <c r="BH678" i="12"/>
  <c r="BH677" i="12"/>
  <c r="BH676" i="12"/>
  <c r="BH675" i="12"/>
  <c r="BH674" i="12"/>
  <c r="BH673" i="12"/>
  <c r="BH672" i="12"/>
  <c r="BH671" i="12"/>
  <c r="BH670" i="12"/>
  <c r="BH669" i="12"/>
  <c r="BH668" i="12"/>
  <c r="BH667" i="12"/>
  <c r="BH666" i="12"/>
  <c r="BH665" i="12"/>
  <c r="BH664" i="12"/>
  <c r="BH663" i="12"/>
  <c r="BH662" i="12"/>
  <c r="BH661" i="12"/>
  <c r="BH660" i="12"/>
  <c r="BH659" i="12"/>
  <c r="BH658" i="12"/>
  <c r="BH657" i="12"/>
  <c r="BH656" i="12"/>
  <c r="BH655" i="12"/>
  <c r="BH654" i="12"/>
  <c r="BH653" i="12"/>
  <c r="BH652" i="12"/>
  <c r="BH651" i="12"/>
  <c r="BH650" i="12"/>
  <c r="BH649" i="12"/>
  <c r="BH648" i="12"/>
  <c r="BH647" i="12"/>
  <c r="BH646" i="12"/>
  <c r="BH645" i="12"/>
  <c r="BH644" i="12"/>
  <c r="BH643" i="12"/>
  <c r="BH642" i="12"/>
  <c r="BH641" i="12"/>
  <c r="BH640" i="12"/>
  <c r="BH639" i="12"/>
  <c r="BH638" i="12"/>
  <c r="BH637" i="12"/>
  <c r="BH636" i="12"/>
  <c r="BH635" i="12"/>
  <c r="BH634" i="12"/>
  <c r="BH633" i="12"/>
  <c r="BH632" i="12"/>
  <c r="BH631" i="12"/>
  <c r="BH630" i="12"/>
  <c r="BH629" i="12"/>
  <c r="BH628" i="12"/>
  <c r="BH627" i="12"/>
  <c r="BH626" i="12"/>
  <c r="BH625" i="12"/>
  <c r="BH624" i="12"/>
  <c r="BH623" i="12"/>
  <c r="BH622" i="12"/>
  <c r="BH621" i="12"/>
  <c r="BH620" i="12"/>
  <c r="BH619" i="12"/>
  <c r="BH618" i="12"/>
  <c r="BH617" i="12"/>
  <c r="BH616" i="12"/>
  <c r="BH615" i="12"/>
  <c r="BH614" i="12"/>
  <c r="BH613" i="12"/>
  <c r="BH612" i="12"/>
  <c r="BH611" i="12"/>
  <c r="BH610" i="12"/>
  <c r="BH609" i="12"/>
  <c r="BH608" i="12"/>
  <c r="BH607" i="12"/>
  <c r="BH606" i="12"/>
  <c r="BH605" i="12"/>
  <c r="BH604" i="12"/>
  <c r="BH603" i="12"/>
  <c r="BH602" i="12"/>
  <c r="BH601" i="12"/>
  <c r="BH600" i="12"/>
  <c r="BH599" i="12"/>
  <c r="BH598" i="12"/>
  <c r="BH597" i="12"/>
  <c r="BH596" i="12"/>
  <c r="BH595" i="12"/>
  <c r="BH594" i="12"/>
  <c r="BH593" i="12"/>
  <c r="BH592" i="12"/>
  <c r="BH591" i="12"/>
  <c r="BH590" i="12"/>
  <c r="BH589" i="12"/>
  <c r="BH588" i="12"/>
  <c r="BH587" i="12"/>
  <c r="BH586" i="12"/>
  <c r="BH585" i="12"/>
  <c r="BH584" i="12"/>
  <c r="BH583" i="12"/>
  <c r="BH582" i="12"/>
  <c r="BH581" i="12"/>
  <c r="BH580" i="12"/>
  <c r="BH579" i="12"/>
  <c r="BH578" i="12"/>
  <c r="BH577" i="12"/>
  <c r="BH576" i="12"/>
  <c r="BH575" i="12"/>
  <c r="BH574" i="12"/>
  <c r="BH573" i="12"/>
  <c r="BH572" i="12"/>
  <c r="BH571" i="12"/>
  <c r="BH570" i="12"/>
  <c r="BH569" i="12"/>
  <c r="BH568" i="12"/>
  <c r="BH567" i="12"/>
  <c r="BH566" i="12"/>
  <c r="BH565" i="12"/>
  <c r="BH564" i="12"/>
  <c r="BH563" i="12"/>
  <c r="BH562" i="12"/>
  <c r="BH561" i="12"/>
  <c r="BH560" i="12"/>
  <c r="BH559" i="12"/>
  <c r="BH558" i="12"/>
  <c r="BH557" i="12"/>
  <c r="BH556" i="12"/>
  <c r="BH555" i="12"/>
  <c r="BH554" i="12"/>
  <c r="BH553" i="12"/>
  <c r="BH552" i="12"/>
  <c r="BH551" i="12"/>
  <c r="BH550" i="12"/>
  <c r="BH549" i="12"/>
  <c r="BH548" i="12"/>
  <c r="BH547" i="12"/>
  <c r="BH546" i="12"/>
  <c r="BH545" i="12"/>
  <c r="BH544" i="12"/>
  <c r="BH543" i="12"/>
  <c r="BH542" i="12"/>
  <c r="BH541" i="12"/>
  <c r="BH540" i="12"/>
  <c r="BH539" i="12"/>
  <c r="BH538" i="12"/>
  <c r="BH537" i="12"/>
  <c r="BH536" i="12"/>
  <c r="BH535" i="12"/>
  <c r="BH534" i="12"/>
  <c r="BH533" i="12"/>
  <c r="BH532" i="12"/>
  <c r="BH531" i="12"/>
  <c r="BH530" i="12"/>
  <c r="BH529" i="12"/>
  <c r="BH528" i="12"/>
  <c r="BH527" i="12"/>
  <c r="BH526" i="12"/>
  <c r="BH525" i="12"/>
  <c r="BH524" i="12"/>
  <c r="BH523" i="12"/>
  <c r="BH522" i="12"/>
  <c r="BH521" i="12"/>
  <c r="BH520" i="12"/>
  <c r="BH519" i="12"/>
  <c r="BH518" i="12"/>
  <c r="BH517" i="12"/>
  <c r="BH516" i="12"/>
  <c r="BH515" i="12"/>
  <c r="BH514" i="12"/>
  <c r="BH513" i="12"/>
  <c r="BH512" i="12"/>
  <c r="BH511" i="12"/>
  <c r="BH510" i="12"/>
  <c r="BH509" i="12"/>
  <c r="BH508" i="12"/>
  <c r="BH507" i="12"/>
  <c r="BH506" i="12"/>
  <c r="BH505" i="12"/>
  <c r="BH504" i="12"/>
  <c r="BH503" i="12"/>
  <c r="BH502" i="12"/>
  <c r="BH501" i="12"/>
  <c r="BH500" i="12"/>
  <c r="BH499" i="12"/>
  <c r="BH498" i="12"/>
  <c r="BH497" i="12"/>
  <c r="BH496" i="12"/>
  <c r="BH495" i="12"/>
  <c r="BH494" i="12"/>
  <c r="BH493" i="12"/>
  <c r="BH492" i="12"/>
  <c r="BH491" i="12"/>
  <c r="BH490" i="12"/>
  <c r="BH489" i="12"/>
  <c r="BH488" i="12"/>
  <c r="BH487" i="12"/>
  <c r="BH486" i="12"/>
  <c r="BH485" i="12"/>
  <c r="BH484" i="12"/>
  <c r="BH483" i="12"/>
  <c r="BH482" i="12"/>
  <c r="BH481" i="12"/>
  <c r="BH480" i="12"/>
  <c r="BH479" i="12"/>
  <c r="BH478" i="12"/>
  <c r="BH477" i="12"/>
  <c r="BH476" i="12"/>
  <c r="BH475" i="12"/>
  <c r="BH474" i="12"/>
  <c r="BH473" i="12"/>
  <c r="BH472" i="12"/>
  <c r="BH471" i="12"/>
  <c r="BH470" i="12"/>
  <c r="BH469" i="12"/>
  <c r="BH468" i="12"/>
  <c r="BH467" i="12"/>
  <c r="BH466" i="12"/>
  <c r="BH465" i="12"/>
  <c r="BH464" i="12"/>
  <c r="BH463" i="12"/>
  <c r="BH462" i="12"/>
  <c r="BH461" i="12"/>
  <c r="BH460" i="12"/>
  <c r="BH459" i="12"/>
  <c r="BH458" i="12"/>
  <c r="BH457" i="12"/>
  <c r="BH456" i="12"/>
  <c r="BH455" i="12"/>
  <c r="BH454" i="12"/>
  <c r="BH453" i="12"/>
  <c r="BH452" i="12"/>
  <c r="BH451" i="12"/>
  <c r="BH450" i="12"/>
  <c r="BH449" i="12"/>
  <c r="BH448" i="12"/>
  <c r="BH447" i="12"/>
  <c r="BH446" i="12"/>
  <c r="BH445" i="12"/>
  <c r="BH444" i="12"/>
  <c r="BH443" i="12"/>
  <c r="BH442" i="12"/>
  <c r="BH441" i="12"/>
  <c r="BH440" i="12"/>
  <c r="BH439" i="12"/>
  <c r="BH438" i="12"/>
  <c r="BH437" i="12"/>
  <c r="BH436" i="12"/>
  <c r="BH435" i="12"/>
  <c r="BH434" i="12"/>
  <c r="BH433" i="12"/>
  <c r="BH432" i="12"/>
  <c r="BH431" i="12"/>
  <c r="BH430" i="12"/>
  <c r="BH429" i="12"/>
  <c r="BH428" i="12"/>
  <c r="BH427" i="12"/>
  <c r="BH426" i="12"/>
  <c r="BH425" i="12"/>
  <c r="BH424" i="12"/>
  <c r="BH423" i="12"/>
  <c r="BH422" i="12"/>
  <c r="BH421" i="12"/>
  <c r="BH420" i="12"/>
  <c r="BH419" i="12"/>
  <c r="BH418" i="12"/>
  <c r="BH417" i="12"/>
  <c r="BH416" i="12"/>
  <c r="BH415" i="12"/>
  <c r="BH414" i="12"/>
  <c r="BH413" i="12"/>
  <c r="BH412" i="12"/>
  <c r="BH411" i="12"/>
  <c r="BH410" i="12"/>
  <c r="BH409" i="12"/>
  <c r="BH408" i="12"/>
  <c r="BH407" i="12"/>
  <c r="BH406" i="12"/>
  <c r="BH405" i="12"/>
  <c r="BH404" i="12"/>
  <c r="BH403" i="12"/>
  <c r="BH402" i="12"/>
  <c r="BH401" i="12"/>
  <c r="BH400" i="12"/>
  <c r="BH399" i="12"/>
  <c r="BH398" i="12"/>
  <c r="BH397" i="12"/>
  <c r="BH396" i="12"/>
  <c r="BH395" i="12"/>
  <c r="BH394" i="12"/>
  <c r="BH393" i="12"/>
  <c r="BH392" i="12"/>
  <c r="BH391" i="12"/>
  <c r="BH390" i="12"/>
  <c r="BH389" i="12"/>
  <c r="BH388" i="12"/>
  <c r="BH387" i="12"/>
  <c r="BH386" i="12"/>
  <c r="BH385" i="12"/>
  <c r="BH384" i="12"/>
  <c r="BH383" i="12"/>
  <c r="BH382" i="12"/>
  <c r="BH381" i="12"/>
  <c r="BH380" i="12"/>
  <c r="BH379" i="12"/>
  <c r="BH378" i="12"/>
  <c r="BH377" i="12"/>
  <c r="BH376" i="12"/>
  <c r="BH375" i="12"/>
  <c r="BH374" i="12"/>
  <c r="BH373" i="12"/>
  <c r="BH372" i="12"/>
  <c r="BH371" i="12"/>
  <c r="BH370" i="12"/>
  <c r="BH369" i="12"/>
  <c r="BH368" i="12"/>
  <c r="BH367" i="12"/>
  <c r="BH366" i="12"/>
  <c r="BH365" i="12"/>
  <c r="BH364" i="12"/>
  <c r="BH363" i="12"/>
  <c r="BH362" i="12"/>
  <c r="BH361" i="12"/>
  <c r="BH360" i="12"/>
  <c r="BH359" i="12"/>
  <c r="BH358" i="12"/>
  <c r="BH357" i="12"/>
  <c r="BH356" i="12"/>
  <c r="BH355" i="12"/>
  <c r="BH354" i="12"/>
  <c r="BH353" i="12"/>
  <c r="BH352" i="12"/>
  <c r="BH351" i="12"/>
  <c r="BH350" i="12"/>
  <c r="BH349" i="12"/>
  <c r="BH348" i="12"/>
  <c r="BH347" i="12"/>
  <c r="BH346" i="12"/>
  <c r="BH345" i="12"/>
  <c r="BH344" i="12"/>
  <c r="BH343" i="12"/>
  <c r="BH342" i="12"/>
  <c r="BH341" i="12"/>
  <c r="BH340" i="12"/>
  <c r="BH339" i="12"/>
  <c r="BH338" i="12"/>
  <c r="BH337" i="12"/>
  <c r="BH336" i="12"/>
  <c r="BH335" i="12"/>
  <c r="BH334" i="12"/>
  <c r="BH333" i="12"/>
  <c r="BH332" i="12"/>
  <c r="BH331" i="12"/>
  <c r="BH330" i="12"/>
  <c r="BH329" i="12"/>
  <c r="BH328" i="12"/>
  <c r="BH327" i="12"/>
  <c r="BH326" i="12"/>
  <c r="BH325" i="12"/>
  <c r="BH324" i="12"/>
  <c r="BH323" i="12"/>
  <c r="BH322" i="12"/>
  <c r="BH321" i="12"/>
  <c r="BH320" i="12"/>
  <c r="BH319" i="12"/>
  <c r="BH318" i="12"/>
  <c r="BH317" i="12"/>
  <c r="BH316" i="12"/>
  <c r="BH315" i="12"/>
  <c r="BH314" i="12"/>
  <c r="BH313" i="12"/>
  <c r="BH312" i="12"/>
  <c r="BH311" i="12"/>
  <c r="BH310" i="12"/>
  <c r="BH309" i="12"/>
  <c r="BH308" i="12"/>
  <c r="BH307" i="12"/>
  <c r="BH306" i="12"/>
  <c r="BH305" i="12"/>
  <c r="BH304" i="12"/>
  <c r="BH303" i="12"/>
  <c r="BH302" i="12"/>
  <c r="BH301" i="12"/>
  <c r="BH300" i="12"/>
  <c r="BH299" i="12"/>
  <c r="BH298" i="12"/>
  <c r="BH297" i="12"/>
  <c r="BH296" i="12"/>
  <c r="BH295" i="12"/>
  <c r="BH294" i="12"/>
  <c r="BH293" i="12"/>
  <c r="BH292" i="12"/>
  <c r="BH291" i="12"/>
  <c r="BH290" i="12"/>
  <c r="BH289" i="12"/>
  <c r="BH288" i="12"/>
  <c r="BH287" i="12"/>
  <c r="BH286" i="12"/>
  <c r="BH285" i="12"/>
  <c r="BH284" i="12"/>
  <c r="BH283" i="12"/>
  <c r="BH282" i="12"/>
  <c r="BH281" i="12"/>
  <c r="BH280" i="12"/>
  <c r="BH279" i="12"/>
  <c r="BH278" i="12"/>
  <c r="BH277" i="12"/>
  <c r="BH276" i="12"/>
  <c r="BH275" i="12"/>
  <c r="BH274" i="12"/>
  <c r="BH273" i="12"/>
  <c r="BH272" i="12"/>
  <c r="BH271" i="12"/>
  <c r="BH270" i="12"/>
  <c r="BH269" i="12"/>
  <c r="BH268" i="12"/>
  <c r="BH267" i="12"/>
  <c r="BH266" i="12"/>
  <c r="BH265" i="12"/>
  <c r="BH264" i="12"/>
  <c r="BH263" i="12"/>
  <c r="BH262" i="12"/>
  <c r="BH261" i="12"/>
  <c r="BH260" i="12"/>
  <c r="BH259" i="12"/>
  <c r="BH258" i="12"/>
  <c r="BH257" i="12"/>
  <c r="BH256" i="12"/>
  <c r="BH255" i="12"/>
  <c r="BH254" i="12"/>
  <c r="BH253" i="12"/>
  <c r="BH252" i="12"/>
  <c r="BH251" i="12"/>
  <c r="BH250" i="12"/>
  <c r="BH249" i="12"/>
  <c r="BH248" i="12"/>
  <c r="BH247" i="12"/>
  <c r="BH246" i="12"/>
  <c r="BH245" i="12"/>
  <c r="BH244" i="12"/>
  <c r="BH243" i="12"/>
  <c r="BH242" i="12"/>
  <c r="BH241" i="12"/>
  <c r="BH240" i="12"/>
  <c r="BH239" i="12"/>
  <c r="BH238" i="12"/>
  <c r="BH237" i="12"/>
  <c r="BH236" i="12"/>
  <c r="BH235" i="12"/>
  <c r="BH234" i="12"/>
  <c r="BH233" i="12"/>
  <c r="BH232" i="12"/>
  <c r="BH231" i="12"/>
  <c r="BH230" i="12"/>
  <c r="BH229" i="12"/>
  <c r="BH228" i="12"/>
  <c r="BH227" i="12"/>
  <c r="BH226" i="12"/>
  <c r="BH225" i="12"/>
  <c r="BH224" i="12"/>
  <c r="BH223" i="12"/>
  <c r="BH222" i="12"/>
  <c r="BH221" i="12"/>
  <c r="BH220" i="12"/>
  <c r="BH219" i="12"/>
  <c r="BH218" i="12"/>
  <c r="BH217" i="12"/>
  <c r="BH216" i="12"/>
  <c r="BH215" i="12"/>
  <c r="BH214" i="12"/>
  <c r="BH213" i="12"/>
  <c r="BH212" i="12"/>
  <c r="BH211" i="12"/>
  <c r="BH210" i="12"/>
  <c r="BH209" i="12"/>
  <c r="BH208" i="12"/>
  <c r="BH207" i="12"/>
  <c r="BH206" i="12"/>
  <c r="BH205" i="12"/>
  <c r="BH204" i="12"/>
  <c r="BH203" i="12"/>
  <c r="BH202" i="12"/>
  <c r="BH201" i="12"/>
  <c r="BH200" i="12"/>
  <c r="BH199" i="12"/>
  <c r="BH198" i="12"/>
  <c r="BH197" i="12"/>
  <c r="BH196" i="12"/>
  <c r="BH195" i="12"/>
  <c r="BH194" i="12"/>
  <c r="BH193" i="12"/>
  <c r="BH192" i="12"/>
  <c r="BH191" i="12"/>
  <c r="BH190" i="12"/>
  <c r="BH189" i="12"/>
  <c r="BH188" i="12"/>
  <c r="BH187" i="12"/>
  <c r="BH186" i="12"/>
  <c r="BH185" i="12"/>
  <c r="BH184" i="12"/>
  <c r="BH183" i="12"/>
  <c r="BH182" i="12"/>
  <c r="BH181" i="12"/>
  <c r="BH180" i="12"/>
  <c r="BH179" i="12"/>
  <c r="BH178" i="12"/>
  <c r="BH177" i="12"/>
  <c r="BH176" i="12"/>
  <c r="BH175" i="12"/>
  <c r="BH174" i="12"/>
  <c r="BH173" i="12"/>
  <c r="BH172" i="12"/>
  <c r="BH171" i="12"/>
  <c r="BH170" i="12"/>
  <c r="BH169" i="12"/>
  <c r="BH168" i="12"/>
  <c r="BH167" i="12"/>
  <c r="BH166" i="12"/>
  <c r="BH165" i="12"/>
  <c r="BH164" i="12"/>
  <c r="BH163" i="12"/>
  <c r="BH162" i="12"/>
  <c r="BH161" i="12"/>
  <c r="BH160" i="12"/>
  <c r="BH159" i="12"/>
  <c r="BH158" i="12"/>
  <c r="BH157" i="12"/>
  <c r="BH156" i="12"/>
  <c r="BH155" i="12"/>
  <c r="BH154" i="12"/>
  <c r="BH153" i="12"/>
  <c r="BH152" i="12"/>
  <c r="BH151" i="12"/>
  <c r="BH150" i="12"/>
  <c r="BH149" i="12"/>
  <c r="BH148" i="12"/>
  <c r="BH147" i="12"/>
  <c r="BH146" i="12"/>
  <c r="BH145" i="12"/>
  <c r="BH144" i="12"/>
  <c r="BH143" i="12"/>
  <c r="BH142" i="12"/>
  <c r="BH141" i="12"/>
  <c r="BH140" i="12"/>
  <c r="BH139" i="12"/>
  <c r="BH138" i="12"/>
  <c r="BH137" i="12"/>
  <c r="BH136" i="12"/>
  <c r="BH135" i="12"/>
  <c r="BH134" i="12"/>
  <c r="BH133" i="12"/>
  <c r="BH132" i="12"/>
  <c r="BH131" i="12"/>
  <c r="BH130" i="12"/>
  <c r="BH129" i="12"/>
  <c r="BH128" i="12"/>
  <c r="BH127" i="12"/>
  <c r="BH126" i="12"/>
  <c r="BH125" i="12"/>
  <c r="BH124" i="12"/>
  <c r="BH123" i="12"/>
  <c r="BH122" i="12"/>
  <c r="BH121" i="12"/>
  <c r="BH120" i="12"/>
  <c r="BH119" i="12"/>
  <c r="BH118" i="12"/>
  <c r="BH117" i="12"/>
  <c r="BH116" i="12"/>
  <c r="BH115" i="12"/>
  <c r="BH114" i="12"/>
  <c r="BH113" i="12"/>
  <c r="BH112" i="12"/>
  <c r="BH111" i="12"/>
  <c r="BH110" i="12"/>
  <c r="BH109" i="12"/>
  <c r="BH108" i="12"/>
  <c r="BH107" i="12"/>
  <c r="BH106" i="12"/>
  <c r="BH105" i="12"/>
  <c r="BH104" i="12"/>
  <c r="BH103" i="12"/>
  <c r="BH102" i="12"/>
  <c r="BH101" i="12"/>
  <c r="BH100" i="12"/>
  <c r="BH99" i="12"/>
  <c r="BH98" i="12"/>
  <c r="BH97" i="12"/>
  <c r="BH96" i="12"/>
  <c r="BH95" i="12"/>
  <c r="BH94" i="12"/>
  <c r="BH93" i="12"/>
  <c r="BH92" i="12"/>
  <c r="BH91" i="12"/>
  <c r="BH90" i="12"/>
  <c r="BH89" i="12"/>
  <c r="BH88" i="12"/>
  <c r="BH87" i="12"/>
  <c r="BH86" i="12"/>
  <c r="BH85" i="12"/>
  <c r="BH84" i="12"/>
  <c r="BH83" i="12"/>
  <c r="BH82" i="12"/>
  <c r="BH81" i="12"/>
  <c r="BH80" i="12"/>
  <c r="BH79" i="12"/>
  <c r="BH78" i="12"/>
  <c r="BH77" i="12"/>
  <c r="BH76" i="12"/>
  <c r="BH75" i="12"/>
  <c r="BH74" i="12"/>
  <c r="BH73" i="12"/>
  <c r="BH72" i="12"/>
  <c r="BH71" i="12"/>
  <c r="BH70" i="12"/>
  <c r="BH69" i="12"/>
  <c r="BH68" i="12"/>
  <c r="BH67" i="12"/>
  <c r="BH66" i="12"/>
  <c r="BH65" i="12"/>
  <c r="BH64" i="12"/>
  <c r="BH63" i="12"/>
  <c r="BH62" i="12"/>
  <c r="BH61" i="12"/>
  <c r="BH60" i="12"/>
  <c r="BH59" i="12"/>
  <c r="BH58" i="12"/>
  <c r="BH57" i="12"/>
  <c r="BH56" i="12"/>
  <c r="BH55" i="12"/>
  <c r="BH54" i="12"/>
  <c r="BH53" i="12"/>
  <c r="BH52" i="12"/>
  <c r="BH51" i="12"/>
  <c r="BH50" i="12"/>
  <c r="BH49" i="12"/>
  <c r="BH48" i="12"/>
  <c r="BH47" i="12"/>
  <c r="BH46" i="12"/>
  <c r="BH45" i="12"/>
  <c r="BH44" i="12"/>
  <c r="BH43" i="12"/>
  <c r="BH42" i="12"/>
  <c r="BH41" i="12"/>
  <c r="BH40" i="12"/>
  <c r="BH39" i="12"/>
  <c r="BH38" i="12"/>
  <c r="BH37" i="12"/>
  <c r="BH36" i="12"/>
  <c r="BH35" i="12"/>
  <c r="BH34" i="12"/>
  <c r="BH33" i="12"/>
  <c r="BH32" i="12"/>
  <c r="BH31" i="12"/>
  <c r="BH30" i="12"/>
  <c r="BH29" i="12"/>
  <c r="BH28" i="12"/>
  <c r="BH27" i="12"/>
  <c r="BH26" i="12"/>
  <c r="BH25" i="12"/>
  <c r="BH24" i="12"/>
  <c r="BH23" i="12"/>
  <c r="BH22" i="12"/>
  <c r="BH21" i="12"/>
  <c r="BH20" i="12"/>
  <c r="BH19" i="12"/>
  <c r="BH18" i="12"/>
  <c r="BH17" i="12"/>
  <c r="BH16" i="12"/>
  <c r="BH15" i="12"/>
  <c r="BH14" i="12"/>
  <c r="BH13" i="12"/>
  <c r="BH12" i="12"/>
  <c r="BH11" i="12"/>
  <c r="BH10" i="12"/>
  <c r="BH9" i="12"/>
  <c r="BH8" i="12"/>
  <c r="BH7" i="12"/>
  <c r="BH6" i="12"/>
  <c r="BH5" i="12"/>
  <c r="BH4" i="12"/>
  <c r="BH3" i="12"/>
  <c r="BH2" i="12"/>
  <c r="AK2" i="12" l="1"/>
  <c r="AK3" i="12"/>
  <c r="AK4" i="12"/>
  <c r="AK5" i="12"/>
  <c r="AK6" i="12"/>
  <c r="AK7" i="12"/>
  <c r="AK8" i="12"/>
  <c r="AK9" i="12"/>
  <c r="AK10" i="12"/>
  <c r="AK11" i="12"/>
  <c r="AK12" i="12"/>
  <c r="AK13" i="12"/>
  <c r="AK14" i="12"/>
  <c r="AK15" i="12"/>
  <c r="AK16" i="12"/>
  <c r="AK17" i="12"/>
  <c r="AK18" i="12"/>
  <c r="AK19" i="12"/>
  <c r="AK20" i="12"/>
  <c r="AK21" i="12"/>
  <c r="AK22" i="12"/>
  <c r="AK23" i="12"/>
  <c r="AK24" i="12"/>
  <c r="AK25" i="12"/>
  <c r="AK26" i="12"/>
  <c r="AK27" i="12"/>
  <c r="AK28" i="12"/>
  <c r="AK29" i="12"/>
  <c r="AK30" i="12"/>
  <c r="AK31" i="12"/>
  <c r="AK32" i="12"/>
  <c r="AK33" i="12"/>
  <c r="AK34" i="12"/>
  <c r="AK36" i="12"/>
  <c r="AK37" i="12"/>
  <c r="AK38" i="12"/>
  <c r="AK39" i="12"/>
  <c r="AK40" i="12"/>
  <c r="AK41" i="12"/>
  <c r="AK42" i="12"/>
  <c r="AK43" i="12"/>
  <c r="AK44" i="12"/>
  <c r="AK45" i="12"/>
  <c r="AK46" i="12"/>
  <c r="AK47" i="12"/>
  <c r="AK48" i="12"/>
  <c r="AK49" i="12"/>
  <c r="AK50" i="12"/>
  <c r="AK51" i="12"/>
  <c r="AK52" i="12"/>
  <c r="AK53" i="12"/>
  <c r="AK54" i="12"/>
  <c r="AK55" i="12"/>
  <c r="AK56" i="12"/>
  <c r="AK57" i="12"/>
  <c r="AK58" i="12"/>
  <c r="AK59" i="12"/>
  <c r="AK60" i="12"/>
  <c r="AK61" i="12"/>
  <c r="AK62" i="12"/>
  <c r="AK63" i="12"/>
  <c r="AK64" i="12"/>
  <c r="AK66" i="12"/>
  <c r="AK67" i="12"/>
  <c r="AK68" i="12"/>
  <c r="AK69" i="12"/>
  <c r="AK70" i="12"/>
  <c r="AK71" i="12"/>
  <c r="AK72" i="12"/>
  <c r="AK73" i="12"/>
  <c r="AK74" i="12"/>
  <c r="AK75" i="12"/>
  <c r="AK76" i="12"/>
  <c r="AK77" i="12"/>
  <c r="AK78" i="12"/>
  <c r="AK79" i="12"/>
  <c r="AK81" i="12"/>
  <c r="AK82" i="12"/>
  <c r="AK83" i="12"/>
  <c r="AK84" i="12"/>
  <c r="AK85" i="12"/>
  <c r="AK86" i="12"/>
  <c r="AK87" i="12"/>
  <c r="AK88" i="12"/>
  <c r="AK89" i="12"/>
  <c r="AK90" i="12"/>
  <c r="AK91" i="12"/>
  <c r="AK92" i="12"/>
  <c r="AK93" i="12"/>
  <c r="AK94" i="12"/>
  <c r="AK95" i="12"/>
  <c r="AK96" i="12"/>
  <c r="AK97" i="12"/>
  <c r="AK98" i="12"/>
  <c r="AK99" i="12"/>
  <c r="AK100" i="12"/>
  <c r="AK101" i="12"/>
  <c r="AK102" i="12"/>
  <c r="AK103" i="12"/>
  <c r="AK104" i="12"/>
  <c r="AK105" i="12"/>
  <c r="AK106" i="12"/>
  <c r="AK107" i="12"/>
  <c r="AK108" i="12"/>
  <c r="AK109" i="12"/>
  <c r="AK110" i="12"/>
  <c r="AK111" i="12"/>
  <c r="AK112" i="12"/>
  <c r="AK113" i="12"/>
  <c r="AK114" i="12"/>
  <c r="AK115" i="12"/>
  <c r="AK116" i="12"/>
  <c r="AK117" i="12"/>
  <c r="AK118" i="12"/>
  <c r="AK119" i="12"/>
  <c r="AK120" i="12"/>
  <c r="AK121" i="12"/>
  <c r="AK122" i="12"/>
  <c r="AK123" i="12"/>
  <c r="AK124" i="12"/>
  <c r="AK125" i="12"/>
  <c r="AK126" i="12"/>
  <c r="AK127" i="12"/>
  <c r="AK128" i="12"/>
  <c r="AK129" i="12"/>
  <c r="AK130" i="12"/>
  <c r="AK131" i="12"/>
  <c r="AK132" i="12"/>
  <c r="AK133" i="12"/>
  <c r="AK134" i="12"/>
  <c r="AK135" i="12"/>
  <c r="AK136" i="12"/>
  <c r="AK137" i="12"/>
  <c r="AK138" i="12"/>
  <c r="AK139" i="12"/>
  <c r="AK140" i="12"/>
  <c r="AK141" i="12"/>
  <c r="AK142" i="12"/>
  <c r="AK143" i="12"/>
  <c r="AK144" i="12"/>
  <c r="AK145" i="12"/>
  <c r="AK146" i="12"/>
  <c r="AK147" i="12"/>
  <c r="AK148" i="12"/>
  <c r="AK149" i="12"/>
  <c r="AK150" i="12"/>
  <c r="AK151" i="12"/>
  <c r="AK152" i="12"/>
  <c r="AK153" i="12"/>
  <c r="AK155" i="12"/>
  <c r="AK156" i="12"/>
  <c r="AK157" i="12"/>
  <c r="AK158" i="12"/>
  <c r="AK159" i="12"/>
  <c r="AK160" i="12"/>
  <c r="AK161" i="12"/>
  <c r="AK162" i="12"/>
  <c r="AK163" i="12"/>
  <c r="AK164" i="12"/>
  <c r="AK165" i="12"/>
  <c r="AK166" i="12"/>
  <c r="AK167" i="12"/>
  <c r="AK168" i="12"/>
  <c r="AK169" i="12"/>
  <c r="AK170" i="12"/>
  <c r="AK171" i="12"/>
  <c r="AK172" i="12"/>
  <c r="AK173" i="12"/>
  <c r="AK174" i="12"/>
  <c r="AK175" i="12"/>
  <c r="AK176" i="12"/>
  <c r="AK177" i="12"/>
  <c r="AK178" i="12"/>
  <c r="AK179" i="12"/>
  <c r="AK180" i="12"/>
  <c r="AK181" i="12"/>
  <c r="AK182" i="12"/>
  <c r="AK183" i="12"/>
  <c r="AK184" i="12"/>
  <c r="AK185" i="12"/>
  <c r="AK186" i="12"/>
  <c r="AK187" i="12"/>
  <c r="AK188" i="12"/>
  <c r="AK189" i="12"/>
  <c r="AK190" i="12"/>
  <c r="AK191" i="12"/>
  <c r="AK192" i="12"/>
  <c r="AK193" i="12"/>
  <c r="AK194" i="12"/>
  <c r="AK195" i="12"/>
  <c r="AK196" i="12"/>
  <c r="AK197" i="12"/>
  <c r="AK198" i="12"/>
  <c r="AK199" i="12"/>
  <c r="AK200" i="12"/>
  <c r="AK201" i="12"/>
  <c r="AK202" i="12"/>
  <c r="AK203" i="12"/>
  <c r="AK204" i="12"/>
  <c r="AK205" i="12"/>
  <c r="AK206" i="12"/>
  <c r="AK207" i="12"/>
  <c r="AK208" i="12"/>
  <c r="AK209" i="12"/>
  <c r="AK210" i="12"/>
  <c r="AK211" i="12"/>
  <c r="AK212" i="12"/>
  <c r="AK213" i="12"/>
  <c r="AK214" i="12"/>
  <c r="AK215" i="12"/>
  <c r="AK216" i="12"/>
  <c r="AK217" i="12"/>
  <c r="AK218" i="12"/>
  <c r="AK219" i="12"/>
  <c r="AK220" i="12"/>
  <c r="AK221" i="12"/>
  <c r="AK222" i="12"/>
  <c r="AK223" i="12"/>
  <c r="AK224" i="12"/>
  <c r="AK225" i="12"/>
  <c r="AK226" i="12"/>
  <c r="AK227" i="12"/>
  <c r="AK228" i="12"/>
  <c r="AK229" i="12"/>
  <c r="AK230" i="12"/>
  <c r="AK231" i="12"/>
  <c r="AK232" i="12"/>
  <c r="AK233" i="12"/>
  <c r="AK234" i="12"/>
  <c r="AK235" i="12"/>
  <c r="AK236" i="12"/>
  <c r="AK237" i="12"/>
  <c r="AK238" i="12"/>
  <c r="AK239" i="12"/>
  <c r="AK240" i="12"/>
  <c r="AK241" i="12"/>
  <c r="AK242" i="12"/>
  <c r="AK243" i="12"/>
  <c r="AK244" i="12"/>
  <c r="AK245" i="12"/>
  <c r="AK246" i="12"/>
  <c r="AK247" i="12"/>
  <c r="AK248" i="12"/>
  <c r="AK249" i="12"/>
  <c r="AK250" i="12"/>
  <c r="AK251" i="12"/>
  <c r="AK252" i="12"/>
  <c r="AK253" i="12"/>
  <c r="AK254" i="12"/>
  <c r="AK255" i="12"/>
  <c r="AK256" i="12"/>
  <c r="AK257" i="12"/>
  <c r="AK258" i="12"/>
  <c r="AK259" i="12"/>
  <c r="AK260" i="12"/>
  <c r="AK261" i="12"/>
  <c r="AK262" i="12"/>
  <c r="AK263" i="12"/>
  <c r="AK264" i="12"/>
  <c r="AK265" i="12"/>
  <c r="AK266" i="12"/>
  <c r="AK267" i="12"/>
  <c r="AK268" i="12"/>
  <c r="AK269" i="12"/>
  <c r="AK270" i="12"/>
  <c r="AK271" i="12"/>
  <c r="AK272" i="12"/>
  <c r="AK273" i="12"/>
  <c r="AK274" i="12"/>
  <c r="AK275" i="12"/>
  <c r="AK276" i="12"/>
  <c r="AK277" i="12"/>
  <c r="AK278" i="12"/>
  <c r="AK279" i="12"/>
  <c r="AK280" i="12"/>
  <c r="AK281" i="12"/>
  <c r="AK282" i="12"/>
  <c r="AK283" i="12"/>
  <c r="AK284" i="12"/>
  <c r="AK285" i="12"/>
  <c r="AK286" i="12"/>
  <c r="AK287" i="12"/>
  <c r="AK288" i="12"/>
  <c r="AK289" i="12"/>
  <c r="AK290" i="12"/>
  <c r="AK291" i="12"/>
  <c r="AK292" i="12"/>
  <c r="AK293" i="12"/>
  <c r="AK294" i="12"/>
  <c r="AK295" i="12"/>
  <c r="AK296" i="12"/>
  <c r="AK297" i="12"/>
  <c r="AK298" i="12"/>
  <c r="AK299" i="12"/>
  <c r="AK300" i="12"/>
  <c r="AK301" i="12"/>
  <c r="AK302" i="12"/>
  <c r="AK303" i="12"/>
  <c r="AK304" i="12"/>
  <c r="AK305" i="12"/>
  <c r="AK306" i="12"/>
  <c r="AK307" i="12"/>
  <c r="AK308" i="12"/>
  <c r="AK309" i="12"/>
  <c r="AK310" i="12"/>
  <c r="AK311" i="12"/>
  <c r="AK312" i="12"/>
  <c r="AK313" i="12"/>
  <c r="AK314" i="12"/>
  <c r="AK315" i="12"/>
  <c r="AK316" i="12"/>
  <c r="AK317" i="12"/>
  <c r="AK318" i="12"/>
  <c r="AK319" i="12"/>
  <c r="AK320" i="12"/>
  <c r="AK321" i="12"/>
  <c r="AK322" i="12"/>
  <c r="AK323" i="12"/>
  <c r="AK324" i="12"/>
  <c r="AK325" i="12"/>
  <c r="AK326" i="12"/>
  <c r="AK327" i="12"/>
  <c r="AK328" i="12"/>
  <c r="AK329" i="12"/>
  <c r="AK330" i="12"/>
  <c r="AK331" i="12"/>
  <c r="AK332" i="12"/>
  <c r="AK333" i="12"/>
  <c r="AK334" i="12"/>
  <c r="AK335" i="12"/>
  <c r="AK336" i="12"/>
  <c r="AK337" i="12"/>
  <c r="AK338" i="12"/>
  <c r="AK339" i="12"/>
  <c r="AK340" i="12"/>
  <c r="AK341" i="12"/>
  <c r="AK342" i="12"/>
  <c r="AK343" i="12"/>
  <c r="AK344" i="12"/>
  <c r="AK345" i="12"/>
  <c r="AK346" i="12"/>
  <c r="AK347" i="12"/>
  <c r="AK348" i="12"/>
  <c r="AK349" i="12"/>
  <c r="AK350" i="12"/>
  <c r="AK351" i="12"/>
  <c r="AK352" i="12"/>
  <c r="AK353" i="12"/>
  <c r="AK354" i="12"/>
  <c r="AK355" i="12"/>
  <c r="AK356" i="12"/>
  <c r="AK357" i="12"/>
  <c r="AK358" i="12"/>
  <c r="AK359" i="12"/>
  <c r="AK360" i="12"/>
  <c r="AK361" i="12"/>
  <c r="AK362" i="12"/>
  <c r="AK363" i="12"/>
  <c r="AK364" i="12"/>
  <c r="AK365" i="12"/>
  <c r="AK366" i="12"/>
  <c r="AK367" i="12"/>
  <c r="AK368" i="12"/>
  <c r="AK369" i="12"/>
  <c r="AK370" i="12"/>
  <c r="AK371" i="12"/>
  <c r="AK372" i="12"/>
  <c r="AK373" i="12"/>
  <c r="AK374" i="12"/>
  <c r="AK375" i="12"/>
  <c r="AK376" i="12"/>
  <c r="AK377" i="12"/>
  <c r="AK378" i="12"/>
  <c r="AK379" i="12"/>
  <c r="AK380" i="12"/>
  <c r="AK381" i="12"/>
  <c r="AK382" i="12"/>
  <c r="AK383" i="12"/>
  <c r="AK384" i="12"/>
  <c r="AK385" i="12"/>
  <c r="AK386" i="12"/>
  <c r="AK387" i="12"/>
  <c r="AK388" i="12"/>
  <c r="AK389" i="12"/>
  <c r="AK390" i="12"/>
  <c r="AK391" i="12"/>
  <c r="AK392" i="12"/>
  <c r="AK393" i="12"/>
  <c r="AK394" i="12"/>
  <c r="AK395" i="12"/>
  <c r="AK396" i="12"/>
  <c r="AK397" i="12"/>
  <c r="AK398" i="12"/>
  <c r="AK399" i="12"/>
  <c r="AK400" i="12"/>
  <c r="AK401" i="12"/>
  <c r="AK402" i="12"/>
  <c r="AK403" i="12"/>
  <c r="AK404" i="12"/>
  <c r="AK405" i="12"/>
  <c r="AK406" i="12"/>
  <c r="AK407" i="12"/>
  <c r="AK408" i="12"/>
  <c r="AK409" i="12"/>
  <c r="AK410" i="12"/>
  <c r="AK411" i="12"/>
  <c r="AK412" i="12"/>
  <c r="AK413" i="12"/>
  <c r="AK414" i="12"/>
  <c r="AK415" i="12"/>
  <c r="AK416" i="12"/>
  <c r="AK417" i="12"/>
  <c r="AK418" i="12"/>
  <c r="AK419" i="12"/>
  <c r="AK420" i="12"/>
  <c r="AK421" i="12"/>
  <c r="AK422" i="12"/>
  <c r="AK423" i="12"/>
  <c r="AK424" i="12"/>
  <c r="AK425" i="12"/>
  <c r="AK426" i="12"/>
  <c r="AK427" i="12"/>
  <c r="AK428" i="12"/>
  <c r="AK429" i="12"/>
  <c r="AK430" i="12"/>
  <c r="AK431" i="12"/>
  <c r="AK432" i="12"/>
  <c r="AK433" i="12"/>
  <c r="AK434" i="12"/>
  <c r="AK435" i="12"/>
  <c r="AK436" i="12"/>
  <c r="AK437" i="12"/>
  <c r="AK438" i="12"/>
  <c r="AK439" i="12"/>
  <c r="AK440" i="12"/>
  <c r="AK441" i="12"/>
  <c r="AK442" i="12"/>
  <c r="AK443" i="12"/>
  <c r="AK444" i="12"/>
  <c r="AK445" i="12"/>
  <c r="AK446" i="12"/>
  <c r="AK447" i="12"/>
  <c r="AK448" i="12"/>
  <c r="AK449" i="12"/>
  <c r="AK450" i="12"/>
  <c r="AK451" i="12"/>
  <c r="AK452" i="12"/>
  <c r="AK453" i="12"/>
  <c r="AK454" i="12"/>
  <c r="AK455" i="12"/>
  <c r="AK456" i="12"/>
  <c r="AK457" i="12"/>
  <c r="AK458" i="12"/>
  <c r="AK459" i="12"/>
  <c r="AK460" i="12"/>
  <c r="AK461" i="12"/>
  <c r="AK462" i="12"/>
  <c r="AK463" i="12"/>
  <c r="AK464" i="12"/>
  <c r="AK465" i="12"/>
  <c r="AK466" i="12"/>
  <c r="AK467" i="12"/>
  <c r="AK468" i="12"/>
  <c r="AK469" i="12"/>
  <c r="AK470" i="12"/>
  <c r="AK471" i="12"/>
  <c r="AK472" i="12"/>
  <c r="AK473" i="12"/>
  <c r="AK474" i="12"/>
  <c r="AK475" i="12"/>
  <c r="AK476" i="12"/>
  <c r="AK477" i="12"/>
  <c r="AK478" i="12"/>
  <c r="AK479" i="12"/>
  <c r="AK480" i="12"/>
  <c r="AK481" i="12"/>
  <c r="AK482" i="12"/>
  <c r="AK483" i="12"/>
  <c r="AK484" i="12"/>
  <c r="AK485" i="12"/>
  <c r="AK486" i="12"/>
  <c r="AK487" i="12"/>
  <c r="AK488" i="12"/>
  <c r="AK489" i="12"/>
  <c r="AK490" i="12"/>
  <c r="AK491" i="12"/>
  <c r="AK492" i="12"/>
  <c r="AK493" i="12"/>
  <c r="AK494" i="12"/>
  <c r="AK495" i="12"/>
  <c r="AK496" i="12"/>
  <c r="AK497" i="12"/>
  <c r="AK498" i="12"/>
  <c r="AK499" i="12"/>
  <c r="AK500" i="12"/>
  <c r="AK501" i="12"/>
  <c r="AK502" i="12"/>
  <c r="AK503" i="12"/>
  <c r="AK504" i="12"/>
  <c r="AK505" i="12"/>
  <c r="AK506" i="12"/>
  <c r="AK507" i="12"/>
  <c r="AK508" i="12"/>
  <c r="AK509" i="12"/>
  <c r="AK510" i="12"/>
  <c r="AK511" i="12"/>
  <c r="AK512" i="12"/>
  <c r="AK513" i="12"/>
  <c r="AK514" i="12"/>
  <c r="AK515" i="12"/>
  <c r="AK516" i="12"/>
  <c r="AK517" i="12"/>
  <c r="AK518" i="12"/>
  <c r="AK519" i="12"/>
  <c r="AK520" i="12"/>
  <c r="AK521" i="12"/>
  <c r="AK522" i="12"/>
  <c r="AK523" i="12"/>
  <c r="AK524" i="12"/>
  <c r="AK525" i="12"/>
  <c r="AK526" i="12"/>
  <c r="AK527" i="12"/>
  <c r="AK528" i="12"/>
  <c r="AK529" i="12"/>
  <c r="AK530" i="12"/>
  <c r="AK531" i="12"/>
  <c r="AK532" i="12"/>
  <c r="AK533" i="12"/>
  <c r="AK534" i="12"/>
  <c r="AK535" i="12"/>
  <c r="AK536" i="12"/>
  <c r="AK537" i="12"/>
  <c r="AK538" i="12"/>
  <c r="AK539" i="12"/>
  <c r="AK540" i="12"/>
  <c r="AK541" i="12"/>
  <c r="AK542" i="12"/>
  <c r="AK543" i="12"/>
  <c r="AK544" i="12"/>
  <c r="AK545" i="12"/>
  <c r="AK546" i="12"/>
  <c r="AK547" i="12"/>
  <c r="AK548" i="12"/>
  <c r="AK549" i="12"/>
  <c r="AK550" i="12"/>
  <c r="AK551" i="12"/>
  <c r="AK552" i="12"/>
  <c r="AK553" i="12"/>
  <c r="AK554" i="12"/>
  <c r="AK555" i="12"/>
  <c r="AK556" i="12"/>
  <c r="AK557" i="12"/>
  <c r="AK558" i="12"/>
  <c r="AK559" i="12"/>
  <c r="AK560" i="12"/>
  <c r="AK561" i="12"/>
  <c r="AK562" i="12"/>
  <c r="AK563" i="12"/>
  <c r="AK564" i="12"/>
  <c r="AK565" i="12"/>
  <c r="AK566" i="12"/>
  <c r="AK567" i="12"/>
  <c r="AK568" i="12"/>
  <c r="AK569" i="12"/>
  <c r="AK570" i="12"/>
  <c r="AK571" i="12"/>
  <c r="AK572" i="12"/>
  <c r="AK573" i="12"/>
  <c r="AK574" i="12"/>
  <c r="AK575" i="12"/>
  <c r="AK576" i="12"/>
  <c r="AK577" i="12"/>
  <c r="AK578" i="12"/>
  <c r="AK579" i="12"/>
  <c r="AK580" i="12"/>
  <c r="AK581" i="12"/>
  <c r="AK582" i="12"/>
  <c r="AK583" i="12"/>
  <c r="AK584" i="12"/>
  <c r="AK585" i="12"/>
  <c r="AK586" i="12"/>
  <c r="AK587" i="12"/>
  <c r="AK588" i="12"/>
  <c r="AK589" i="12"/>
  <c r="AK590" i="12"/>
  <c r="AK591" i="12"/>
  <c r="AK592" i="12"/>
  <c r="AK593" i="12"/>
  <c r="AK594" i="12"/>
  <c r="AK595" i="12"/>
  <c r="AK596" i="12"/>
  <c r="AK597" i="12"/>
  <c r="AK598" i="12"/>
  <c r="AK599" i="12"/>
  <c r="AK600" i="12"/>
  <c r="AK601" i="12"/>
  <c r="AK602" i="12"/>
  <c r="AK603" i="12"/>
  <c r="AK604" i="12"/>
  <c r="AK605" i="12"/>
  <c r="AK606" i="12"/>
  <c r="AK607" i="12"/>
  <c r="AK608" i="12"/>
  <c r="AK609" i="12"/>
  <c r="AK610" i="12"/>
  <c r="AK611" i="12"/>
  <c r="AK612" i="12"/>
  <c r="AK613" i="12"/>
  <c r="AK614" i="12"/>
  <c r="AK615" i="12"/>
  <c r="AK616" i="12"/>
  <c r="AK617" i="12"/>
  <c r="AK618" i="12"/>
  <c r="AK619" i="12"/>
  <c r="AK620" i="12"/>
  <c r="AK621" i="12"/>
  <c r="AK622" i="12"/>
  <c r="AK623" i="12"/>
  <c r="AK624" i="12"/>
  <c r="AK625" i="12"/>
  <c r="AK626" i="12"/>
  <c r="AK627" i="12"/>
  <c r="AK628" i="12"/>
  <c r="AK629" i="12"/>
  <c r="AK630" i="12"/>
  <c r="AK631" i="12"/>
  <c r="AK632" i="12"/>
  <c r="AK633" i="12"/>
  <c r="AK634" i="12"/>
  <c r="AK635" i="12"/>
  <c r="AK636" i="12"/>
  <c r="AK637" i="12"/>
  <c r="AK638" i="12"/>
  <c r="AK639" i="12"/>
  <c r="AK640" i="12"/>
  <c r="AK641" i="12"/>
  <c r="AK642" i="12"/>
  <c r="AK643" i="12"/>
  <c r="AK644" i="12"/>
  <c r="AK645" i="12"/>
  <c r="AK646" i="12"/>
  <c r="AK647" i="12"/>
  <c r="AK648" i="12"/>
  <c r="AK649" i="12"/>
  <c r="AK650" i="12"/>
  <c r="AK651" i="12"/>
  <c r="AK652" i="12"/>
  <c r="AK653" i="12"/>
  <c r="AK654" i="12"/>
  <c r="AK655" i="12"/>
  <c r="AK656" i="12"/>
  <c r="AK657" i="12"/>
  <c r="AK658" i="12"/>
  <c r="AK659" i="12"/>
  <c r="AK660" i="12"/>
  <c r="AK661" i="12"/>
  <c r="AK662" i="12"/>
  <c r="AK663" i="12"/>
  <c r="AK664" i="12"/>
  <c r="AK665" i="12"/>
  <c r="AK666" i="12"/>
  <c r="AK667" i="12"/>
  <c r="AK668" i="12"/>
  <c r="AK669" i="12"/>
  <c r="AK670" i="12"/>
  <c r="AK671" i="12"/>
  <c r="AK672" i="12"/>
  <c r="AK673" i="12"/>
  <c r="AK674" i="12"/>
  <c r="AK675" i="12"/>
  <c r="AK676" i="12"/>
  <c r="AK677" i="12"/>
  <c r="AK678" i="12"/>
  <c r="AK679" i="12"/>
  <c r="AK680" i="12"/>
  <c r="AK681" i="12"/>
  <c r="AK682" i="12"/>
  <c r="AK683" i="12"/>
  <c r="AK684" i="12"/>
  <c r="AK685" i="12"/>
  <c r="AK686" i="12"/>
  <c r="AK687" i="12"/>
  <c r="AK688" i="12"/>
  <c r="AK689" i="12"/>
  <c r="AK690" i="12"/>
  <c r="AK691" i="12"/>
  <c r="AK692" i="12"/>
  <c r="AK693" i="12"/>
  <c r="AK694" i="12"/>
  <c r="AK695" i="12"/>
  <c r="AK696" i="12"/>
  <c r="AK697" i="12"/>
  <c r="AK698" i="12"/>
  <c r="AK699" i="12"/>
  <c r="AK700" i="12"/>
  <c r="AK701" i="12"/>
  <c r="AK702" i="12"/>
  <c r="AK703" i="12"/>
  <c r="AK704" i="12"/>
  <c r="AK705" i="12"/>
  <c r="AK706" i="12"/>
  <c r="AK707" i="12"/>
  <c r="AK708" i="12"/>
  <c r="AK709" i="12"/>
  <c r="AK710" i="12"/>
  <c r="AK711" i="12"/>
  <c r="AK712" i="12"/>
  <c r="AK713" i="12"/>
  <c r="AK714" i="12"/>
  <c r="AK715" i="12"/>
  <c r="AK716" i="12"/>
  <c r="AK717" i="12"/>
  <c r="AK718" i="12"/>
  <c r="AK719" i="12"/>
  <c r="AK720" i="12"/>
  <c r="AK721" i="12"/>
  <c r="AK722" i="12"/>
  <c r="AK723" i="12"/>
  <c r="AK724" i="12"/>
  <c r="AK725" i="12"/>
  <c r="AK726" i="12"/>
  <c r="AK727" i="12"/>
  <c r="AK728" i="12"/>
  <c r="AK729" i="12"/>
  <c r="AK730" i="12"/>
  <c r="AK731" i="12"/>
  <c r="AK732" i="12"/>
  <c r="AK733" i="12"/>
  <c r="AK734" i="12"/>
  <c r="AK735" i="12"/>
  <c r="AK736" i="12"/>
  <c r="AK737" i="12"/>
  <c r="AK738" i="12"/>
  <c r="AK739" i="12"/>
  <c r="AK740" i="12"/>
  <c r="AK741" i="12"/>
  <c r="AK742" i="12"/>
  <c r="AK743" i="12"/>
  <c r="AK744" i="12"/>
  <c r="AK745" i="12"/>
  <c r="AK746" i="12"/>
  <c r="AK747" i="12"/>
  <c r="AK748" i="12"/>
  <c r="AK749" i="12"/>
  <c r="AK750" i="12"/>
  <c r="AK751" i="12"/>
  <c r="AK752" i="12"/>
  <c r="AK753" i="12"/>
  <c r="AK754" i="12"/>
  <c r="AK755" i="12"/>
  <c r="AK756" i="12"/>
  <c r="AK757" i="12"/>
  <c r="AK758" i="12"/>
  <c r="AK759" i="12"/>
  <c r="AK760" i="12"/>
  <c r="AK761" i="12"/>
  <c r="AK762" i="12"/>
  <c r="AK763" i="12"/>
  <c r="AK764" i="12"/>
  <c r="AK765" i="12"/>
  <c r="AK766" i="12"/>
  <c r="AK767" i="12"/>
  <c r="AK768" i="12"/>
  <c r="AK769" i="12"/>
  <c r="AK770" i="12"/>
  <c r="AK771" i="12"/>
  <c r="AK772" i="12"/>
  <c r="AK773" i="12"/>
  <c r="AK774" i="12"/>
  <c r="AK775" i="12"/>
  <c r="AK776" i="12"/>
  <c r="AK777" i="12"/>
  <c r="AK778" i="12"/>
  <c r="AK779" i="12"/>
  <c r="AK780" i="12"/>
  <c r="AK781" i="12"/>
  <c r="AK782" i="12"/>
  <c r="AK783" i="12"/>
  <c r="AK784" i="12"/>
  <c r="AK785" i="12"/>
  <c r="AK786" i="12"/>
  <c r="AK787" i="12"/>
  <c r="AK788" i="12"/>
  <c r="AK789" i="12"/>
  <c r="AK790" i="12"/>
  <c r="AK791" i="12"/>
  <c r="AK792" i="12"/>
  <c r="AK793" i="12"/>
  <c r="AK794" i="12"/>
  <c r="AK795" i="12"/>
  <c r="AK796" i="12"/>
  <c r="AK797" i="12"/>
  <c r="AK798" i="12"/>
  <c r="AK799" i="12"/>
  <c r="AK800" i="12"/>
  <c r="AK801" i="12"/>
  <c r="AK802" i="12"/>
  <c r="AK803" i="12"/>
  <c r="AK804" i="12"/>
  <c r="AK805" i="12"/>
  <c r="AK806" i="12"/>
  <c r="AK807" i="12"/>
  <c r="AK808" i="12"/>
  <c r="AK809" i="12"/>
  <c r="AK810" i="12"/>
  <c r="AK811" i="12"/>
  <c r="AK812" i="12"/>
  <c r="AK813" i="12"/>
  <c r="AK814" i="12"/>
  <c r="AK815" i="12"/>
  <c r="AK816" i="12"/>
  <c r="AK817" i="12"/>
  <c r="AK818" i="12"/>
  <c r="AK819" i="12"/>
  <c r="AK820" i="12"/>
  <c r="AK821" i="12"/>
  <c r="AK822" i="12"/>
  <c r="AK823" i="12"/>
  <c r="AK824" i="12"/>
  <c r="AK825" i="12"/>
  <c r="AK826" i="12"/>
  <c r="AK827" i="12"/>
  <c r="AK828" i="12"/>
  <c r="AK829" i="12"/>
  <c r="AK830" i="12"/>
  <c r="AK831" i="12"/>
  <c r="AK832" i="12"/>
  <c r="AK833" i="12"/>
  <c r="AK834" i="12"/>
  <c r="AK835" i="12"/>
  <c r="AK836" i="12"/>
  <c r="AK837" i="12"/>
  <c r="AK838" i="12"/>
  <c r="AK839" i="12"/>
  <c r="AK840" i="12"/>
  <c r="AK841" i="12"/>
  <c r="AK842" i="12"/>
  <c r="AK843" i="12"/>
  <c r="AK844" i="12"/>
  <c r="AK845" i="12"/>
  <c r="AK846" i="12"/>
  <c r="AK847" i="12"/>
  <c r="AK848" i="12"/>
  <c r="AK849" i="12"/>
  <c r="AK850" i="12"/>
  <c r="AK851" i="12"/>
  <c r="AK852" i="12"/>
  <c r="AK853" i="12"/>
  <c r="AK854" i="12"/>
  <c r="AK855" i="12"/>
  <c r="AK856" i="12"/>
  <c r="AK857" i="12"/>
  <c r="AK858" i="12"/>
  <c r="AK859" i="12"/>
  <c r="AK860" i="12"/>
  <c r="AK861" i="12"/>
  <c r="AK862" i="12"/>
  <c r="AK863" i="12"/>
  <c r="AK864" i="12"/>
  <c r="AK865" i="12"/>
  <c r="AK866" i="12"/>
  <c r="AK867" i="12"/>
  <c r="AK868" i="12"/>
  <c r="AK869" i="12"/>
  <c r="AK870" i="12"/>
  <c r="AK871" i="12"/>
  <c r="AK872" i="12"/>
  <c r="AK873" i="12"/>
  <c r="AK874" i="12"/>
  <c r="AK875" i="12"/>
  <c r="AK876" i="12"/>
  <c r="AK877" i="12"/>
  <c r="AK878" i="12"/>
  <c r="AK879" i="12"/>
  <c r="AK880" i="12"/>
  <c r="AK881" i="12"/>
  <c r="AK882" i="12"/>
  <c r="AK883" i="12"/>
  <c r="AK884" i="12"/>
  <c r="AK885" i="12"/>
  <c r="AK886" i="12"/>
  <c r="AK887" i="12"/>
  <c r="AK888" i="12"/>
  <c r="AK889" i="12"/>
  <c r="AK890" i="12"/>
  <c r="AK891" i="12"/>
  <c r="AK892" i="12"/>
  <c r="AK893" i="12"/>
  <c r="AK894" i="12"/>
  <c r="AK895" i="12"/>
  <c r="AK896" i="12"/>
  <c r="AK897" i="12"/>
  <c r="AK898" i="12"/>
  <c r="AK899" i="12"/>
  <c r="AK900" i="12"/>
  <c r="AK901" i="12"/>
  <c r="AK902" i="12"/>
  <c r="AK903" i="12"/>
  <c r="AK904" i="12"/>
  <c r="AK905" i="12"/>
  <c r="AK906" i="12"/>
  <c r="AK907" i="12"/>
  <c r="AK908" i="12"/>
  <c r="AK909" i="12"/>
  <c r="AK910" i="12"/>
  <c r="AK911" i="12"/>
  <c r="AK912" i="12"/>
  <c r="AK913" i="12"/>
  <c r="AK914" i="12"/>
  <c r="AK915" i="12"/>
  <c r="AK916" i="12"/>
  <c r="AK917" i="12"/>
  <c r="AK918" i="12"/>
  <c r="AK919" i="12"/>
  <c r="AK920" i="12"/>
  <c r="AK921" i="12"/>
  <c r="AK922" i="12"/>
  <c r="AK923" i="12"/>
  <c r="AK924" i="12"/>
  <c r="AK925" i="12"/>
  <c r="AK926" i="12"/>
  <c r="AK927" i="12"/>
  <c r="AK928" i="12"/>
  <c r="AK929" i="12"/>
  <c r="AK930" i="12"/>
  <c r="AK931" i="12"/>
  <c r="AK932" i="12"/>
  <c r="AK933" i="12"/>
  <c r="AK934" i="12"/>
  <c r="AK935" i="12"/>
  <c r="AK936" i="12"/>
  <c r="AK937" i="12"/>
  <c r="AK938" i="12"/>
  <c r="AK939" i="12"/>
  <c r="AK940" i="12"/>
  <c r="AK941" i="12"/>
  <c r="AK942" i="12"/>
  <c r="AK943" i="12"/>
  <c r="AK944" i="12"/>
  <c r="AK945" i="12"/>
  <c r="AK946" i="12"/>
  <c r="AK947" i="12"/>
  <c r="AK948" i="12"/>
  <c r="AK949" i="12"/>
  <c r="AK950" i="12"/>
  <c r="AK951" i="12"/>
  <c r="AK952" i="12"/>
  <c r="AK953" i="12"/>
  <c r="AK954" i="12"/>
  <c r="AK955" i="12"/>
  <c r="AK956" i="12"/>
  <c r="AK957" i="12"/>
  <c r="AK958" i="12"/>
  <c r="AK959" i="12"/>
  <c r="AK960" i="12"/>
  <c r="AK961" i="12"/>
  <c r="AK962" i="12"/>
  <c r="AK963" i="12"/>
  <c r="AK964" i="12"/>
  <c r="AK965" i="12"/>
  <c r="AK966" i="12"/>
  <c r="AK967" i="12"/>
  <c r="AK968" i="12"/>
  <c r="AK969" i="12"/>
  <c r="AK970" i="12"/>
  <c r="AK971" i="12"/>
  <c r="AK972" i="12"/>
  <c r="AK973" i="12"/>
  <c r="AK974" i="12"/>
  <c r="AK975" i="12"/>
  <c r="AK976" i="12"/>
  <c r="AK977" i="12"/>
  <c r="AK978" i="12"/>
  <c r="AK979" i="12"/>
  <c r="AK980" i="12"/>
  <c r="AK981" i="12"/>
  <c r="AK982" i="12"/>
  <c r="AK983" i="12"/>
  <c r="AK984" i="12"/>
  <c r="AK985" i="12"/>
  <c r="AK986" i="12"/>
  <c r="AK987" i="12"/>
  <c r="AK988" i="12"/>
  <c r="AK989" i="12"/>
  <c r="AK990" i="12"/>
  <c r="AK991" i="12"/>
  <c r="AK992" i="12"/>
  <c r="AK993" i="12"/>
  <c r="AK994" i="12"/>
  <c r="AK995" i="12"/>
  <c r="AK996" i="12"/>
  <c r="AK997" i="12"/>
  <c r="AK998" i="12"/>
  <c r="AK999" i="12"/>
  <c r="AK1000" i="12"/>
  <c r="AK1001" i="12"/>
  <c r="AK1002" i="12"/>
  <c r="AK1003" i="12"/>
  <c r="AK1004" i="12"/>
  <c r="AK1005" i="12"/>
  <c r="AK1006" i="12"/>
  <c r="AK1007" i="12"/>
  <c r="AK1008" i="12"/>
  <c r="AK1009" i="12"/>
  <c r="AK1010" i="12"/>
  <c r="AK1011" i="12"/>
  <c r="AK1012" i="12"/>
  <c r="AK1013" i="12"/>
  <c r="AK1014" i="12"/>
  <c r="AK1015" i="12"/>
  <c r="AK1016" i="12"/>
  <c r="AK1017" i="12"/>
  <c r="AK1018" i="12"/>
  <c r="AK1019" i="12"/>
  <c r="AK1020" i="12"/>
  <c r="AK1021" i="12"/>
  <c r="AK1022" i="12"/>
  <c r="AK1023" i="12"/>
  <c r="AK1024" i="12"/>
  <c r="AK1025" i="12"/>
  <c r="AK1026" i="12"/>
  <c r="AK1027" i="12"/>
  <c r="AK1028" i="12"/>
  <c r="AK1029" i="12"/>
  <c r="AK1030" i="12"/>
  <c r="AK1031" i="12"/>
  <c r="AK1032" i="12"/>
  <c r="AK1033" i="12"/>
  <c r="AK1034" i="12"/>
  <c r="AK1035" i="12"/>
  <c r="AK1036" i="12"/>
  <c r="AK1037" i="12"/>
  <c r="AK1038" i="12"/>
  <c r="AK1039" i="12"/>
  <c r="AK1040" i="12"/>
  <c r="AK1041" i="12"/>
  <c r="AK1042" i="12"/>
  <c r="AK1043" i="12"/>
  <c r="AK1044" i="12"/>
  <c r="AK1045" i="12"/>
  <c r="AK1046" i="12"/>
  <c r="AK1047" i="12"/>
  <c r="AK1048" i="12"/>
  <c r="AK1049" i="12"/>
  <c r="AK1050" i="12"/>
  <c r="AK1051" i="12"/>
  <c r="AK1052" i="12"/>
  <c r="AK1053" i="12"/>
  <c r="AK1054" i="12"/>
  <c r="AK1055" i="12"/>
  <c r="AK1056" i="12"/>
  <c r="AK1057" i="12"/>
  <c r="AK1058" i="12"/>
  <c r="AK1059" i="12"/>
  <c r="AK1060" i="12"/>
  <c r="AK1061" i="12"/>
  <c r="AK1062" i="12"/>
  <c r="AK1063" i="12"/>
  <c r="AK1064" i="12"/>
  <c r="AK1065" i="12"/>
  <c r="AK1066" i="12"/>
  <c r="AK1067" i="12"/>
  <c r="AK1068" i="12"/>
  <c r="AK1069" i="12"/>
  <c r="AK1070" i="12"/>
  <c r="AK1071" i="12"/>
  <c r="AK1072" i="12"/>
  <c r="AK1073" i="12"/>
  <c r="AK1074" i="12"/>
  <c r="AK1075" i="12"/>
  <c r="AK1076" i="12"/>
  <c r="AK1077" i="12"/>
  <c r="AK1078" i="12"/>
  <c r="AK1079" i="12"/>
  <c r="AK1080" i="12"/>
  <c r="AK1081" i="12"/>
  <c r="AK1082" i="12"/>
  <c r="AK1083" i="12"/>
  <c r="AK1084" i="12"/>
  <c r="AK1085" i="12"/>
  <c r="AK1086" i="12"/>
  <c r="AK1087" i="12"/>
  <c r="AK1088" i="12"/>
  <c r="AK1089" i="12"/>
  <c r="AK1090" i="12"/>
  <c r="AK1091" i="12"/>
  <c r="AK1092" i="12"/>
  <c r="AK1093" i="12"/>
  <c r="AK1094" i="12"/>
  <c r="AK1095" i="12"/>
  <c r="AK1096" i="12"/>
  <c r="AK1097" i="12"/>
  <c r="AK1098" i="12"/>
  <c r="AK1099" i="12"/>
  <c r="AK1100" i="12"/>
  <c r="AK1101" i="12"/>
  <c r="AK1102" i="12"/>
  <c r="AK1103" i="12"/>
  <c r="AK1104" i="12"/>
  <c r="AK1105" i="12"/>
  <c r="AK1106" i="12"/>
  <c r="AK1107" i="12"/>
  <c r="AK1108" i="12"/>
  <c r="AK1109" i="12"/>
  <c r="AK1110" i="12"/>
  <c r="AK1111" i="12"/>
  <c r="AK1112" i="12"/>
  <c r="AK1113" i="12"/>
  <c r="AK1114" i="12"/>
  <c r="AK1115" i="12"/>
  <c r="AK1116" i="12"/>
  <c r="AK1117" i="12"/>
  <c r="AK1118" i="12"/>
  <c r="AK1119" i="12"/>
  <c r="AK1120" i="12"/>
  <c r="AK1121" i="12"/>
  <c r="AK1122" i="12"/>
  <c r="AK1123" i="12"/>
  <c r="AK1124" i="12"/>
  <c r="AK1125" i="12"/>
  <c r="AK1126" i="12"/>
  <c r="AK1127" i="12"/>
  <c r="AK1128" i="12"/>
  <c r="AK1129" i="12"/>
  <c r="AK1130" i="12"/>
  <c r="AK1131" i="12"/>
  <c r="AK1132" i="12"/>
  <c r="AK1133" i="12"/>
  <c r="AK1134" i="12"/>
  <c r="AK1135" i="12"/>
  <c r="AK1136" i="12"/>
  <c r="AK1137" i="12"/>
  <c r="AK1138" i="12"/>
  <c r="AK1139" i="12"/>
  <c r="AK1140" i="12"/>
  <c r="AK1141" i="12"/>
  <c r="AK1142" i="12"/>
  <c r="AK1143" i="12"/>
  <c r="AK1144" i="12"/>
  <c r="AK1145" i="12"/>
  <c r="AK1146" i="12"/>
  <c r="AK1147" i="12"/>
  <c r="AK1148" i="12"/>
  <c r="AK1149" i="12"/>
  <c r="AK1150" i="12"/>
  <c r="AK1151" i="12"/>
  <c r="AK1152" i="12"/>
  <c r="AK1153" i="12"/>
  <c r="AK1154" i="12"/>
  <c r="AK1155" i="12"/>
  <c r="AK1156" i="12"/>
  <c r="AK1157" i="12"/>
  <c r="AK1158" i="12"/>
  <c r="AK1159" i="12"/>
  <c r="AK1160" i="12"/>
  <c r="AK1161" i="12"/>
  <c r="AK1162" i="12"/>
  <c r="AK1163" i="12"/>
  <c r="AK1164" i="12"/>
  <c r="AK1165" i="12"/>
  <c r="AK1166" i="12"/>
  <c r="AK1167" i="12"/>
  <c r="AK1168" i="12"/>
  <c r="AK1169" i="12"/>
  <c r="AK1170" i="12"/>
  <c r="AK1171" i="12"/>
  <c r="AK1172" i="12"/>
  <c r="AK1173" i="12"/>
  <c r="AK1174" i="12"/>
  <c r="AK1175" i="12"/>
  <c r="AK1176" i="12"/>
  <c r="AK1177" i="12"/>
  <c r="AK1178" i="12"/>
  <c r="AK1179" i="12"/>
  <c r="AK1180" i="12"/>
  <c r="AK1181" i="12"/>
  <c r="AK1182" i="12"/>
  <c r="AK1183" i="12"/>
  <c r="AK1184" i="12"/>
  <c r="AK1185" i="12"/>
  <c r="AK1186" i="12"/>
  <c r="AK1187" i="12"/>
  <c r="AK1188" i="12"/>
  <c r="AK1189" i="12"/>
  <c r="AK1190" i="12"/>
  <c r="AK1191" i="12"/>
  <c r="AK1192" i="12"/>
  <c r="AK1193" i="12"/>
  <c r="AK1194" i="12"/>
  <c r="AK1195" i="12"/>
  <c r="AK1196" i="12"/>
  <c r="AK1197" i="12"/>
  <c r="AK1198" i="12"/>
  <c r="AK1199" i="12"/>
  <c r="AK1200" i="12"/>
  <c r="AK1201" i="12"/>
  <c r="AK1202" i="12"/>
  <c r="AK1203" i="12"/>
  <c r="AK1204" i="12"/>
  <c r="AK1205" i="12"/>
  <c r="AK1206" i="12"/>
  <c r="AK1207" i="12"/>
  <c r="AK1208" i="12"/>
  <c r="AK1209" i="12"/>
  <c r="AK1210" i="12"/>
  <c r="AK1211" i="12"/>
  <c r="AK1212" i="12"/>
  <c r="AK1213" i="12"/>
  <c r="AK1214" i="12"/>
  <c r="AK1215" i="12"/>
  <c r="AK1216" i="12"/>
  <c r="AK1217" i="12"/>
  <c r="AK1218" i="12"/>
  <c r="AK1219" i="12"/>
  <c r="AK1220" i="12"/>
  <c r="AK1221" i="12"/>
  <c r="AK1222" i="12"/>
  <c r="AK1223" i="12"/>
  <c r="AK1224" i="12"/>
  <c r="AK1225" i="12"/>
  <c r="AK1226" i="12"/>
  <c r="AK1227" i="12"/>
  <c r="AK1228" i="12"/>
  <c r="AK1229" i="12"/>
  <c r="AK1230" i="12"/>
  <c r="AK1231" i="12"/>
  <c r="AK1232" i="12"/>
  <c r="AK1233" i="12"/>
  <c r="AK1234" i="12"/>
  <c r="AK1235" i="12"/>
  <c r="AK1236" i="12"/>
  <c r="AK1237" i="12"/>
  <c r="AK1238" i="12"/>
  <c r="AK1239" i="12"/>
  <c r="AK1240" i="12"/>
  <c r="AK1241" i="12"/>
  <c r="AK1242" i="12"/>
  <c r="AK1243" i="12"/>
  <c r="AK1244" i="12"/>
  <c r="AK1245" i="12"/>
  <c r="AK1246" i="12"/>
  <c r="AK1247" i="12"/>
  <c r="AK1248" i="12"/>
  <c r="AK1249" i="12"/>
  <c r="AK1250" i="12"/>
  <c r="AK1251" i="12"/>
  <c r="AK1252" i="12"/>
  <c r="AK1253" i="12"/>
  <c r="AK1254" i="12"/>
  <c r="AK1255" i="12"/>
  <c r="AK1256" i="12"/>
  <c r="AK1257" i="12"/>
  <c r="AK1258" i="12"/>
  <c r="AK1259" i="12"/>
  <c r="AK1260" i="12"/>
  <c r="AK1261" i="12"/>
  <c r="AK1262" i="12"/>
  <c r="AK1263" i="12"/>
  <c r="AK1264" i="12"/>
  <c r="AK1265" i="12"/>
  <c r="AK1266" i="12"/>
  <c r="AK1267" i="12"/>
  <c r="AK1268" i="12"/>
  <c r="AK1269" i="12"/>
  <c r="AK1270" i="12"/>
  <c r="AK1271" i="12"/>
  <c r="AK1272" i="12"/>
  <c r="AK1273" i="12"/>
  <c r="AK1274" i="12"/>
  <c r="AK1275" i="12"/>
  <c r="AK1276" i="12"/>
  <c r="AK1277" i="12"/>
  <c r="AK1278" i="12"/>
  <c r="AK1279" i="12"/>
  <c r="AK1280" i="12"/>
  <c r="AK1281" i="12"/>
  <c r="AK1282" i="12"/>
  <c r="AK1283" i="12"/>
  <c r="AK1284" i="12"/>
  <c r="AK1285" i="12"/>
  <c r="AK1286" i="12"/>
  <c r="AK1287" i="12"/>
  <c r="AK1288" i="12"/>
  <c r="AK1289" i="12"/>
  <c r="AK1290" i="12"/>
  <c r="AK1291" i="12"/>
  <c r="AK1292" i="12"/>
  <c r="AK1293" i="12"/>
  <c r="AK1294" i="12"/>
  <c r="AK1295" i="12"/>
  <c r="AK1296" i="12"/>
  <c r="AK1297" i="12"/>
  <c r="AK1298" i="12"/>
  <c r="AK1299" i="12"/>
  <c r="AK1300" i="12"/>
  <c r="AK1301" i="12"/>
  <c r="AK1302" i="12"/>
  <c r="AK1303" i="12"/>
  <c r="AK1304" i="12"/>
  <c r="AK1305" i="12"/>
  <c r="AK1306" i="12"/>
  <c r="AK1307" i="12"/>
  <c r="AK1308" i="12"/>
  <c r="AK1309" i="12"/>
  <c r="AK1310" i="12"/>
  <c r="AK1311" i="12"/>
  <c r="AK1312" i="12"/>
  <c r="AK1313" i="12"/>
  <c r="AK1314" i="12"/>
  <c r="AK1315" i="12"/>
  <c r="AK1316" i="12"/>
  <c r="AK1317" i="12"/>
  <c r="AK1318" i="12"/>
  <c r="AK1319" i="12"/>
  <c r="AK1320" i="12"/>
  <c r="AK1321" i="12"/>
  <c r="AK1322" i="12"/>
  <c r="AK1323" i="12"/>
  <c r="AK1324" i="12"/>
  <c r="AK1325" i="12"/>
  <c r="AK1326" i="12"/>
  <c r="AK1327" i="12"/>
  <c r="AK1328" i="12"/>
  <c r="AK1329" i="12"/>
  <c r="AK1330" i="12"/>
  <c r="AK1331" i="12"/>
  <c r="AK1332" i="12"/>
  <c r="AK1333" i="12"/>
  <c r="AK1334" i="12"/>
  <c r="AK1335" i="12"/>
  <c r="AK1336" i="12"/>
  <c r="AK1337" i="12"/>
  <c r="AK1338" i="12"/>
  <c r="AK1339" i="12"/>
  <c r="AK1340" i="12"/>
  <c r="AK1341" i="12"/>
  <c r="AK1342" i="12"/>
  <c r="AK1343" i="12"/>
  <c r="AK1344" i="12"/>
  <c r="AK1345" i="12"/>
  <c r="AK1346" i="12"/>
  <c r="AK1347" i="12"/>
  <c r="AK1348" i="12"/>
  <c r="AK1349" i="12"/>
  <c r="AK1350" i="12"/>
  <c r="AK1351" i="12"/>
  <c r="AK1352" i="12"/>
  <c r="AK1353" i="12"/>
  <c r="AK1354" i="12"/>
  <c r="AK1355" i="12"/>
  <c r="AK1356" i="12"/>
  <c r="AK1357" i="12"/>
  <c r="AK1358" i="12"/>
  <c r="AK1359" i="12"/>
  <c r="AK1361" i="12"/>
  <c r="AK1362" i="12"/>
  <c r="AK1363" i="12"/>
  <c r="AK1364" i="12"/>
  <c r="AK1365" i="12"/>
  <c r="AK1366" i="12"/>
  <c r="AK1367" i="12"/>
  <c r="AK1368" i="12"/>
  <c r="AK1369" i="12"/>
  <c r="AK1370" i="12"/>
  <c r="AK1371" i="12"/>
  <c r="AK1372" i="12"/>
  <c r="AK1373" i="12"/>
  <c r="AK1374" i="12"/>
  <c r="AK1375" i="12"/>
  <c r="AK1376" i="12"/>
  <c r="AK1377" i="12"/>
  <c r="AK1378" i="12"/>
  <c r="AK1379" i="12"/>
  <c r="AK1380" i="12"/>
  <c r="AK1381" i="12"/>
  <c r="AK1382" i="12"/>
  <c r="AK1383" i="12"/>
  <c r="AK1384" i="12"/>
  <c r="AK1385" i="12"/>
  <c r="AK1386" i="12"/>
  <c r="AK1387" i="12"/>
  <c r="AK1388" i="12"/>
  <c r="AK1389" i="12"/>
  <c r="AK1390" i="12"/>
  <c r="AK1391" i="12"/>
  <c r="AK1392" i="12"/>
  <c r="AK1393" i="12"/>
  <c r="AK1394" i="12"/>
  <c r="AK1395" i="12"/>
  <c r="AK1396" i="12"/>
  <c r="AK1397" i="12"/>
  <c r="AK1398" i="12"/>
  <c r="AK1399" i="12"/>
  <c r="AK1400" i="12"/>
  <c r="AK1401" i="12"/>
  <c r="AK1402" i="12"/>
  <c r="AK1403" i="12"/>
  <c r="AK1404" i="12"/>
  <c r="AK1405" i="12"/>
  <c r="AK1406" i="12"/>
  <c r="AK1407" i="12"/>
  <c r="AK1408" i="12"/>
  <c r="AK1409" i="12"/>
  <c r="AK1410" i="12"/>
  <c r="AK1411" i="12"/>
  <c r="AK1412" i="12"/>
  <c r="AK1413" i="12"/>
  <c r="AK1414" i="12"/>
  <c r="AK1415" i="12"/>
  <c r="AK1416" i="12"/>
  <c r="AK1417" i="12"/>
  <c r="AK1418" i="12"/>
  <c r="AK1419" i="12"/>
  <c r="AK1420" i="12"/>
  <c r="AK1421" i="12"/>
  <c r="AK1422" i="12"/>
  <c r="AK1423" i="12"/>
  <c r="AK1424" i="12"/>
  <c r="AK1425" i="12"/>
  <c r="AK1426" i="12"/>
  <c r="AK1427" i="12"/>
  <c r="AK1428" i="12"/>
  <c r="AK1429" i="12"/>
  <c r="AK1430" i="12"/>
  <c r="AK1431" i="12"/>
  <c r="AK1432" i="12"/>
  <c r="AK1433" i="12"/>
  <c r="AK1434" i="12"/>
  <c r="AK1435" i="12"/>
  <c r="AK1436" i="12"/>
  <c r="AK1437" i="12"/>
  <c r="AK1438" i="12"/>
  <c r="AK1439" i="12"/>
  <c r="AK1440" i="12"/>
  <c r="AK1441" i="12"/>
  <c r="AK1442" i="12"/>
  <c r="AK1443" i="12"/>
  <c r="AK1444" i="12"/>
  <c r="AK1445" i="12"/>
  <c r="AK1446" i="12"/>
  <c r="AK1447" i="12"/>
  <c r="AK1448" i="12"/>
  <c r="AK1449" i="12"/>
  <c r="AK1450" i="12"/>
  <c r="AK1451" i="12"/>
  <c r="AK1452" i="12"/>
  <c r="AK1453" i="12"/>
  <c r="AK1454" i="12"/>
  <c r="AK1455" i="12"/>
  <c r="AK1456" i="12"/>
  <c r="AK1457" i="12"/>
  <c r="AK1458" i="12"/>
  <c r="AK1459" i="12"/>
  <c r="AK1460" i="12"/>
  <c r="AK1461" i="12"/>
  <c r="AK1462" i="12"/>
  <c r="AK1463" i="12"/>
  <c r="AK1464" i="12"/>
  <c r="AK1465" i="12"/>
  <c r="AK1466" i="12"/>
  <c r="AK1467" i="12"/>
  <c r="AK1468" i="12"/>
  <c r="AK1469" i="12"/>
  <c r="AK1470" i="12"/>
  <c r="AK1471" i="12"/>
  <c r="AK1472" i="12"/>
  <c r="AK1473" i="12"/>
  <c r="AK1474" i="12"/>
  <c r="AK1475" i="12"/>
  <c r="AK1476" i="12"/>
  <c r="AK1477" i="12"/>
  <c r="AK1478" i="12"/>
  <c r="AK1479" i="12"/>
  <c r="AK1480" i="12"/>
  <c r="AK1481" i="12"/>
  <c r="AK1482" i="12"/>
  <c r="AK1483" i="12"/>
  <c r="AK1484" i="12"/>
  <c r="AK1485" i="12"/>
  <c r="AK1486" i="12"/>
  <c r="AK1487" i="12"/>
  <c r="AK1488" i="12"/>
  <c r="AK1489" i="12"/>
  <c r="AK1490" i="12"/>
  <c r="AK1491" i="12"/>
  <c r="AK1492" i="12"/>
  <c r="AK1493" i="12"/>
  <c r="AK1494" i="12"/>
  <c r="AK1495" i="12"/>
  <c r="AK1496" i="12"/>
  <c r="AK1497" i="12"/>
  <c r="AK1498" i="12"/>
  <c r="AK1499" i="12"/>
  <c r="AK1500" i="12"/>
  <c r="AK1501" i="12"/>
  <c r="AK1502" i="12"/>
  <c r="BJ1502" i="12" l="1"/>
  <c r="BJ1501" i="12"/>
  <c r="BJ1500" i="12"/>
  <c r="BJ1499" i="12"/>
  <c r="BJ1498" i="12"/>
  <c r="BJ1497" i="12"/>
  <c r="BJ1496" i="12"/>
  <c r="BJ1495" i="12"/>
  <c r="BJ1494" i="12"/>
  <c r="BJ1493" i="12"/>
  <c r="BJ1492" i="12"/>
  <c r="BJ1491" i="12"/>
  <c r="BJ1490" i="12"/>
  <c r="BJ1489" i="12"/>
  <c r="BJ1488" i="12"/>
  <c r="BJ1487" i="12"/>
  <c r="BJ1486" i="12"/>
  <c r="BJ1485" i="12"/>
  <c r="BJ1484" i="12"/>
  <c r="BJ1483" i="12"/>
  <c r="BJ1482" i="12"/>
  <c r="BJ1481" i="12"/>
  <c r="BJ1480" i="12"/>
  <c r="BJ1479" i="12"/>
  <c r="BJ1478" i="12"/>
  <c r="BJ1477" i="12"/>
  <c r="BJ1476" i="12"/>
  <c r="BJ1475" i="12"/>
  <c r="BJ1474" i="12"/>
  <c r="BJ1473" i="12"/>
  <c r="BJ1472" i="12"/>
  <c r="BJ1471" i="12"/>
  <c r="BJ1470" i="12"/>
  <c r="BJ1469" i="12"/>
  <c r="BJ1468" i="12"/>
  <c r="BJ1467" i="12"/>
  <c r="BJ1466" i="12"/>
  <c r="BJ1465" i="12"/>
  <c r="BJ1464" i="12"/>
  <c r="BJ1463" i="12"/>
  <c r="BJ1462" i="12"/>
  <c r="BJ1461" i="12"/>
  <c r="BJ1460" i="12"/>
  <c r="BJ1459" i="12"/>
  <c r="BJ1458" i="12"/>
  <c r="BJ1457" i="12"/>
  <c r="BJ1456" i="12"/>
  <c r="BJ1455" i="12"/>
  <c r="BJ1454" i="12"/>
  <c r="BJ1453" i="12"/>
  <c r="BJ1452" i="12"/>
  <c r="BJ1451" i="12"/>
  <c r="BJ1450" i="12"/>
  <c r="BJ1449" i="12"/>
  <c r="BJ1448" i="12"/>
  <c r="BJ1447" i="12"/>
  <c r="BJ1446" i="12"/>
  <c r="BJ1445" i="12"/>
  <c r="BJ1444" i="12"/>
  <c r="BJ1443" i="12"/>
  <c r="BJ1442" i="12"/>
  <c r="BJ1441" i="12"/>
  <c r="BJ1440" i="12"/>
  <c r="BJ1439" i="12"/>
  <c r="BJ1438" i="12"/>
  <c r="BJ1437" i="12"/>
  <c r="BJ1436" i="12"/>
  <c r="BJ1435" i="12"/>
  <c r="BJ1434" i="12"/>
  <c r="BJ1433" i="12"/>
  <c r="BJ1432" i="12"/>
  <c r="BJ1431" i="12"/>
  <c r="BJ1430" i="12"/>
  <c r="BJ1429" i="12"/>
  <c r="BJ1428" i="12"/>
  <c r="BJ1427" i="12"/>
  <c r="BJ1426" i="12"/>
  <c r="BJ1425" i="12"/>
  <c r="BJ1424" i="12"/>
  <c r="BJ1423" i="12"/>
  <c r="BJ1422" i="12"/>
  <c r="BJ1421" i="12"/>
  <c r="BJ1420" i="12"/>
  <c r="BJ1419" i="12"/>
  <c r="BJ1418" i="12"/>
  <c r="BJ1417" i="12"/>
  <c r="BJ1416" i="12"/>
  <c r="BJ1415" i="12"/>
  <c r="BJ1414" i="12"/>
  <c r="BJ1413" i="12"/>
  <c r="BJ1412" i="12"/>
  <c r="BJ1411" i="12"/>
  <c r="BJ1410" i="12"/>
  <c r="BJ1409" i="12"/>
  <c r="BJ1408" i="12"/>
  <c r="BJ1407" i="12"/>
  <c r="BJ1406" i="12"/>
  <c r="BJ1405" i="12"/>
  <c r="BJ1404" i="12"/>
  <c r="BJ1403" i="12"/>
  <c r="BJ1402" i="12"/>
  <c r="BJ1401" i="12"/>
  <c r="BJ1400" i="12"/>
  <c r="BJ1399" i="12"/>
  <c r="BJ1398" i="12"/>
  <c r="BJ1397" i="12"/>
  <c r="BJ1396" i="12"/>
  <c r="BJ1395" i="12"/>
  <c r="BJ1394" i="12"/>
  <c r="BJ1393" i="12"/>
  <c r="BJ1392" i="12"/>
  <c r="BJ1391" i="12"/>
  <c r="BJ1390" i="12"/>
  <c r="BJ1389" i="12"/>
  <c r="BJ1388" i="12"/>
  <c r="BJ1387" i="12"/>
  <c r="BJ1386" i="12"/>
  <c r="BJ1385" i="12"/>
  <c r="BJ1384" i="12"/>
  <c r="BJ1383" i="12"/>
  <c r="BJ1382" i="12"/>
  <c r="BJ1381" i="12"/>
  <c r="BJ1380" i="12"/>
  <c r="BJ1379" i="12"/>
  <c r="BJ1378" i="12"/>
  <c r="BJ1377" i="12"/>
  <c r="BJ1376" i="12"/>
  <c r="BJ1375" i="12"/>
  <c r="BJ1374" i="12"/>
  <c r="BJ1373" i="12"/>
  <c r="BJ1372" i="12"/>
  <c r="BJ1371" i="12"/>
  <c r="BJ1370" i="12"/>
  <c r="BJ1369" i="12"/>
  <c r="BJ1368" i="12"/>
  <c r="BJ1367" i="12"/>
  <c r="BJ1366" i="12"/>
  <c r="BJ1365" i="12"/>
  <c r="BJ1364" i="12"/>
  <c r="BJ1363" i="12"/>
  <c r="BJ1362" i="12"/>
  <c r="BJ1361" i="12"/>
  <c r="BJ1360" i="12"/>
  <c r="BJ1359" i="12"/>
  <c r="BJ1358" i="12"/>
  <c r="BJ1357" i="12"/>
  <c r="BJ1356" i="12"/>
  <c r="BJ1355" i="12"/>
  <c r="BJ1354" i="12"/>
  <c r="BJ1353" i="12"/>
  <c r="BJ1352" i="12"/>
  <c r="BJ1351" i="12"/>
  <c r="BJ1350" i="12"/>
  <c r="BJ1349" i="12"/>
  <c r="BJ1348" i="12"/>
  <c r="BJ1347" i="12"/>
  <c r="BJ1346" i="12"/>
  <c r="BJ1345" i="12"/>
  <c r="BJ1344" i="12"/>
  <c r="BJ1343" i="12"/>
  <c r="BJ1342" i="12"/>
  <c r="BJ1341" i="12"/>
  <c r="BJ1340" i="12"/>
  <c r="BJ1339" i="12"/>
  <c r="BJ1338" i="12"/>
  <c r="BJ1337" i="12"/>
  <c r="BJ1336" i="12"/>
  <c r="BJ1335" i="12"/>
  <c r="BJ1334" i="12"/>
  <c r="BJ1333" i="12"/>
  <c r="BJ1332" i="12"/>
  <c r="BJ1331" i="12"/>
  <c r="BJ1330" i="12"/>
  <c r="BJ1329" i="12"/>
  <c r="BJ1328" i="12"/>
  <c r="BJ1327" i="12"/>
  <c r="BJ1326" i="12"/>
  <c r="BJ1325" i="12"/>
  <c r="BJ1324" i="12"/>
  <c r="BJ1323" i="12"/>
  <c r="BJ1322" i="12"/>
  <c r="BJ1321" i="12"/>
  <c r="BJ1320" i="12"/>
  <c r="BJ1319" i="12"/>
  <c r="BJ1318" i="12"/>
  <c r="BJ1317" i="12"/>
  <c r="BJ1316" i="12"/>
  <c r="BJ1315" i="12"/>
  <c r="BJ1314" i="12"/>
  <c r="BJ1313" i="12"/>
  <c r="BJ1312" i="12"/>
  <c r="BJ1311" i="12"/>
  <c r="BJ1310" i="12"/>
  <c r="BJ1309" i="12"/>
  <c r="BJ1308" i="12"/>
  <c r="BJ1307" i="12"/>
  <c r="BJ1306" i="12"/>
  <c r="BJ1305" i="12"/>
  <c r="BJ1304" i="12"/>
  <c r="BJ1303" i="12"/>
  <c r="BJ1302" i="12"/>
  <c r="BJ1301" i="12"/>
  <c r="BJ1300" i="12"/>
  <c r="BJ1299" i="12"/>
  <c r="BJ1298" i="12"/>
  <c r="BJ1297" i="12"/>
  <c r="BJ1296" i="12"/>
  <c r="BJ1295" i="12"/>
  <c r="BJ1294" i="12"/>
  <c r="BJ1293" i="12"/>
  <c r="BJ1292" i="12"/>
  <c r="BJ1291" i="12"/>
  <c r="BJ1290" i="12"/>
  <c r="BJ1289" i="12"/>
  <c r="BJ1288" i="12"/>
  <c r="BJ1287" i="12"/>
  <c r="BJ1286" i="12"/>
  <c r="BJ1285" i="12"/>
  <c r="BJ1284" i="12"/>
  <c r="BJ1283" i="12"/>
  <c r="BJ1282" i="12"/>
  <c r="BJ1281" i="12"/>
  <c r="BJ1280" i="12"/>
  <c r="BJ1279" i="12"/>
  <c r="BJ1278" i="12"/>
  <c r="BJ1277" i="12"/>
  <c r="BJ1276" i="12"/>
  <c r="BJ1275" i="12"/>
  <c r="BJ1274" i="12"/>
  <c r="BJ1273" i="12"/>
  <c r="BJ1272" i="12"/>
  <c r="BJ1271" i="12"/>
  <c r="BJ1270" i="12"/>
  <c r="BJ1269" i="12"/>
  <c r="BJ1268" i="12"/>
  <c r="BJ1267" i="12"/>
  <c r="BJ1266" i="12"/>
  <c r="BJ1265" i="12"/>
  <c r="BJ1264" i="12"/>
  <c r="BJ1263" i="12"/>
  <c r="BJ1262" i="12"/>
  <c r="BJ1261" i="12"/>
  <c r="BJ1260" i="12"/>
  <c r="BJ1259" i="12"/>
  <c r="BJ1258" i="12"/>
  <c r="BJ1257" i="12"/>
  <c r="BJ1256" i="12"/>
  <c r="BJ1255" i="12"/>
  <c r="BJ1254" i="12"/>
  <c r="BJ1253" i="12"/>
  <c r="BJ1252" i="12"/>
  <c r="BJ1251" i="12"/>
  <c r="BJ1250" i="12"/>
  <c r="BJ1249" i="12"/>
  <c r="BJ1248" i="12"/>
  <c r="BJ1247" i="12"/>
  <c r="BJ1246" i="12"/>
  <c r="BJ1245" i="12"/>
  <c r="BJ1244" i="12"/>
  <c r="BJ1243" i="12"/>
  <c r="BJ1242" i="12"/>
  <c r="BJ1241" i="12"/>
  <c r="BJ1240" i="12"/>
  <c r="BJ1239" i="12"/>
  <c r="BJ1238" i="12"/>
  <c r="BJ1237" i="12"/>
  <c r="BJ1236" i="12"/>
  <c r="BJ1235" i="12"/>
  <c r="BJ1234" i="12"/>
  <c r="BJ1233" i="12"/>
  <c r="BJ1232" i="12"/>
  <c r="BJ1231" i="12"/>
  <c r="BJ1230" i="12"/>
  <c r="BJ1229" i="12"/>
  <c r="BJ1228" i="12"/>
  <c r="BJ1227" i="12"/>
  <c r="BJ1226" i="12"/>
  <c r="BJ1225" i="12"/>
  <c r="BJ1224" i="12"/>
  <c r="BJ1223" i="12"/>
  <c r="BJ1222" i="12"/>
  <c r="BJ1221" i="12"/>
  <c r="BJ1220" i="12"/>
  <c r="BJ1219" i="12"/>
  <c r="BJ1218" i="12"/>
  <c r="BJ1217" i="12"/>
  <c r="BJ1216" i="12"/>
  <c r="BJ1215" i="12"/>
  <c r="BJ1214" i="12"/>
  <c r="BJ1213" i="12"/>
  <c r="BJ1212" i="12"/>
  <c r="BJ1211" i="12"/>
  <c r="BJ1210" i="12"/>
  <c r="BJ1209" i="12"/>
  <c r="BJ1208" i="12"/>
  <c r="BJ1207" i="12"/>
  <c r="BJ1206" i="12"/>
  <c r="BJ1205" i="12"/>
  <c r="BJ1204" i="12"/>
  <c r="BJ1203" i="12"/>
  <c r="BJ1202" i="12"/>
  <c r="BJ1201" i="12"/>
  <c r="BJ1200" i="12"/>
  <c r="BJ1199" i="12"/>
  <c r="BJ1198" i="12"/>
  <c r="BJ1197" i="12"/>
  <c r="BJ1196" i="12"/>
  <c r="BJ1195" i="12"/>
  <c r="BJ1194" i="12"/>
  <c r="BJ1193" i="12"/>
  <c r="BJ1192" i="12"/>
  <c r="BJ1191" i="12"/>
  <c r="BJ1190" i="12"/>
  <c r="BJ1189" i="12"/>
  <c r="BJ1188" i="12"/>
  <c r="BJ1187" i="12"/>
  <c r="BJ1186" i="12"/>
  <c r="BJ1185" i="12"/>
  <c r="BJ1184" i="12"/>
  <c r="BJ1183" i="12"/>
  <c r="BJ1182" i="12"/>
  <c r="BJ1181" i="12"/>
  <c r="BJ1180" i="12"/>
  <c r="BJ1179" i="12"/>
  <c r="BJ1178" i="12"/>
  <c r="BJ1177" i="12"/>
  <c r="BJ1176" i="12"/>
  <c r="BJ1175" i="12"/>
  <c r="BJ1174" i="12"/>
  <c r="BJ1173" i="12"/>
  <c r="BJ1172" i="12"/>
  <c r="BJ1171" i="12"/>
  <c r="BJ1170" i="12"/>
  <c r="BJ1169" i="12"/>
  <c r="BJ1168" i="12"/>
  <c r="BJ1167" i="12"/>
  <c r="BJ1166" i="12"/>
  <c r="BJ1165" i="12"/>
  <c r="BJ1164" i="12"/>
  <c r="BJ1163" i="12"/>
  <c r="BJ1162" i="12"/>
  <c r="BJ1161" i="12"/>
  <c r="BJ1160" i="12"/>
  <c r="BJ1159" i="12"/>
  <c r="BJ1158" i="12"/>
  <c r="BJ1157" i="12"/>
  <c r="BJ1156" i="12"/>
  <c r="BJ1155" i="12"/>
  <c r="BJ1154" i="12"/>
  <c r="BJ1153" i="12"/>
  <c r="BJ1152" i="12"/>
  <c r="BJ1151" i="12"/>
  <c r="BJ1150" i="12"/>
  <c r="BJ1149" i="12"/>
  <c r="BJ1148" i="12"/>
  <c r="BJ1147" i="12"/>
  <c r="BJ1146" i="12"/>
  <c r="BJ1145" i="12"/>
  <c r="BJ1144" i="12"/>
  <c r="BJ1143" i="12"/>
  <c r="BJ1142" i="12"/>
  <c r="BJ1141" i="12"/>
  <c r="BJ1140" i="12"/>
  <c r="BJ1139" i="12"/>
  <c r="BJ1138" i="12"/>
  <c r="BJ1137" i="12"/>
  <c r="BJ1136" i="12"/>
  <c r="BJ1135" i="12"/>
  <c r="BJ1134" i="12"/>
  <c r="BJ1133" i="12"/>
  <c r="BJ1132" i="12"/>
  <c r="BJ1131" i="12"/>
  <c r="BJ1130" i="12"/>
  <c r="BJ1129" i="12"/>
  <c r="BJ1128" i="12"/>
  <c r="BJ1127" i="12"/>
  <c r="BJ1126" i="12"/>
  <c r="BJ1125" i="12"/>
  <c r="BJ1124" i="12"/>
  <c r="BJ1123" i="12"/>
  <c r="BJ1122" i="12"/>
  <c r="BJ1121" i="12"/>
  <c r="BJ1120" i="12"/>
  <c r="BJ1119" i="12"/>
  <c r="BJ1118" i="12"/>
  <c r="BJ1117" i="12"/>
  <c r="BJ1116" i="12"/>
  <c r="BJ1115" i="12"/>
  <c r="BJ1114" i="12"/>
  <c r="BJ1113" i="12"/>
  <c r="BJ1112" i="12"/>
  <c r="BJ1111" i="12"/>
  <c r="BJ1110" i="12"/>
  <c r="BJ1109" i="12"/>
  <c r="BJ1108" i="12"/>
  <c r="BJ1107" i="12"/>
  <c r="BJ1106" i="12"/>
  <c r="BJ1105" i="12"/>
  <c r="BJ1104" i="12"/>
  <c r="BJ1103" i="12"/>
  <c r="BJ1102" i="12"/>
  <c r="BJ1101" i="12"/>
  <c r="BJ1100" i="12"/>
  <c r="BJ1099" i="12"/>
  <c r="BJ1098" i="12"/>
  <c r="BJ1097" i="12"/>
  <c r="BJ1096" i="12"/>
  <c r="BJ1095" i="12"/>
  <c r="BJ1094" i="12"/>
  <c r="BJ1093" i="12"/>
  <c r="BJ1092" i="12"/>
  <c r="BJ1091" i="12"/>
  <c r="BJ1090" i="12"/>
  <c r="BJ1089" i="12"/>
  <c r="BJ1088" i="12"/>
  <c r="BJ1087" i="12"/>
  <c r="BJ1086" i="12"/>
  <c r="BJ1085" i="12"/>
  <c r="BJ1084" i="12"/>
  <c r="BJ1083" i="12"/>
  <c r="BJ1082" i="12"/>
  <c r="BJ1081" i="12"/>
  <c r="BJ1080" i="12"/>
  <c r="BJ1079" i="12"/>
  <c r="BJ1078" i="12"/>
  <c r="BJ1077" i="12"/>
  <c r="BJ1076" i="12"/>
  <c r="BJ1075" i="12"/>
  <c r="BJ1074" i="12"/>
  <c r="BJ1073" i="12"/>
  <c r="BJ1072" i="12"/>
  <c r="BJ1071" i="12"/>
  <c r="BJ1070" i="12"/>
  <c r="BJ1069" i="12"/>
  <c r="BJ1068" i="12"/>
  <c r="BJ1067" i="12"/>
  <c r="BJ1066" i="12"/>
  <c r="BJ1065" i="12"/>
  <c r="BJ1064" i="12"/>
  <c r="BJ1063" i="12"/>
  <c r="BJ1062" i="12"/>
  <c r="BJ1061" i="12"/>
  <c r="BJ1060" i="12"/>
  <c r="BJ1059" i="12"/>
  <c r="BJ1058" i="12"/>
  <c r="BJ1057" i="12"/>
  <c r="BJ1056" i="12"/>
  <c r="BJ1055" i="12"/>
  <c r="BJ1054" i="12"/>
  <c r="BJ1053" i="12"/>
  <c r="BJ1052" i="12"/>
  <c r="BJ1051" i="12"/>
  <c r="BJ1050" i="12"/>
  <c r="BJ1049" i="12"/>
  <c r="BJ1048" i="12"/>
  <c r="BJ1047" i="12"/>
  <c r="BJ1046" i="12"/>
  <c r="BJ1045" i="12"/>
  <c r="BJ1044" i="12"/>
  <c r="BJ1043" i="12"/>
  <c r="BJ1042" i="12"/>
  <c r="BJ1041" i="12"/>
  <c r="BJ1040" i="12"/>
  <c r="BJ1039" i="12"/>
  <c r="BJ1038" i="12"/>
  <c r="BJ1037" i="12"/>
  <c r="BJ1036" i="12"/>
  <c r="BJ1035" i="12"/>
  <c r="BJ1034" i="12"/>
  <c r="BJ1033" i="12"/>
  <c r="BJ1032" i="12"/>
  <c r="BJ1031" i="12"/>
  <c r="BJ1030" i="12"/>
  <c r="BJ1029" i="12"/>
  <c r="BJ1028" i="12"/>
  <c r="BJ1027" i="12"/>
  <c r="BJ1026" i="12"/>
  <c r="BJ1025" i="12"/>
  <c r="BJ1024" i="12"/>
  <c r="BJ1023" i="12"/>
  <c r="BJ1022" i="12"/>
  <c r="BJ1021" i="12"/>
  <c r="BJ1020" i="12"/>
  <c r="BJ1019" i="12"/>
  <c r="BJ1018" i="12"/>
  <c r="BJ1017" i="12"/>
  <c r="BJ1016" i="12"/>
  <c r="BJ1015" i="12"/>
  <c r="BJ1014" i="12"/>
  <c r="BJ1013" i="12"/>
  <c r="BJ1012" i="12"/>
  <c r="BJ1011" i="12"/>
  <c r="BJ1010" i="12"/>
  <c r="BJ1009" i="12"/>
  <c r="BJ1008" i="12"/>
  <c r="BJ1007" i="12"/>
  <c r="BJ1006" i="12"/>
  <c r="BJ1005" i="12"/>
  <c r="BJ1004" i="12"/>
  <c r="BJ1003" i="12"/>
  <c r="BJ1002" i="12"/>
  <c r="BJ1001" i="12"/>
  <c r="BJ1000" i="12"/>
  <c r="BJ999" i="12"/>
  <c r="BJ998" i="12"/>
  <c r="BJ997" i="12"/>
  <c r="BJ996" i="12"/>
  <c r="BJ995" i="12"/>
  <c r="BJ994" i="12"/>
  <c r="BJ993" i="12"/>
  <c r="BJ992" i="12"/>
  <c r="BJ991" i="12"/>
  <c r="BJ990" i="12"/>
  <c r="BJ989" i="12"/>
  <c r="BJ988" i="12"/>
  <c r="BJ987" i="12"/>
  <c r="BJ986" i="12"/>
  <c r="BJ985" i="12"/>
  <c r="BJ984" i="12"/>
  <c r="BJ983" i="12"/>
  <c r="BJ982" i="12"/>
  <c r="BJ981" i="12"/>
  <c r="BJ980" i="12"/>
  <c r="BJ979" i="12"/>
  <c r="BJ978" i="12"/>
  <c r="BJ977" i="12"/>
  <c r="BJ976" i="12"/>
  <c r="BJ975" i="12"/>
  <c r="BJ974" i="12"/>
  <c r="BJ973" i="12"/>
  <c r="BJ972" i="12"/>
  <c r="BJ971" i="12"/>
  <c r="BJ970" i="12"/>
  <c r="BJ969" i="12"/>
  <c r="BJ968" i="12"/>
  <c r="BJ967" i="12"/>
  <c r="BJ966" i="12"/>
  <c r="BJ965" i="12"/>
  <c r="BJ964" i="12"/>
  <c r="BJ963" i="12"/>
  <c r="BJ962" i="12"/>
  <c r="BJ961" i="12"/>
  <c r="BJ960" i="12"/>
  <c r="BJ959" i="12"/>
  <c r="BJ958" i="12"/>
  <c r="BJ957" i="12"/>
  <c r="BJ956" i="12"/>
  <c r="BJ955" i="12"/>
  <c r="BJ954" i="12"/>
  <c r="BJ953" i="12"/>
  <c r="BJ952" i="12"/>
  <c r="BJ951" i="12"/>
  <c r="BJ950" i="12"/>
  <c r="BJ949" i="12"/>
  <c r="BJ948" i="12"/>
  <c r="BJ947" i="12"/>
  <c r="BJ946" i="12"/>
  <c r="BJ945" i="12"/>
  <c r="BJ944" i="12"/>
  <c r="BJ943" i="12"/>
  <c r="BJ942" i="12"/>
  <c r="BJ941" i="12"/>
  <c r="BJ940" i="12"/>
  <c r="BJ939" i="12"/>
  <c r="BJ938" i="12"/>
  <c r="BJ937" i="12"/>
  <c r="BJ936" i="12"/>
  <c r="BJ935" i="12"/>
  <c r="BJ934" i="12"/>
  <c r="BJ933" i="12"/>
  <c r="BJ932" i="12"/>
  <c r="BJ931" i="12"/>
  <c r="BJ930" i="12"/>
  <c r="BJ929" i="12"/>
  <c r="BJ928" i="12"/>
  <c r="BJ927" i="12"/>
  <c r="BJ926" i="12"/>
  <c r="BJ925" i="12"/>
  <c r="BJ924" i="12"/>
  <c r="BJ923" i="12"/>
  <c r="BJ922" i="12"/>
  <c r="BJ921" i="12"/>
  <c r="BJ920" i="12"/>
  <c r="BJ919" i="12"/>
  <c r="BJ918" i="12"/>
  <c r="BJ917" i="12"/>
  <c r="BJ916" i="12"/>
  <c r="BJ915" i="12"/>
  <c r="BJ914" i="12"/>
  <c r="BJ913" i="12"/>
  <c r="BJ912" i="12"/>
  <c r="BJ911" i="12"/>
  <c r="BJ910" i="12"/>
  <c r="BJ909" i="12"/>
  <c r="BJ908" i="12"/>
  <c r="BJ907" i="12"/>
  <c r="BJ906" i="12"/>
  <c r="BJ905" i="12"/>
  <c r="BJ904" i="12"/>
  <c r="BJ903" i="12"/>
  <c r="BJ902" i="12"/>
  <c r="BJ901" i="12"/>
  <c r="BJ900" i="12"/>
  <c r="BJ899" i="12"/>
  <c r="BJ898" i="12"/>
  <c r="BJ897" i="12"/>
  <c r="BJ896" i="12"/>
  <c r="BJ895" i="12"/>
  <c r="BJ894" i="12"/>
  <c r="BJ893" i="12"/>
  <c r="BJ892" i="12"/>
  <c r="BJ891" i="12"/>
  <c r="BJ890" i="12"/>
  <c r="BJ889" i="12"/>
  <c r="BJ888" i="12"/>
  <c r="BJ887" i="12"/>
  <c r="BJ886" i="12"/>
  <c r="BJ885" i="12"/>
  <c r="BJ884" i="12"/>
  <c r="BJ883" i="12"/>
  <c r="BJ882" i="12"/>
  <c r="BJ881" i="12"/>
  <c r="BJ880" i="12"/>
  <c r="BJ879" i="12"/>
  <c r="BJ878" i="12"/>
  <c r="BJ877" i="12"/>
  <c r="BJ876" i="12"/>
  <c r="BJ875" i="12"/>
  <c r="BJ874" i="12"/>
  <c r="BJ873" i="12"/>
  <c r="BJ872" i="12"/>
  <c r="BJ871" i="12"/>
  <c r="BJ870" i="12"/>
  <c r="BJ869" i="12"/>
  <c r="BJ868" i="12"/>
  <c r="BJ867" i="12"/>
  <c r="BJ866" i="12"/>
  <c r="BJ865" i="12"/>
  <c r="BJ864" i="12"/>
  <c r="BJ863" i="12"/>
  <c r="BJ862" i="12"/>
  <c r="BJ861" i="12"/>
  <c r="BJ860" i="12"/>
  <c r="BJ859" i="12"/>
  <c r="BJ858" i="12"/>
  <c r="BJ857" i="12"/>
  <c r="BJ856" i="12"/>
  <c r="BJ855" i="12"/>
  <c r="BJ854" i="12"/>
  <c r="BJ853" i="12"/>
  <c r="BJ852" i="12"/>
  <c r="BJ851" i="12"/>
  <c r="BJ850" i="12"/>
  <c r="BJ849" i="12"/>
  <c r="BJ848" i="12"/>
  <c r="BJ847" i="12"/>
  <c r="BJ846" i="12"/>
  <c r="BJ845" i="12"/>
  <c r="BJ844" i="12"/>
  <c r="BJ843" i="12"/>
  <c r="BJ842" i="12"/>
  <c r="BJ841" i="12"/>
  <c r="BJ840" i="12"/>
  <c r="BJ839" i="12"/>
  <c r="BJ838" i="12"/>
  <c r="BJ837" i="12"/>
  <c r="BJ836" i="12"/>
  <c r="BJ835" i="12"/>
  <c r="BJ834" i="12"/>
  <c r="BJ833" i="12"/>
  <c r="BJ832" i="12"/>
  <c r="BJ831" i="12"/>
  <c r="BJ830" i="12"/>
  <c r="BJ829" i="12"/>
  <c r="BJ828" i="12"/>
  <c r="BJ827" i="12"/>
  <c r="BJ826" i="12"/>
  <c r="BJ825" i="12"/>
  <c r="BJ824" i="12"/>
  <c r="BJ823" i="12"/>
  <c r="BJ822" i="12"/>
  <c r="BJ821" i="12"/>
  <c r="BJ820" i="12"/>
  <c r="BJ819" i="12"/>
  <c r="BJ818" i="12"/>
  <c r="BJ817" i="12"/>
  <c r="BJ816" i="12"/>
  <c r="BJ815" i="12"/>
  <c r="BJ814" i="12"/>
  <c r="BJ813" i="12"/>
  <c r="BJ812" i="12"/>
  <c r="BJ811" i="12"/>
  <c r="BJ810" i="12"/>
  <c r="BJ809" i="12"/>
  <c r="BJ808" i="12"/>
  <c r="BJ807" i="12"/>
  <c r="BJ806" i="12"/>
  <c r="BJ805" i="12"/>
  <c r="BJ804" i="12"/>
  <c r="BJ803" i="12"/>
  <c r="BJ802" i="12"/>
  <c r="BJ801" i="12"/>
  <c r="BJ800" i="12"/>
  <c r="BJ799" i="12"/>
  <c r="BJ798" i="12"/>
  <c r="BJ797" i="12"/>
  <c r="BJ796" i="12"/>
  <c r="BJ795" i="12"/>
  <c r="BJ794" i="12"/>
  <c r="BJ793" i="12"/>
  <c r="BJ792" i="12"/>
  <c r="BJ791" i="12"/>
  <c r="BJ790" i="12"/>
  <c r="BJ789" i="12"/>
  <c r="BJ788" i="12"/>
  <c r="BJ787" i="12"/>
  <c r="BJ786" i="12"/>
  <c r="BJ785" i="12"/>
  <c r="BJ784" i="12"/>
  <c r="BJ783" i="12"/>
  <c r="BJ782" i="12"/>
  <c r="BJ781" i="12"/>
  <c r="BJ780" i="12"/>
  <c r="BJ779" i="12"/>
  <c r="BJ778" i="12"/>
  <c r="BJ777" i="12"/>
  <c r="BJ776" i="12"/>
  <c r="BJ775" i="12"/>
  <c r="BJ774" i="12"/>
  <c r="BJ773" i="12"/>
  <c r="BJ772" i="12"/>
  <c r="BJ771" i="12"/>
  <c r="BJ770" i="12"/>
  <c r="BJ769" i="12"/>
  <c r="BJ768" i="12"/>
  <c r="BJ767" i="12"/>
  <c r="BJ766" i="12"/>
  <c r="BJ765" i="12"/>
  <c r="BJ764" i="12"/>
  <c r="BJ763" i="12"/>
  <c r="BJ762" i="12"/>
  <c r="BJ761" i="12"/>
  <c r="BJ760" i="12"/>
  <c r="BJ759" i="12"/>
  <c r="BJ758" i="12"/>
  <c r="BJ757" i="12"/>
  <c r="BJ756" i="12"/>
  <c r="BJ755" i="12"/>
  <c r="BJ754" i="12"/>
  <c r="BJ753" i="12"/>
  <c r="BJ752" i="12"/>
  <c r="BJ751" i="12"/>
  <c r="BJ750" i="12"/>
  <c r="BJ749" i="12"/>
  <c r="BJ748" i="12"/>
  <c r="BJ747" i="12"/>
  <c r="BJ746" i="12"/>
  <c r="BJ745" i="12"/>
  <c r="BJ744" i="12"/>
  <c r="BJ743" i="12"/>
  <c r="BJ742" i="12"/>
  <c r="BJ741" i="12"/>
  <c r="BJ740" i="12"/>
  <c r="BJ739" i="12"/>
  <c r="BJ738" i="12"/>
  <c r="BJ737" i="12"/>
  <c r="BJ736" i="12"/>
  <c r="BJ735" i="12"/>
  <c r="BJ734" i="12"/>
  <c r="BJ733" i="12"/>
  <c r="BJ732" i="12"/>
  <c r="BJ731" i="12"/>
  <c r="BJ730" i="12"/>
  <c r="BJ729" i="12"/>
  <c r="BJ728" i="12"/>
  <c r="BJ727" i="12"/>
  <c r="BJ726" i="12"/>
  <c r="BJ725" i="12"/>
  <c r="BJ724" i="12"/>
  <c r="BJ723" i="12"/>
  <c r="BJ722" i="12"/>
  <c r="BJ721" i="12"/>
  <c r="BJ720" i="12"/>
  <c r="BJ719" i="12"/>
  <c r="BJ718" i="12"/>
  <c r="BJ717" i="12"/>
  <c r="BJ716" i="12"/>
  <c r="BJ715" i="12"/>
  <c r="BJ714" i="12"/>
  <c r="BJ713" i="12"/>
  <c r="BJ712" i="12"/>
  <c r="BJ711" i="12"/>
  <c r="BJ710" i="12"/>
  <c r="BJ709" i="12"/>
  <c r="BJ708" i="12"/>
  <c r="BJ707" i="12"/>
  <c r="BJ706" i="12"/>
  <c r="BJ705" i="12"/>
  <c r="BJ704" i="12"/>
  <c r="BJ703" i="12"/>
  <c r="BJ702" i="12"/>
  <c r="BJ701" i="12"/>
  <c r="BJ700" i="12"/>
  <c r="BJ699" i="12"/>
  <c r="BJ698" i="12"/>
  <c r="BJ697" i="12"/>
  <c r="BJ696" i="12"/>
  <c r="BJ695" i="12"/>
  <c r="BJ694" i="12"/>
  <c r="BJ693" i="12"/>
  <c r="BJ692" i="12"/>
  <c r="BJ691" i="12"/>
  <c r="BJ690" i="12"/>
  <c r="BJ689" i="12"/>
  <c r="BJ688" i="12"/>
  <c r="BJ687" i="12"/>
  <c r="BJ686" i="12"/>
  <c r="BJ685" i="12"/>
  <c r="BJ684" i="12"/>
  <c r="BJ683" i="12"/>
  <c r="BJ682" i="12"/>
  <c r="BJ681" i="12"/>
  <c r="BJ680" i="12"/>
  <c r="BJ679" i="12"/>
  <c r="BJ678" i="12"/>
  <c r="BJ677" i="12"/>
  <c r="BJ676" i="12"/>
  <c r="BJ675" i="12"/>
  <c r="BJ674" i="12"/>
  <c r="BJ673" i="12"/>
  <c r="BJ672" i="12"/>
  <c r="BJ671" i="12"/>
  <c r="BJ670" i="12"/>
  <c r="BJ669" i="12"/>
  <c r="BJ668" i="12"/>
  <c r="BJ667" i="12"/>
  <c r="BJ666" i="12"/>
  <c r="BJ665" i="12"/>
  <c r="BJ664" i="12"/>
  <c r="BJ663" i="12"/>
  <c r="BJ662" i="12"/>
  <c r="BJ661" i="12"/>
  <c r="BJ660" i="12"/>
  <c r="BJ659" i="12"/>
  <c r="BJ658" i="12"/>
  <c r="BJ657" i="12"/>
  <c r="BJ656" i="12"/>
  <c r="BJ655" i="12"/>
  <c r="BJ654" i="12"/>
  <c r="BJ653" i="12"/>
  <c r="BJ652" i="12"/>
  <c r="BJ651" i="12"/>
  <c r="BJ650" i="12"/>
  <c r="BJ649" i="12"/>
  <c r="BJ648" i="12"/>
  <c r="BJ647" i="12"/>
  <c r="BJ646" i="12"/>
  <c r="BJ645" i="12"/>
  <c r="BJ644" i="12"/>
  <c r="BJ643" i="12"/>
  <c r="BJ642" i="12"/>
  <c r="BJ641" i="12"/>
  <c r="BJ640" i="12"/>
  <c r="BJ639" i="12"/>
  <c r="BJ638" i="12"/>
  <c r="BJ637" i="12"/>
  <c r="BJ636" i="12"/>
  <c r="BJ635" i="12"/>
  <c r="BJ634" i="12"/>
  <c r="BJ633" i="12"/>
  <c r="BJ632" i="12"/>
  <c r="BJ631" i="12"/>
  <c r="BJ630" i="12"/>
  <c r="BJ629" i="12"/>
  <c r="BJ628" i="12"/>
  <c r="BJ627" i="12"/>
  <c r="BJ626" i="12"/>
  <c r="BJ625" i="12"/>
  <c r="BJ624" i="12"/>
  <c r="BJ623" i="12"/>
  <c r="BJ622" i="12"/>
  <c r="BJ621" i="12"/>
  <c r="BJ620" i="12"/>
  <c r="BJ619" i="12"/>
  <c r="BJ618" i="12"/>
  <c r="BJ617" i="12"/>
  <c r="BJ616" i="12"/>
  <c r="BJ615" i="12"/>
  <c r="BJ614" i="12"/>
  <c r="BJ613" i="12"/>
  <c r="BJ612" i="12"/>
  <c r="BJ611" i="12"/>
  <c r="BJ610" i="12"/>
  <c r="BJ609" i="12"/>
  <c r="BJ608" i="12"/>
  <c r="BJ607" i="12"/>
  <c r="BJ606" i="12"/>
  <c r="BJ605" i="12"/>
  <c r="BJ604" i="12"/>
  <c r="BJ603" i="12"/>
  <c r="BJ602" i="12"/>
  <c r="BJ601" i="12"/>
  <c r="BJ600" i="12"/>
  <c r="BJ599" i="12"/>
  <c r="BJ598" i="12"/>
  <c r="BJ597" i="12"/>
  <c r="BJ596" i="12"/>
  <c r="BJ595" i="12"/>
  <c r="BJ594" i="12"/>
  <c r="BJ593" i="12"/>
  <c r="BJ592" i="12"/>
  <c r="BJ591" i="12"/>
  <c r="BJ590" i="12"/>
  <c r="BJ589" i="12"/>
  <c r="BJ588" i="12"/>
  <c r="BJ587" i="12"/>
  <c r="BJ586" i="12"/>
  <c r="BJ585" i="12"/>
  <c r="BJ584" i="12"/>
  <c r="BJ583" i="12"/>
  <c r="BJ582" i="12"/>
  <c r="BJ581" i="12"/>
  <c r="BJ580" i="12"/>
  <c r="BJ579" i="12"/>
  <c r="BJ578" i="12"/>
  <c r="BJ577" i="12"/>
  <c r="BJ576" i="12"/>
  <c r="BJ575" i="12"/>
  <c r="BJ574" i="12"/>
  <c r="BJ573" i="12"/>
  <c r="BJ572" i="12"/>
  <c r="BJ571" i="12"/>
  <c r="BJ570" i="12"/>
  <c r="BJ569" i="12"/>
  <c r="BJ568" i="12"/>
  <c r="BJ567" i="12"/>
  <c r="BJ566" i="12"/>
  <c r="BJ565" i="12"/>
  <c r="BJ564" i="12"/>
  <c r="BJ563" i="12"/>
  <c r="BJ562" i="12"/>
  <c r="BJ561" i="12"/>
  <c r="BJ560" i="12"/>
  <c r="BJ559" i="12"/>
  <c r="BJ558" i="12"/>
  <c r="BJ557" i="12"/>
  <c r="BJ556" i="12"/>
  <c r="BJ555" i="12"/>
  <c r="BJ554" i="12"/>
  <c r="BJ553" i="12"/>
  <c r="BJ552" i="12"/>
  <c r="BJ551" i="12"/>
  <c r="BJ550" i="12"/>
  <c r="BJ549" i="12"/>
  <c r="BJ548" i="12"/>
  <c r="BJ547" i="12"/>
  <c r="BJ546" i="12"/>
  <c r="BJ545" i="12"/>
  <c r="BJ544" i="12"/>
  <c r="BJ543" i="12"/>
  <c r="BJ542" i="12"/>
  <c r="BJ541" i="12"/>
  <c r="BJ540" i="12"/>
  <c r="BJ539" i="12"/>
  <c r="BJ538" i="12"/>
  <c r="BJ537" i="12"/>
  <c r="BJ536" i="12"/>
  <c r="BJ535" i="12"/>
  <c r="BJ534" i="12"/>
  <c r="BJ533" i="12"/>
  <c r="BJ532" i="12"/>
  <c r="BJ531" i="12"/>
  <c r="BJ530" i="12"/>
  <c r="BJ529" i="12"/>
  <c r="BJ528" i="12"/>
  <c r="BJ527" i="12"/>
  <c r="BJ526" i="12"/>
  <c r="BJ525" i="12"/>
  <c r="BJ524" i="12"/>
  <c r="BJ523" i="12"/>
  <c r="BJ522" i="12"/>
  <c r="BJ521" i="12"/>
  <c r="BJ520" i="12"/>
  <c r="BJ519" i="12"/>
  <c r="BJ518" i="12"/>
  <c r="BJ517" i="12"/>
  <c r="BJ516" i="12"/>
  <c r="BJ515" i="12"/>
  <c r="BJ514" i="12"/>
  <c r="BJ513" i="12"/>
  <c r="BJ512" i="12"/>
  <c r="BJ511" i="12"/>
  <c r="BJ510" i="12"/>
  <c r="BJ509" i="12"/>
  <c r="BJ508" i="12"/>
  <c r="BJ507" i="12"/>
  <c r="BJ506" i="12"/>
  <c r="BJ505" i="12"/>
  <c r="BJ504" i="12"/>
  <c r="BJ503" i="12"/>
  <c r="BJ502" i="12"/>
  <c r="BJ501" i="12"/>
  <c r="BJ500" i="12"/>
  <c r="BJ499" i="12"/>
  <c r="BJ498" i="12"/>
  <c r="BJ497" i="12"/>
  <c r="BJ496" i="12"/>
  <c r="BJ495" i="12"/>
  <c r="BJ494" i="12"/>
  <c r="BJ493" i="12"/>
  <c r="BJ492" i="12"/>
  <c r="BJ491" i="12"/>
  <c r="BJ490" i="12"/>
  <c r="BJ489" i="12"/>
  <c r="BJ488" i="12"/>
  <c r="BJ487" i="12"/>
  <c r="BJ486" i="12"/>
  <c r="BJ485" i="12"/>
  <c r="BJ484" i="12"/>
  <c r="BJ483" i="12"/>
  <c r="BJ482" i="12"/>
  <c r="BJ481" i="12"/>
  <c r="BJ480" i="12"/>
  <c r="BJ479" i="12"/>
  <c r="BJ478" i="12"/>
  <c r="BJ477" i="12"/>
  <c r="BJ476" i="12"/>
  <c r="BJ475" i="12"/>
  <c r="BJ474" i="12"/>
  <c r="BJ473" i="12"/>
  <c r="BJ472" i="12"/>
  <c r="BJ471" i="12"/>
  <c r="BJ470" i="12"/>
  <c r="BJ469" i="12"/>
  <c r="BJ468" i="12"/>
  <c r="BJ467" i="12"/>
  <c r="BJ466" i="12"/>
  <c r="BJ465" i="12"/>
  <c r="BJ464" i="12"/>
  <c r="BJ463" i="12"/>
  <c r="BJ462" i="12"/>
  <c r="BJ461" i="12"/>
  <c r="BJ460" i="12"/>
  <c r="BJ459" i="12"/>
  <c r="BJ458" i="12"/>
  <c r="BJ457" i="12"/>
  <c r="BJ456" i="12"/>
  <c r="BJ455" i="12"/>
  <c r="BJ454" i="12"/>
  <c r="BJ453" i="12"/>
  <c r="BJ452" i="12"/>
  <c r="BJ451" i="12"/>
  <c r="BJ450" i="12"/>
  <c r="BJ449" i="12"/>
  <c r="BJ448" i="12"/>
  <c r="BJ447" i="12"/>
  <c r="BJ446" i="12"/>
  <c r="BJ445" i="12"/>
  <c r="BJ444" i="12"/>
  <c r="BJ443" i="12"/>
  <c r="BJ442" i="12"/>
  <c r="BJ441" i="12"/>
  <c r="BJ440" i="12"/>
  <c r="BJ439" i="12"/>
  <c r="BJ438" i="12"/>
  <c r="BJ437" i="12"/>
  <c r="BJ436" i="12"/>
  <c r="BJ435" i="12"/>
  <c r="BJ434" i="12"/>
  <c r="BJ433" i="12"/>
  <c r="BJ432" i="12"/>
  <c r="BJ431" i="12"/>
  <c r="BJ430" i="12"/>
  <c r="BJ429" i="12"/>
  <c r="BJ428" i="12"/>
  <c r="BJ427" i="12"/>
  <c r="BJ426" i="12"/>
  <c r="BJ425" i="12"/>
  <c r="BJ424" i="12"/>
  <c r="BJ423" i="12"/>
  <c r="BJ422" i="12"/>
  <c r="BJ421" i="12"/>
  <c r="BJ420" i="12"/>
  <c r="BJ419" i="12"/>
  <c r="BJ418" i="12"/>
  <c r="BJ417" i="12"/>
  <c r="BJ416" i="12"/>
  <c r="BJ415" i="12"/>
  <c r="BJ414" i="12"/>
  <c r="BJ413" i="12"/>
  <c r="BJ412" i="12"/>
  <c r="BJ411" i="12"/>
  <c r="BJ410" i="12"/>
  <c r="BJ409" i="12"/>
  <c r="BJ408" i="12"/>
  <c r="BJ407" i="12"/>
  <c r="BJ406" i="12"/>
  <c r="BJ405" i="12"/>
  <c r="BJ404" i="12"/>
  <c r="BJ403" i="12"/>
  <c r="BJ402" i="12"/>
  <c r="BJ401" i="12"/>
  <c r="BJ400" i="12"/>
  <c r="BJ399" i="12"/>
  <c r="BJ398" i="12"/>
  <c r="BJ397" i="12"/>
  <c r="BJ396" i="12"/>
  <c r="BJ395" i="12"/>
  <c r="BJ394" i="12"/>
  <c r="BJ393" i="12"/>
  <c r="BJ392" i="12"/>
  <c r="BJ391" i="12"/>
  <c r="BJ390" i="12"/>
  <c r="BJ389" i="12"/>
  <c r="BJ388" i="12"/>
  <c r="BJ387" i="12"/>
  <c r="BJ386" i="12"/>
  <c r="BJ385" i="12"/>
  <c r="BJ384" i="12"/>
  <c r="BJ383" i="12"/>
  <c r="BJ382" i="12"/>
  <c r="BJ381" i="12"/>
  <c r="BJ380" i="12"/>
  <c r="BJ379" i="12"/>
  <c r="BJ378" i="12"/>
  <c r="BJ377" i="12"/>
  <c r="BJ376" i="12"/>
  <c r="BJ375" i="12"/>
  <c r="BJ374" i="12"/>
  <c r="BJ373" i="12"/>
  <c r="BJ372" i="12"/>
  <c r="BJ371" i="12"/>
  <c r="BJ370" i="12"/>
  <c r="BJ369" i="12"/>
  <c r="BJ368" i="12"/>
  <c r="BJ367" i="12"/>
  <c r="BJ366" i="12"/>
  <c r="BJ365" i="12"/>
  <c r="BJ364" i="12"/>
  <c r="BJ363" i="12"/>
  <c r="BJ362" i="12"/>
  <c r="BJ361" i="12"/>
  <c r="BJ360" i="12"/>
  <c r="BJ359" i="12"/>
  <c r="BJ358" i="12"/>
  <c r="BJ357" i="12"/>
  <c r="BJ356" i="12"/>
  <c r="BJ355" i="12"/>
  <c r="BJ354" i="12"/>
  <c r="BJ353" i="12"/>
  <c r="BJ352" i="12"/>
  <c r="BJ351" i="12"/>
  <c r="BJ350" i="12"/>
  <c r="BJ349" i="12"/>
  <c r="BJ348" i="12"/>
  <c r="BJ347" i="12"/>
  <c r="BJ346" i="12"/>
  <c r="BJ345" i="12"/>
  <c r="BJ344" i="12"/>
  <c r="BJ343" i="12"/>
  <c r="BJ342" i="12"/>
  <c r="BJ341" i="12"/>
  <c r="BJ340" i="12"/>
  <c r="BJ339" i="12"/>
  <c r="BJ338" i="12"/>
  <c r="BJ337" i="12"/>
  <c r="BJ336" i="12"/>
  <c r="BJ335" i="12"/>
  <c r="BJ334" i="12"/>
  <c r="BJ333" i="12"/>
  <c r="BJ332" i="12"/>
  <c r="BJ331" i="12"/>
  <c r="BJ330" i="12"/>
  <c r="BJ329" i="12"/>
  <c r="BJ328" i="12"/>
  <c r="BJ327" i="12"/>
  <c r="BJ326" i="12"/>
  <c r="BJ325" i="12"/>
  <c r="BJ324" i="12"/>
  <c r="BJ323" i="12"/>
  <c r="BJ322" i="12"/>
  <c r="BJ321" i="12"/>
  <c r="BJ320" i="12"/>
  <c r="BJ319" i="12"/>
  <c r="BJ318" i="12"/>
  <c r="BJ317" i="12"/>
  <c r="BJ316" i="12"/>
  <c r="BJ315" i="12"/>
  <c r="BJ314" i="12"/>
  <c r="BJ313" i="12"/>
  <c r="BJ312" i="12"/>
  <c r="BJ311" i="12"/>
  <c r="BJ310" i="12"/>
  <c r="BJ309" i="12"/>
  <c r="BJ308" i="12"/>
  <c r="BJ307" i="12"/>
  <c r="BJ306" i="12"/>
  <c r="BJ305" i="12"/>
  <c r="BJ304" i="12"/>
  <c r="BJ303" i="12"/>
  <c r="BJ302" i="12"/>
  <c r="BJ301" i="12"/>
  <c r="BJ300" i="12"/>
  <c r="BJ299" i="12"/>
  <c r="BJ298" i="12"/>
  <c r="BJ297" i="12"/>
  <c r="BJ296" i="12"/>
  <c r="BJ295" i="12"/>
  <c r="BJ294" i="12"/>
  <c r="BJ293" i="12"/>
  <c r="BJ292" i="12"/>
  <c r="BJ291" i="12"/>
  <c r="BJ290" i="12"/>
  <c r="BJ289" i="12"/>
  <c r="BJ288" i="12"/>
  <c r="BJ287" i="12"/>
  <c r="BJ286" i="12"/>
  <c r="BJ285" i="12"/>
  <c r="BJ284" i="12"/>
  <c r="BJ283" i="12"/>
  <c r="BJ282" i="12"/>
  <c r="BJ281" i="12"/>
  <c r="BJ280" i="12"/>
  <c r="BJ279" i="12"/>
  <c r="BJ278" i="12"/>
  <c r="BJ277" i="12"/>
  <c r="BJ276" i="12"/>
  <c r="BJ275" i="12"/>
  <c r="BJ274" i="12"/>
  <c r="BJ273" i="12"/>
  <c r="BJ272" i="12"/>
  <c r="BJ271" i="12"/>
  <c r="BJ270" i="12"/>
  <c r="BJ269" i="12"/>
  <c r="BJ268" i="12"/>
  <c r="BJ267" i="12"/>
  <c r="BJ266" i="12"/>
  <c r="BJ265" i="12"/>
  <c r="BJ264" i="12"/>
  <c r="BJ263" i="12"/>
  <c r="BJ262" i="12"/>
  <c r="BJ261" i="12"/>
  <c r="BJ260" i="12"/>
  <c r="BJ259" i="12"/>
  <c r="BJ258" i="12"/>
  <c r="BJ257" i="12"/>
  <c r="BJ256" i="12"/>
  <c r="BJ255" i="12"/>
  <c r="BJ254" i="12"/>
  <c r="BJ253" i="12"/>
  <c r="BJ252" i="12"/>
  <c r="BJ251" i="12"/>
  <c r="BJ250" i="12"/>
  <c r="BJ249" i="12"/>
  <c r="BJ248" i="12"/>
  <c r="BJ247" i="12"/>
  <c r="BJ246" i="12"/>
  <c r="BJ245" i="12"/>
  <c r="BJ244" i="12"/>
  <c r="BJ243" i="12"/>
  <c r="BJ242" i="12"/>
  <c r="BJ241" i="12"/>
  <c r="BJ240" i="12"/>
  <c r="BJ239" i="12"/>
  <c r="BJ238" i="12"/>
  <c r="BJ237" i="12"/>
  <c r="BJ236" i="12"/>
  <c r="BJ235" i="12"/>
  <c r="BJ234" i="12"/>
  <c r="BJ233" i="12"/>
  <c r="BJ232" i="12"/>
  <c r="BJ231" i="12"/>
  <c r="BJ230" i="12"/>
  <c r="BJ229" i="12"/>
  <c r="BJ228" i="12"/>
  <c r="BJ227" i="12"/>
  <c r="BJ226" i="12"/>
  <c r="BJ225" i="12"/>
  <c r="BJ224" i="12"/>
  <c r="BJ223" i="12"/>
  <c r="BJ222" i="12"/>
  <c r="BJ221" i="12"/>
  <c r="BJ220" i="12"/>
  <c r="BJ219" i="12"/>
  <c r="BJ218" i="12"/>
  <c r="BJ217" i="12"/>
  <c r="BJ216" i="12"/>
  <c r="BJ215" i="12"/>
  <c r="BJ214" i="12"/>
  <c r="BJ213" i="12"/>
  <c r="BJ212" i="12"/>
  <c r="BJ211" i="12"/>
  <c r="BJ210" i="12"/>
  <c r="BJ209" i="12"/>
  <c r="BJ208" i="12"/>
  <c r="BJ207" i="12"/>
  <c r="BJ206" i="12"/>
  <c r="BJ205" i="12"/>
  <c r="BJ204" i="12"/>
  <c r="BJ203" i="12"/>
  <c r="BJ202" i="12"/>
  <c r="BJ201" i="12"/>
  <c r="BJ200" i="12"/>
  <c r="BJ199" i="12"/>
  <c r="BJ198" i="12"/>
  <c r="BJ197" i="12"/>
  <c r="BJ196" i="12"/>
  <c r="BJ195" i="12"/>
  <c r="BJ194" i="12"/>
  <c r="BJ193" i="12"/>
  <c r="BJ192" i="12"/>
  <c r="BJ191" i="12"/>
  <c r="BJ190" i="12"/>
  <c r="BJ189" i="12"/>
  <c r="BJ188" i="12"/>
  <c r="BJ187" i="12"/>
  <c r="BJ186" i="12"/>
  <c r="BJ185" i="12"/>
  <c r="BJ184" i="12"/>
  <c r="BJ183" i="12"/>
  <c r="BJ182" i="12"/>
  <c r="BJ181" i="12"/>
  <c r="BJ180" i="12"/>
  <c r="BJ179" i="12"/>
  <c r="BJ178" i="12"/>
  <c r="BJ177" i="12"/>
  <c r="BJ176" i="12"/>
  <c r="BJ175" i="12"/>
  <c r="BJ174" i="12"/>
  <c r="BJ173" i="12"/>
  <c r="BJ172" i="12"/>
  <c r="BJ171" i="12"/>
  <c r="BJ170" i="12"/>
  <c r="BJ169" i="12"/>
  <c r="BJ168" i="12"/>
  <c r="BJ167" i="12"/>
  <c r="BJ166" i="12"/>
  <c r="BJ165" i="12"/>
  <c r="BJ164" i="12"/>
  <c r="BJ163" i="12"/>
  <c r="BJ162" i="12"/>
  <c r="BJ161" i="12"/>
  <c r="BJ160" i="12"/>
  <c r="BJ159" i="12"/>
  <c r="BJ158" i="12"/>
  <c r="BJ157" i="12"/>
  <c r="BJ156" i="12"/>
  <c r="BJ155" i="12"/>
  <c r="BJ154" i="12"/>
  <c r="BJ153" i="12"/>
  <c r="BJ152" i="12"/>
  <c r="BJ151" i="12"/>
  <c r="BJ150" i="12"/>
  <c r="BJ149" i="12"/>
  <c r="BJ148" i="12"/>
  <c r="BJ147" i="12"/>
  <c r="BJ146" i="12"/>
  <c r="BJ145" i="12"/>
  <c r="BJ144" i="12"/>
  <c r="BJ143" i="12"/>
  <c r="BJ142" i="12"/>
  <c r="BJ141" i="12"/>
  <c r="BJ140" i="12"/>
  <c r="BJ139" i="12"/>
  <c r="BJ138" i="12"/>
  <c r="BJ137" i="12"/>
  <c r="BJ136" i="12"/>
  <c r="BJ135" i="12"/>
  <c r="BJ134" i="12"/>
  <c r="BJ133" i="12"/>
  <c r="BJ132" i="12"/>
  <c r="BJ131" i="12"/>
  <c r="BJ130" i="12"/>
  <c r="BJ129" i="12"/>
  <c r="BJ128" i="12"/>
  <c r="BJ127" i="12"/>
  <c r="BJ126" i="12"/>
  <c r="BJ125" i="12"/>
  <c r="BJ124" i="12"/>
  <c r="BJ123" i="12"/>
  <c r="BJ122" i="12"/>
  <c r="BJ121" i="12"/>
  <c r="BJ120" i="12"/>
  <c r="BJ119" i="12"/>
  <c r="BJ118" i="12"/>
  <c r="BJ117" i="12"/>
  <c r="BJ116" i="12"/>
  <c r="BJ115" i="12"/>
  <c r="BJ114" i="12"/>
  <c r="BJ113" i="12"/>
  <c r="BJ112" i="12"/>
  <c r="BJ111" i="12"/>
  <c r="BJ110" i="12"/>
  <c r="BJ109" i="12"/>
  <c r="BJ108" i="12"/>
  <c r="BJ107" i="12"/>
  <c r="BJ106" i="12"/>
  <c r="BJ105" i="12"/>
  <c r="BJ104" i="12"/>
  <c r="BJ103" i="12"/>
  <c r="BJ102" i="12"/>
  <c r="BJ101" i="12"/>
  <c r="BJ100" i="12"/>
  <c r="BJ99" i="12"/>
  <c r="BJ98" i="12"/>
  <c r="BJ97" i="12"/>
  <c r="BJ96" i="12"/>
  <c r="BJ95" i="12"/>
  <c r="BJ94" i="12"/>
  <c r="BJ93" i="12"/>
  <c r="BJ92" i="12"/>
  <c r="BJ91" i="12"/>
  <c r="BJ90" i="12"/>
  <c r="BJ89" i="12"/>
  <c r="BJ88" i="12"/>
  <c r="BJ87" i="12"/>
  <c r="BJ86" i="12"/>
  <c r="BJ85" i="12"/>
  <c r="BJ84" i="12"/>
  <c r="BJ83" i="12"/>
  <c r="BJ82" i="12"/>
  <c r="BJ81" i="12"/>
  <c r="BJ80" i="12"/>
  <c r="BJ79" i="12"/>
  <c r="BJ78" i="12"/>
  <c r="BJ77" i="12"/>
  <c r="BJ76" i="12"/>
  <c r="BJ75" i="12"/>
  <c r="BJ74" i="12"/>
  <c r="BJ73" i="12"/>
  <c r="BJ72" i="12"/>
  <c r="BJ71" i="12"/>
  <c r="BJ70" i="12"/>
  <c r="BJ69" i="12"/>
  <c r="BJ68" i="12"/>
  <c r="BJ67" i="12"/>
  <c r="BJ66" i="12"/>
  <c r="BJ65" i="12"/>
  <c r="BJ64" i="12"/>
  <c r="BJ63" i="12"/>
  <c r="BJ62" i="12"/>
  <c r="BJ61" i="12"/>
  <c r="BJ60" i="12"/>
  <c r="BJ59" i="12"/>
  <c r="BJ58" i="12"/>
  <c r="BJ57" i="12"/>
  <c r="BJ56" i="12"/>
  <c r="BJ55" i="12"/>
  <c r="BJ54" i="12"/>
  <c r="BJ53" i="12"/>
  <c r="BJ52" i="12"/>
  <c r="BJ51" i="12"/>
  <c r="BJ50" i="12"/>
  <c r="BJ49" i="12"/>
  <c r="BJ48" i="12"/>
  <c r="BJ47" i="12"/>
  <c r="BJ46" i="12"/>
  <c r="BJ45" i="12"/>
  <c r="BJ44" i="12"/>
  <c r="BJ43" i="12"/>
  <c r="BJ42" i="12"/>
  <c r="BJ41" i="12"/>
  <c r="BJ40" i="12"/>
  <c r="BJ39" i="12"/>
  <c r="BJ38" i="12"/>
  <c r="BJ37" i="12"/>
  <c r="BJ36" i="12"/>
  <c r="BJ35" i="12"/>
  <c r="BJ34" i="12"/>
  <c r="BJ33" i="12"/>
  <c r="BJ32" i="12"/>
  <c r="BJ31" i="12"/>
  <c r="BJ30" i="12"/>
  <c r="BJ29" i="12"/>
  <c r="BJ28" i="12"/>
  <c r="BJ27" i="12"/>
  <c r="BJ26" i="12"/>
  <c r="BJ25" i="12"/>
  <c r="BJ24" i="12"/>
  <c r="BJ23" i="12"/>
  <c r="BJ22" i="12"/>
  <c r="BJ21" i="12"/>
  <c r="BJ20" i="12"/>
  <c r="BJ19" i="12"/>
  <c r="BJ18" i="12"/>
  <c r="BJ17" i="12"/>
  <c r="BJ16" i="12"/>
  <c r="BJ15" i="12"/>
  <c r="BJ14" i="12"/>
  <c r="BJ13" i="12"/>
  <c r="BJ12" i="12"/>
  <c r="BJ11" i="12"/>
  <c r="BJ10" i="12"/>
  <c r="BJ9" i="12"/>
  <c r="BJ8" i="12"/>
  <c r="BJ7" i="12"/>
  <c r="BJ6" i="12"/>
  <c r="BJ5" i="12"/>
  <c r="BJ4" i="12"/>
  <c r="BJ3" i="12"/>
  <c r="BJ2" i="12"/>
  <c r="BI1502" i="12"/>
  <c r="BG1502" i="12"/>
  <c r="BF1502" i="12"/>
  <c r="BE1502" i="12"/>
  <c r="BD1502" i="12"/>
  <c r="BC1502" i="12"/>
  <c r="BB1502" i="12"/>
  <c r="BA1502" i="12"/>
  <c r="AZ1502" i="12"/>
  <c r="AY1502" i="12"/>
  <c r="AX1502" i="12"/>
  <c r="BI1501" i="12"/>
  <c r="BG1501" i="12"/>
  <c r="BF1501" i="12"/>
  <c r="BE1501" i="12"/>
  <c r="BD1501" i="12"/>
  <c r="BC1501" i="12"/>
  <c r="BB1501" i="12"/>
  <c r="BA1501" i="12"/>
  <c r="AZ1501" i="12"/>
  <c r="AY1501" i="12"/>
  <c r="AX1501" i="12"/>
  <c r="BI1500" i="12"/>
  <c r="BG1500" i="12"/>
  <c r="BF1500" i="12"/>
  <c r="BE1500" i="12"/>
  <c r="BD1500" i="12"/>
  <c r="BC1500" i="12"/>
  <c r="BB1500" i="12"/>
  <c r="BA1500" i="12"/>
  <c r="AZ1500" i="12"/>
  <c r="AY1500" i="12"/>
  <c r="AX1500" i="12"/>
  <c r="BI1499" i="12"/>
  <c r="BG1499" i="12"/>
  <c r="BF1499" i="12"/>
  <c r="BE1499" i="12"/>
  <c r="BD1499" i="12"/>
  <c r="BC1499" i="12"/>
  <c r="BB1499" i="12"/>
  <c r="BA1499" i="12"/>
  <c r="AZ1499" i="12"/>
  <c r="AY1499" i="12"/>
  <c r="AX1499" i="12"/>
  <c r="BI1498" i="12"/>
  <c r="BG1498" i="12"/>
  <c r="BF1498" i="12"/>
  <c r="BE1498" i="12"/>
  <c r="BD1498" i="12"/>
  <c r="BC1498" i="12"/>
  <c r="BB1498" i="12"/>
  <c r="BA1498" i="12"/>
  <c r="AZ1498" i="12"/>
  <c r="AY1498" i="12"/>
  <c r="AX1498" i="12"/>
  <c r="BI1497" i="12"/>
  <c r="BG1497" i="12"/>
  <c r="BF1497" i="12"/>
  <c r="BE1497" i="12"/>
  <c r="BD1497" i="12"/>
  <c r="BC1497" i="12"/>
  <c r="BB1497" i="12"/>
  <c r="BA1497" i="12"/>
  <c r="AZ1497" i="12"/>
  <c r="AY1497" i="12"/>
  <c r="AX1497" i="12"/>
  <c r="BI1496" i="12"/>
  <c r="BG1496" i="12"/>
  <c r="BF1496" i="12"/>
  <c r="BE1496" i="12"/>
  <c r="BD1496" i="12"/>
  <c r="BC1496" i="12"/>
  <c r="BB1496" i="12"/>
  <c r="BA1496" i="12"/>
  <c r="AZ1496" i="12"/>
  <c r="AY1496" i="12"/>
  <c r="AX1496" i="12"/>
  <c r="BI1495" i="12"/>
  <c r="BG1495" i="12"/>
  <c r="BF1495" i="12"/>
  <c r="BE1495" i="12"/>
  <c r="BD1495" i="12"/>
  <c r="BC1495" i="12"/>
  <c r="BB1495" i="12"/>
  <c r="BA1495" i="12"/>
  <c r="AZ1495" i="12"/>
  <c r="AY1495" i="12"/>
  <c r="AX1495" i="12"/>
  <c r="BI1494" i="12"/>
  <c r="BG1494" i="12"/>
  <c r="BF1494" i="12"/>
  <c r="BE1494" i="12"/>
  <c r="BD1494" i="12"/>
  <c r="BC1494" i="12"/>
  <c r="BB1494" i="12"/>
  <c r="BA1494" i="12"/>
  <c r="AZ1494" i="12"/>
  <c r="AY1494" i="12"/>
  <c r="AX1494" i="12"/>
  <c r="BI1493" i="12"/>
  <c r="BG1493" i="12"/>
  <c r="BF1493" i="12"/>
  <c r="BE1493" i="12"/>
  <c r="BD1493" i="12"/>
  <c r="BC1493" i="12"/>
  <c r="BB1493" i="12"/>
  <c r="BA1493" i="12"/>
  <c r="AZ1493" i="12"/>
  <c r="AY1493" i="12"/>
  <c r="AX1493" i="12"/>
  <c r="BI1492" i="12"/>
  <c r="BG1492" i="12"/>
  <c r="BF1492" i="12"/>
  <c r="BE1492" i="12"/>
  <c r="BD1492" i="12"/>
  <c r="BC1492" i="12"/>
  <c r="BB1492" i="12"/>
  <c r="BA1492" i="12"/>
  <c r="AZ1492" i="12"/>
  <c r="AY1492" i="12"/>
  <c r="AX1492" i="12"/>
  <c r="BI1491" i="12"/>
  <c r="BG1491" i="12"/>
  <c r="BF1491" i="12"/>
  <c r="BE1491" i="12"/>
  <c r="BD1491" i="12"/>
  <c r="BC1491" i="12"/>
  <c r="BB1491" i="12"/>
  <c r="BA1491" i="12"/>
  <c r="AZ1491" i="12"/>
  <c r="AY1491" i="12"/>
  <c r="AX1491" i="12"/>
  <c r="BI1490" i="12"/>
  <c r="BG1490" i="12"/>
  <c r="BF1490" i="12"/>
  <c r="BE1490" i="12"/>
  <c r="BD1490" i="12"/>
  <c r="BC1490" i="12"/>
  <c r="BB1490" i="12"/>
  <c r="BA1490" i="12"/>
  <c r="AZ1490" i="12"/>
  <c r="AY1490" i="12"/>
  <c r="AX1490" i="12"/>
  <c r="BI1489" i="12"/>
  <c r="BG1489" i="12"/>
  <c r="BF1489" i="12"/>
  <c r="BE1489" i="12"/>
  <c r="BD1489" i="12"/>
  <c r="BC1489" i="12"/>
  <c r="BB1489" i="12"/>
  <c r="BA1489" i="12"/>
  <c r="AZ1489" i="12"/>
  <c r="AY1489" i="12"/>
  <c r="AX1489" i="12"/>
  <c r="BI1488" i="12"/>
  <c r="BG1488" i="12"/>
  <c r="BF1488" i="12"/>
  <c r="BE1488" i="12"/>
  <c r="BD1488" i="12"/>
  <c r="BC1488" i="12"/>
  <c r="BB1488" i="12"/>
  <c r="BA1488" i="12"/>
  <c r="AZ1488" i="12"/>
  <c r="AY1488" i="12"/>
  <c r="AX1488" i="12"/>
  <c r="BI1487" i="12"/>
  <c r="BG1487" i="12"/>
  <c r="BF1487" i="12"/>
  <c r="BE1487" i="12"/>
  <c r="BD1487" i="12"/>
  <c r="BC1487" i="12"/>
  <c r="BB1487" i="12"/>
  <c r="BA1487" i="12"/>
  <c r="AZ1487" i="12"/>
  <c r="AY1487" i="12"/>
  <c r="AX1487" i="12"/>
  <c r="BI1486" i="12"/>
  <c r="BG1486" i="12"/>
  <c r="BF1486" i="12"/>
  <c r="BE1486" i="12"/>
  <c r="BD1486" i="12"/>
  <c r="BC1486" i="12"/>
  <c r="BB1486" i="12"/>
  <c r="BA1486" i="12"/>
  <c r="AZ1486" i="12"/>
  <c r="AY1486" i="12"/>
  <c r="AX1486" i="12"/>
  <c r="BI1485" i="12"/>
  <c r="BG1485" i="12"/>
  <c r="BF1485" i="12"/>
  <c r="BE1485" i="12"/>
  <c r="BD1485" i="12"/>
  <c r="BC1485" i="12"/>
  <c r="BB1485" i="12"/>
  <c r="BA1485" i="12"/>
  <c r="AZ1485" i="12"/>
  <c r="AY1485" i="12"/>
  <c r="AX1485" i="12"/>
  <c r="BI1484" i="12"/>
  <c r="BG1484" i="12"/>
  <c r="BF1484" i="12"/>
  <c r="BE1484" i="12"/>
  <c r="BD1484" i="12"/>
  <c r="BC1484" i="12"/>
  <c r="BB1484" i="12"/>
  <c r="BA1484" i="12"/>
  <c r="AZ1484" i="12"/>
  <c r="AY1484" i="12"/>
  <c r="AX1484" i="12"/>
  <c r="BI1483" i="12"/>
  <c r="BG1483" i="12"/>
  <c r="BF1483" i="12"/>
  <c r="BE1483" i="12"/>
  <c r="BD1483" i="12"/>
  <c r="BC1483" i="12"/>
  <c r="BB1483" i="12"/>
  <c r="BA1483" i="12"/>
  <c r="AZ1483" i="12"/>
  <c r="AY1483" i="12"/>
  <c r="AX1483" i="12"/>
  <c r="BI1482" i="12"/>
  <c r="BG1482" i="12"/>
  <c r="BF1482" i="12"/>
  <c r="BE1482" i="12"/>
  <c r="BD1482" i="12"/>
  <c r="BC1482" i="12"/>
  <c r="BB1482" i="12"/>
  <c r="BA1482" i="12"/>
  <c r="AZ1482" i="12"/>
  <c r="AY1482" i="12"/>
  <c r="AX1482" i="12"/>
  <c r="BI1481" i="12"/>
  <c r="BG1481" i="12"/>
  <c r="BF1481" i="12"/>
  <c r="BE1481" i="12"/>
  <c r="BD1481" i="12"/>
  <c r="BC1481" i="12"/>
  <c r="BB1481" i="12"/>
  <c r="BA1481" i="12"/>
  <c r="AZ1481" i="12"/>
  <c r="AY1481" i="12"/>
  <c r="AX1481" i="12"/>
  <c r="BI1480" i="12"/>
  <c r="BG1480" i="12"/>
  <c r="BF1480" i="12"/>
  <c r="BE1480" i="12"/>
  <c r="BD1480" i="12"/>
  <c r="BC1480" i="12"/>
  <c r="BB1480" i="12"/>
  <c r="BA1480" i="12"/>
  <c r="AZ1480" i="12"/>
  <c r="AY1480" i="12"/>
  <c r="AX1480" i="12"/>
  <c r="BI1479" i="12"/>
  <c r="BG1479" i="12"/>
  <c r="BF1479" i="12"/>
  <c r="BE1479" i="12"/>
  <c r="BD1479" i="12"/>
  <c r="BC1479" i="12"/>
  <c r="BB1479" i="12"/>
  <c r="BA1479" i="12"/>
  <c r="AZ1479" i="12"/>
  <c r="AY1479" i="12"/>
  <c r="AX1479" i="12"/>
  <c r="BI1478" i="12"/>
  <c r="BG1478" i="12"/>
  <c r="BF1478" i="12"/>
  <c r="BE1478" i="12"/>
  <c r="BD1478" i="12"/>
  <c r="BC1478" i="12"/>
  <c r="BB1478" i="12"/>
  <c r="BA1478" i="12"/>
  <c r="AZ1478" i="12"/>
  <c r="AY1478" i="12"/>
  <c r="AX1478" i="12"/>
  <c r="BI1477" i="12"/>
  <c r="BG1477" i="12"/>
  <c r="BF1477" i="12"/>
  <c r="BE1477" i="12"/>
  <c r="BD1477" i="12"/>
  <c r="BC1477" i="12"/>
  <c r="BB1477" i="12"/>
  <c r="BA1477" i="12"/>
  <c r="AZ1477" i="12"/>
  <c r="AY1477" i="12"/>
  <c r="AX1477" i="12"/>
  <c r="BI1476" i="12"/>
  <c r="BG1476" i="12"/>
  <c r="BF1476" i="12"/>
  <c r="BE1476" i="12"/>
  <c r="BD1476" i="12"/>
  <c r="BC1476" i="12"/>
  <c r="BB1476" i="12"/>
  <c r="BA1476" i="12"/>
  <c r="AZ1476" i="12"/>
  <c r="AY1476" i="12"/>
  <c r="AX1476" i="12"/>
  <c r="BI1475" i="12"/>
  <c r="BG1475" i="12"/>
  <c r="BF1475" i="12"/>
  <c r="BE1475" i="12"/>
  <c r="BD1475" i="12"/>
  <c r="BC1475" i="12"/>
  <c r="BB1475" i="12"/>
  <c r="BA1475" i="12"/>
  <c r="AZ1475" i="12"/>
  <c r="AY1475" i="12"/>
  <c r="AX1475" i="12"/>
  <c r="BI1474" i="12"/>
  <c r="BG1474" i="12"/>
  <c r="BF1474" i="12"/>
  <c r="BE1474" i="12"/>
  <c r="BD1474" i="12"/>
  <c r="BC1474" i="12"/>
  <c r="BB1474" i="12"/>
  <c r="BA1474" i="12"/>
  <c r="AZ1474" i="12"/>
  <c r="AY1474" i="12"/>
  <c r="AX1474" i="12"/>
  <c r="BI1473" i="12"/>
  <c r="BG1473" i="12"/>
  <c r="BF1473" i="12"/>
  <c r="BE1473" i="12"/>
  <c r="BD1473" i="12"/>
  <c r="BC1473" i="12"/>
  <c r="BB1473" i="12"/>
  <c r="BA1473" i="12"/>
  <c r="AZ1473" i="12"/>
  <c r="AY1473" i="12"/>
  <c r="AX1473" i="12"/>
  <c r="BI1472" i="12"/>
  <c r="BG1472" i="12"/>
  <c r="BF1472" i="12"/>
  <c r="BE1472" i="12"/>
  <c r="BD1472" i="12"/>
  <c r="BC1472" i="12"/>
  <c r="BB1472" i="12"/>
  <c r="BA1472" i="12"/>
  <c r="AZ1472" i="12"/>
  <c r="AY1472" i="12"/>
  <c r="AX1472" i="12"/>
  <c r="BI1471" i="12"/>
  <c r="BG1471" i="12"/>
  <c r="BF1471" i="12"/>
  <c r="BE1471" i="12"/>
  <c r="BD1471" i="12"/>
  <c r="BC1471" i="12"/>
  <c r="BB1471" i="12"/>
  <c r="BA1471" i="12"/>
  <c r="AZ1471" i="12"/>
  <c r="AY1471" i="12"/>
  <c r="AX1471" i="12"/>
  <c r="BI1470" i="12"/>
  <c r="BG1470" i="12"/>
  <c r="BF1470" i="12"/>
  <c r="BE1470" i="12"/>
  <c r="BD1470" i="12"/>
  <c r="BC1470" i="12"/>
  <c r="BB1470" i="12"/>
  <c r="BA1470" i="12"/>
  <c r="AZ1470" i="12"/>
  <c r="AY1470" i="12"/>
  <c r="AX1470" i="12"/>
  <c r="BI1469" i="12"/>
  <c r="BG1469" i="12"/>
  <c r="BF1469" i="12"/>
  <c r="BE1469" i="12"/>
  <c r="BD1469" i="12"/>
  <c r="BC1469" i="12"/>
  <c r="BB1469" i="12"/>
  <c r="BA1469" i="12"/>
  <c r="AZ1469" i="12"/>
  <c r="AY1469" i="12"/>
  <c r="AX1469" i="12"/>
  <c r="BI1468" i="12"/>
  <c r="BG1468" i="12"/>
  <c r="BF1468" i="12"/>
  <c r="BE1468" i="12"/>
  <c r="BD1468" i="12"/>
  <c r="BC1468" i="12"/>
  <c r="BB1468" i="12"/>
  <c r="BA1468" i="12"/>
  <c r="AZ1468" i="12"/>
  <c r="AY1468" i="12"/>
  <c r="AX1468" i="12"/>
  <c r="BI1467" i="12"/>
  <c r="BG1467" i="12"/>
  <c r="BF1467" i="12"/>
  <c r="BE1467" i="12"/>
  <c r="BD1467" i="12"/>
  <c r="BC1467" i="12"/>
  <c r="BB1467" i="12"/>
  <c r="BA1467" i="12"/>
  <c r="AZ1467" i="12"/>
  <c r="AY1467" i="12"/>
  <c r="AX1467" i="12"/>
  <c r="BI1466" i="12"/>
  <c r="BG1466" i="12"/>
  <c r="BF1466" i="12"/>
  <c r="BE1466" i="12"/>
  <c r="BD1466" i="12"/>
  <c r="BC1466" i="12"/>
  <c r="BB1466" i="12"/>
  <c r="BA1466" i="12"/>
  <c r="AZ1466" i="12"/>
  <c r="AY1466" i="12"/>
  <c r="AX1466" i="12"/>
  <c r="BI1465" i="12"/>
  <c r="BG1465" i="12"/>
  <c r="BF1465" i="12"/>
  <c r="BE1465" i="12"/>
  <c r="BD1465" i="12"/>
  <c r="BC1465" i="12"/>
  <c r="BB1465" i="12"/>
  <c r="BA1465" i="12"/>
  <c r="AZ1465" i="12"/>
  <c r="AY1465" i="12"/>
  <c r="AX1465" i="12"/>
  <c r="BI1464" i="12"/>
  <c r="BG1464" i="12"/>
  <c r="BF1464" i="12"/>
  <c r="BE1464" i="12"/>
  <c r="BD1464" i="12"/>
  <c r="BC1464" i="12"/>
  <c r="BB1464" i="12"/>
  <c r="BA1464" i="12"/>
  <c r="AZ1464" i="12"/>
  <c r="AY1464" i="12"/>
  <c r="AX1464" i="12"/>
  <c r="BI1463" i="12"/>
  <c r="BG1463" i="12"/>
  <c r="BF1463" i="12"/>
  <c r="BE1463" i="12"/>
  <c r="BD1463" i="12"/>
  <c r="BC1463" i="12"/>
  <c r="BB1463" i="12"/>
  <c r="BA1463" i="12"/>
  <c r="AZ1463" i="12"/>
  <c r="AY1463" i="12"/>
  <c r="AX1463" i="12"/>
  <c r="BI1462" i="12"/>
  <c r="BG1462" i="12"/>
  <c r="BF1462" i="12"/>
  <c r="BE1462" i="12"/>
  <c r="BD1462" i="12"/>
  <c r="BC1462" i="12"/>
  <c r="BB1462" i="12"/>
  <c r="BA1462" i="12"/>
  <c r="AZ1462" i="12"/>
  <c r="AY1462" i="12"/>
  <c r="AX1462" i="12"/>
  <c r="BI1461" i="12"/>
  <c r="BG1461" i="12"/>
  <c r="BF1461" i="12"/>
  <c r="BE1461" i="12"/>
  <c r="BD1461" i="12"/>
  <c r="BC1461" i="12"/>
  <c r="BB1461" i="12"/>
  <c r="BA1461" i="12"/>
  <c r="AZ1461" i="12"/>
  <c r="AY1461" i="12"/>
  <c r="AX1461" i="12"/>
  <c r="BI1460" i="12"/>
  <c r="BG1460" i="12"/>
  <c r="BF1460" i="12"/>
  <c r="BE1460" i="12"/>
  <c r="BD1460" i="12"/>
  <c r="BC1460" i="12"/>
  <c r="BB1460" i="12"/>
  <c r="BA1460" i="12"/>
  <c r="AZ1460" i="12"/>
  <c r="AY1460" i="12"/>
  <c r="AX1460" i="12"/>
  <c r="BI1459" i="12"/>
  <c r="BG1459" i="12"/>
  <c r="BF1459" i="12"/>
  <c r="BE1459" i="12"/>
  <c r="BD1459" i="12"/>
  <c r="BC1459" i="12"/>
  <c r="BB1459" i="12"/>
  <c r="BA1459" i="12"/>
  <c r="AZ1459" i="12"/>
  <c r="AY1459" i="12"/>
  <c r="AX1459" i="12"/>
  <c r="BI1458" i="12"/>
  <c r="BG1458" i="12"/>
  <c r="BF1458" i="12"/>
  <c r="BE1458" i="12"/>
  <c r="BD1458" i="12"/>
  <c r="BC1458" i="12"/>
  <c r="BB1458" i="12"/>
  <c r="BA1458" i="12"/>
  <c r="AZ1458" i="12"/>
  <c r="AY1458" i="12"/>
  <c r="AX1458" i="12"/>
  <c r="BI1457" i="12"/>
  <c r="BG1457" i="12"/>
  <c r="BF1457" i="12"/>
  <c r="BE1457" i="12"/>
  <c r="BD1457" i="12"/>
  <c r="BC1457" i="12"/>
  <c r="BB1457" i="12"/>
  <c r="BA1457" i="12"/>
  <c r="AZ1457" i="12"/>
  <c r="AY1457" i="12"/>
  <c r="AX1457" i="12"/>
  <c r="BI1456" i="12"/>
  <c r="BG1456" i="12"/>
  <c r="BF1456" i="12"/>
  <c r="BE1456" i="12"/>
  <c r="BD1456" i="12"/>
  <c r="BC1456" i="12"/>
  <c r="BB1456" i="12"/>
  <c r="BA1456" i="12"/>
  <c r="AZ1456" i="12"/>
  <c r="AY1456" i="12"/>
  <c r="AX1456" i="12"/>
  <c r="BI1455" i="12"/>
  <c r="BG1455" i="12"/>
  <c r="BF1455" i="12"/>
  <c r="BE1455" i="12"/>
  <c r="BD1455" i="12"/>
  <c r="BC1455" i="12"/>
  <c r="BB1455" i="12"/>
  <c r="BA1455" i="12"/>
  <c r="AZ1455" i="12"/>
  <c r="AY1455" i="12"/>
  <c r="AX1455" i="12"/>
  <c r="BI1454" i="12"/>
  <c r="BG1454" i="12"/>
  <c r="BF1454" i="12"/>
  <c r="BE1454" i="12"/>
  <c r="BD1454" i="12"/>
  <c r="BC1454" i="12"/>
  <c r="BB1454" i="12"/>
  <c r="BA1454" i="12"/>
  <c r="AZ1454" i="12"/>
  <c r="AY1454" i="12"/>
  <c r="AX1454" i="12"/>
  <c r="BI1453" i="12"/>
  <c r="BG1453" i="12"/>
  <c r="BF1453" i="12"/>
  <c r="BE1453" i="12"/>
  <c r="BD1453" i="12"/>
  <c r="BC1453" i="12"/>
  <c r="BB1453" i="12"/>
  <c r="BA1453" i="12"/>
  <c r="AZ1453" i="12"/>
  <c r="AY1453" i="12"/>
  <c r="AX1453" i="12"/>
  <c r="BI1452" i="12"/>
  <c r="BG1452" i="12"/>
  <c r="BF1452" i="12"/>
  <c r="BE1452" i="12"/>
  <c r="BD1452" i="12"/>
  <c r="BC1452" i="12"/>
  <c r="BB1452" i="12"/>
  <c r="BA1452" i="12"/>
  <c r="AZ1452" i="12"/>
  <c r="AY1452" i="12"/>
  <c r="AX1452" i="12"/>
  <c r="BI1451" i="12"/>
  <c r="BG1451" i="12"/>
  <c r="BF1451" i="12"/>
  <c r="BE1451" i="12"/>
  <c r="BD1451" i="12"/>
  <c r="BC1451" i="12"/>
  <c r="BB1451" i="12"/>
  <c r="BA1451" i="12"/>
  <c r="AZ1451" i="12"/>
  <c r="AY1451" i="12"/>
  <c r="AX1451" i="12"/>
  <c r="BI1450" i="12"/>
  <c r="BG1450" i="12"/>
  <c r="BF1450" i="12"/>
  <c r="BE1450" i="12"/>
  <c r="BD1450" i="12"/>
  <c r="BC1450" i="12"/>
  <c r="BB1450" i="12"/>
  <c r="BA1450" i="12"/>
  <c r="AZ1450" i="12"/>
  <c r="AY1450" i="12"/>
  <c r="AX1450" i="12"/>
  <c r="BI1449" i="12"/>
  <c r="BG1449" i="12"/>
  <c r="BF1449" i="12"/>
  <c r="BE1449" i="12"/>
  <c r="BD1449" i="12"/>
  <c r="BC1449" i="12"/>
  <c r="BB1449" i="12"/>
  <c r="BA1449" i="12"/>
  <c r="AZ1449" i="12"/>
  <c r="AY1449" i="12"/>
  <c r="AX1449" i="12"/>
  <c r="BI1448" i="12"/>
  <c r="BG1448" i="12"/>
  <c r="BF1448" i="12"/>
  <c r="BE1448" i="12"/>
  <c r="BD1448" i="12"/>
  <c r="BC1448" i="12"/>
  <c r="BB1448" i="12"/>
  <c r="BA1448" i="12"/>
  <c r="AZ1448" i="12"/>
  <c r="AY1448" i="12"/>
  <c r="AX1448" i="12"/>
  <c r="BI1447" i="12"/>
  <c r="BG1447" i="12"/>
  <c r="BF1447" i="12"/>
  <c r="BE1447" i="12"/>
  <c r="BD1447" i="12"/>
  <c r="BC1447" i="12"/>
  <c r="BB1447" i="12"/>
  <c r="BA1447" i="12"/>
  <c r="AZ1447" i="12"/>
  <c r="AY1447" i="12"/>
  <c r="AX1447" i="12"/>
  <c r="BI1446" i="12"/>
  <c r="BG1446" i="12"/>
  <c r="BF1446" i="12"/>
  <c r="BE1446" i="12"/>
  <c r="BD1446" i="12"/>
  <c r="BC1446" i="12"/>
  <c r="BB1446" i="12"/>
  <c r="BA1446" i="12"/>
  <c r="AZ1446" i="12"/>
  <c r="AY1446" i="12"/>
  <c r="AX1446" i="12"/>
  <c r="BI1445" i="12"/>
  <c r="BG1445" i="12"/>
  <c r="BF1445" i="12"/>
  <c r="BE1445" i="12"/>
  <c r="BD1445" i="12"/>
  <c r="BC1445" i="12"/>
  <c r="BB1445" i="12"/>
  <c r="BA1445" i="12"/>
  <c r="AZ1445" i="12"/>
  <c r="AY1445" i="12"/>
  <c r="AX1445" i="12"/>
  <c r="BI1444" i="12"/>
  <c r="BG1444" i="12"/>
  <c r="BF1444" i="12"/>
  <c r="BE1444" i="12"/>
  <c r="BD1444" i="12"/>
  <c r="BC1444" i="12"/>
  <c r="BB1444" i="12"/>
  <c r="BA1444" i="12"/>
  <c r="AZ1444" i="12"/>
  <c r="AY1444" i="12"/>
  <c r="AX1444" i="12"/>
  <c r="BI1443" i="12"/>
  <c r="BG1443" i="12"/>
  <c r="BF1443" i="12"/>
  <c r="BE1443" i="12"/>
  <c r="BD1443" i="12"/>
  <c r="BC1443" i="12"/>
  <c r="BB1443" i="12"/>
  <c r="BA1443" i="12"/>
  <c r="AZ1443" i="12"/>
  <c r="AY1443" i="12"/>
  <c r="AX1443" i="12"/>
  <c r="BI1442" i="12"/>
  <c r="BG1442" i="12"/>
  <c r="BF1442" i="12"/>
  <c r="BE1442" i="12"/>
  <c r="BD1442" i="12"/>
  <c r="BC1442" i="12"/>
  <c r="BB1442" i="12"/>
  <c r="BA1442" i="12"/>
  <c r="AZ1442" i="12"/>
  <c r="AY1442" i="12"/>
  <c r="AX1442" i="12"/>
  <c r="BI1441" i="12"/>
  <c r="BG1441" i="12"/>
  <c r="BF1441" i="12"/>
  <c r="BE1441" i="12"/>
  <c r="BD1441" i="12"/>
  <c r="BC1441" i="12"/>
  <c r="BB1441" i="12"/>
  <c r="BA1441" i="12"/>
  <c r="AZ1441" i="12"/>
  <c r="AY1441" i="12"/>
  <c r="AX1441" i="12"/>
  <c r="BI1440" i="12"/>
  <c r="BG1440" i="12"/>
  <c r="BF1440" i="12"/>
  <c r="BE1440" i="12"/>
  <c r="BD1440" i="12"/>
  <c r="BC1440" i="12"/>
  <c r="BB1440" i="12"/>
  <c r="BA1440" i="12"/>
  <c r="AZ1440" i="12"/>
  <c r="AY1440" i="12"/>
  <c r="AX1440" i="12"/>
  <c r="BI1439" i="12"/>
  <c r="BG1439" i="12"/>
  <c r="BF1439" i="12"/>
  <c r="BE1439" i="12"/>
  <c r="BD1439" i="12"/>
  <c r="BC1439" i="12"/>
  <c r="BB1439" i="12"/>
  <c r="BA1439" i="12"/>
  <c r="AZ1439" i="12"/>
  <c r="AY1439" i="12"/>
  <c r="AX1439" i="12"/>
  <c r="BI1438" i="12"/>
  <c r="BG1438" i="12"/>
  <c r="BF1438" i="12"/>
  <c r="BE1438" i="12"/>
  <c r="BD1438" i="12"/>
  <c r="BC1438" i="12"/>
  <c r="BB1438" i="12"/>
  <c r="BA1438" i="12"/>
  <c r="AZ1438" i="12"/>
  <c r="AY1438" i="12"/>
  <c r="AX1438" i="12"/>
  <c r="BI1437" i="12"/>
  <c r="BG1437" i="12"/>
  <c r="BF1437" i="12"/>
  <c r="BE1437" i="12"/>
  <c r="BD1437" i="12"/>
  <c r="BC1437" i="12"/>
  <c r="BB1437" i="12"/>
  <c r="BA1437" i="12"/>
  <c r="AZ1437" i="12"/>
  <c r="AY1437" i="12"/>
  <c r="AX1437" i="12"/>
  <c r="BI1436" i="12"/>
  <c r="BG1436" i="12"/>
  <c r="BF1436" i="12"/>
  <c r="BE1436" i="12"/>
  <c r="BD1436" i="12"/>
  <c r="BC1436" i="12"/>
  <c r="BB1436" i="12"/>
  <c r="BA1436" i="12"/>
  <c r="AZ1436" i="12"/>
  <c r="AY1436" i="12"/>
  <c r="AX1436" i="12"/>
  <c r="BI1435" i="12"/>
  <c r="BG1435" i="12"/>
  <c r="BF1435" i="12"/>
  <c r="BE1435" i="12"/>
  <c r="BD1435" i="12"/>
  <c r="BC1435" i="12"/>
  <c r="BB1435" i="12"/>
  <c r="BA1435" i="12"/>
  <c r="AZ1435" i="12"/>
  <c r="AY1435" i="12"/>
  <c r="AX1435" i="12"/>
  <c r="BI1434" i="12"/>
  <c r="BG1434" i="12"/>
  <c r="BF1434" i="12"/>
  <c r="BE1434" i="12"/>
  <c r="BD1434" i="12"/>
  <c r="BC1434" i="12"/>
  <c r="BB1434" i="12"/>
  <c r="BA1434" i="12"/>
  <c r="AZ1434" i="12"/>
  <c r="AY1434" i="12"/>
  <c r="AX1434" i="12"/>
  <c r="BI1433" i="12"/>
  <c r="BG1433" i="12"/>
  <c r="BF1433" i="12"/>
  <c r="BE1433" i="12"/>
  <c r="BD1433" i="12"/>
  <c r="BC1433" i="12"/>
  <c r="BB1433" i="12"/>
  <c r="BA1433" i="12"/>
  <c r="AZ1433" i="12"/>
  <c r="AY1433" i="12"/>
  <c r="AX1433" i="12"/>
  <c r="BI1432" i="12"/>
  <c r="BG1432" i="12"/>
  <c r="BF1432" i="12"/>
  <c r="BE1432" i="12"/>
  <c r="BD1432" i="12"/>
  <c r="BC1432" i="12"/>
  <c r="BB1432" i="12"/>
  <c r="BA1432" i="12"/>
  <c r="AZ1432" i="12"/>
  <c r="AY1432" i="12"/>
  <c r="AX1432" i="12"/>
  <c r="BI1431" i="12"/>
  <c r="BG1431" i="12"/>
  <c r="BF1431" i="12"/>
  <c r="BE1431" i="12"/>
  <c r="BD1431" i="12"/>
  <c r="BC1431" i="12"/>
  <c r="BB1431" i="12"/>
  <c r="BA1431" i="12"/>
  <c r="AZ1431" i="12"/>
  <c r="AY1431" i="12"/>
  <c r="AX1431" i="12"/>
  <c r="BI1430" i="12"/>
  <c r="BG1430" i="12"/>
  <c r="BF1430" i="12"/>
  <c r="BE1430" i="12"/>
  <c r="BD1430" i="12"/>
  <c r="BC1430" i="12"/>
  <c r="BB1430" i="12"/>
  <c r="BA1430" i="12"/>
  <c r="AZ1430" i="12"/>
  <c r="AY1430" i="12"/>
  <c r="AX1430" i="12"/>
  <c r="BI1429" i="12"/>
  <c r="BG1429" i="12"/>
  <c r="BF1429" i="12"/>
  <c r="BE1429" i="12"/>
  <c r="BD1429" i="12"/>
  <c r="BC1429" i="12"/>
  <c r="BB1429" i="12"/>
  <c r="BA1429" i="12"/>
  <c r="AZ1429" i="12"/>
  <c r="AY1429" i="12"/>
  <c r="AX1429" i="12"/>
  <c r="BI1428" i="12"/>
  <c r="BG1428" i="12"/>
  <c r="BF1428" i="12"/>
  <c r="BE1428" i="12"/>
  <c r="BD1428" i="12"/>
  <c r="BC1428" i="12"/>
  <c r="BB1428" i="12"/>
  <c r="BA1428" i="12"/>
  <c r="AZ1428" i="12"/>
  <c r="AY1428" i="12"/>
  <c r="AX1428" i="12"/>
  <c r="BI1427" i="12"/>
  <c r="BG1427" i="12"/>
  <c r="BF1427" i="12"/>
  <c r="BE1427" i="12"/>
  <c r="BD1427" i="12"/>
  <c r="BC1427" i="12"/>
  <c r="BB1427" i="12"/>
  <c r="BA1427" i="12"/>
  <c r="AZ1427" i="12"/>
  <c r="AY1427" i="12"/>
  <c r="AX1427" i="12"/>
  <c r="BI1426" i="12"/>
  <c r="BG1426" i="12"/>
  <c r="BF1426" i="12"/>
  <c r="BE1426" i="12"/>
  <c r="BD1426" i="12"/>
  <c r="BC1426" i="12"/>
  <c r="BB1426" i="12"/>
  <c r="BA1426" i="12"/>
  <c r="AZ1426" i="12"/>
  <c r="AY1426" i="12"/>
  <c r="AX1426" i="12"/>
  <c r="BI1425" i="12"/>
  <c r="BG1425" i="12"/>
  <c r="BF1425" i="12"/>
  <c r="BE1425" i="12"/>
  <c r="BD1425" i="12"/>
  <c r="BC1425" i="12"/>
  <c r="BB1425" i="12"/>
  <c r="BA1425" i="12"/>
  <c r="AZ1425" i="12"/>
  <c r="AY1425" i="12"/>
  <c r="AX1425" i="12"/>
  <c r="BI1424" i="12"/>
  <c r="BG1424" i="12"/>
  <c r="BF1424" i="12"/>
  <c r="BE1424" i="12"/>
  <c r="BD1424" i="12"/>
  <c r="BC1424" i="12"/>
  <c r="BB1424" i="12"/>
  <c r="BA1424" i="12"/>
  <c r="AZ1424" i="12"/>
  <c r="AY1424" i="12"/>
  <c r="AX1424" i="12"/>
  <c r="BI1423" i="12"/>
  <c r="BG1423" i="12"/>
  <c r="BF1423" i="12"/>
  <c r="BE1423" i="12"/>
  <c r="BD1423" i="12"/>
  <c r="BC1423" i="12"/>
  <c r="BB1423" i="12"/>
  <c r="BA1423" i="12"/>
  <c r="AZ1423" i="12"/>
  <c r="AY1423" i="12"/>
  <c r="AX1423" i="12"/>
  <c r="BI1422" i="12"/>
  <c r="BG1422" i="12"/>
  <c r="BF1422" i="12"/>
  <c r="BE1422" i="12"/>
  <c r="BD1422" i="12"/>
  <c r="BC1422" i="12"/>
  <c r="BB1422" i="12"/>
  <c r="BA1422" i="12"/>
  <c r="AZ1422" i="12"/>
  <c r="AY1422" i="12"/>
  <c r="AX1422" i="12"/>
  <c r="BI1421" i="12"/>
  <c r="BG1421" i="12"/>
  <c r="BF1421" i="12"/>
  <c r="BE1421" i="12"/>
  <c r="BD1421" i="12"/>
  <c r="BC1421" i="12"/>
  <c r="BB1421" i="12"/>
  <c r="BA1421" i="12"/>
  <c r="AZ1421" i="12"/>
  <c r="AY1421" i="12"/>
  <c r="AX1421" i="12"/>
  <c r="BI1420" i="12"/>
  <c r="BG1420" i="12"/>
  <c r="BF1420" i="12"/>
  <c r="BE1420" i="12"/>
  <c r="BD1420" i="12"/>
  <c r="BC1420" i="12"/>
  <c r="BB1420" i="12"/>
  <c r="BA1420" i="12"/>
  <c r="AZ1420" i="12"/>
  <c r="AY1420" i="12"/>
  <c r="AX1420" i="12"/>
  <c r="BI1419" i="12"/>
  <c r="BG1419" i="12"/>
  <c r="BF1419" i="12"/>
  <c r="BE1419" i="12"/>
  <c r="BD1419" i="12"/>
  <c r="BC1419" i="12"/>
  <c r="BB1419" i="12"/>
  <c r="BA1419" i="12"/>
  <c r="AZ1419" i="12"/>
  <c r="AY1419" i="12"/>
  <c r="AX1419" i="12"/>
  <c r="BI1418" i="12"/>
  <c r="BG1418" i="12"/>
  <c r="BF1418" i="12"/>
  <c r="BE1418" i="12"/>
  <c r="BD1418" i="12"/>
  <c r="BC1418" i="12"/>
  <c r="BB1418" i="12"/>
  <c r="BA1418" i="12"/>
  <c r="AZ1418" i="12"/>
  <c r="AY1418" i="12"/>
  <c r="AX1418" i="12"/>
  <c r="BI1417" i="12"/>
  <c r="BG1417" i="12"/>
  <c r="BF1417" i="12"/>
  <c r="BE1417" i="12"/>
  <c r="BD1417" i="12"/>
  <c r="BC1417" i="12"/>
  <c r="BB1417" i="12"/>
  <c r="BA1417" i="12"/>
  <c r="AZ1417" i="12"/>
  <c r="AY1417" i="12"/>
  <c r="AX1417" i="12"/>
  <c r="BI1416" i="12"/>
  <c r="BG1416" i="12"/>
  <c r="BF1416" i="12"/>
  <c r="BE1416" i="12"/>
  <c r="BD1416" i="12"/>
  <c r="BC1416" i="12"/>
  <c r="BB1416" i="12"/>
  <c r="BA1416" i="12"/>
  <c r="AZ1416" i="12"/>
  <c r="AY1416" i="12"/>
  <c r="AX1416" i="12"/>
  <c r="BI1415" i="12"/>
  <c r="BG1415" i="12"/>
  <c r="BF1415" i="12"/>
  <c r="BE1415" i="12"/>
  <c r="BD1415" i="12"/>
  <c r="BC1415" i="12"/>
  <c r="BB1415" i="12"/>
  <c r="BA1415" i="12"/>
  <c r="AZ1415" i="12"/>
  <c r="AY1415" i="12"/>
  <c r="AX1415" i="12"/>
  <c r="BI1414" i="12"/>
  <c r="BG1414" i="12"/>
  <c r="BF1414" i="12"/>
  <c r="BE1414" i="12"/>
  <c r="BD1414" i="12"/>
  <c r="BC1414" i="12"/>
  <c r="BB1414" i="12"/>
  <c r="BA1414" i="12"/>
  <c r="AZ1414" i="12"/>
  <c r="AY1414" i="12"/>
  <c r="AX1414" i="12"/>
  <c r="BI1413" i="12"/>
  <c r="BG1413" i="12"/>
  <c r="BF1413" i="12"/>
  <c r="BE1413" i="12"/>
  <c r="BD1413" i="12"/>
  <c r="BC1413" i="12"/>
  <c r="BB1413" i="12"/>
  <c r="BA1413" i="12"/>
  <c r="AZ1413" i="12"/>
  <c r="AY1413" i="12"/>
  <c r="AX1413" i="12"/>
  <c r="BI1412" i="12"/>
  <c r="BG1412" i="12"/>
  <c r="BF1412" i="12"/>
  <c r="BE1412" i="12"/>
  <c r="BD1412" i="12"/>
  <c r="BC1412" i="12"/>
  <c r="BB1412" i="12"/>
  <c r="BA1412" i="12"/>
  <c r="AZ1412" i="12"/>
  <c r="AY1412" i="12"/>
  <c r="AX1412" i="12"/>
  <c r="BI1411" i="12"/>
  <c r="BG1411" i="12"/>
  <c r="BF1411" i="12"/>
  <c r="BE1411" i="12"/>
  <c r="BD1411" i="12"/>
  <c r="BC1411" i="12"/>
  <c r="BB1411" i="12"/>
  <c r="BA1411" i="12"/>
  <c r="AZ1411" i="12"/>
  <c r="AY1411" i="12"/>
  <c r="AX1411" i="12"/>
  <c r="BI1410" i="12"/>
  <c r="BG1410" i="12"/>
  <c r="BF1410" i="12"/>
  <c r="BE1410" i="12"/>
  <c r="BD1410" i="12"/>
  <c r="BC1410" i="12"/>
  <c r="BB1410" i="12"/>
  <c r="BA1410" i="12"/>
  <c r="AZ1410" i="12"/>
  <c r="AY1410" i="12"/>
  <c r="AX1410" i="12"/>
  <c r="BI1409" i="12"/>
  <c r="BG1409" i="12"/>
  <c r="BF1409" i="12"/>
  <c r="BE1409" i="12"/>
  <c r="BD1409" i="12"/>
  <c r="BC1409" i="12"/>
  <c r="BB1409" i="12"/>
  <c r="BA1409" i="12"/>
  <c r="AZ1409" i="12"/>
  <c r="AY1409" i="12"/>
  <c r="AX1409" i="12"/>
  <c r="BI1408" i="12"/>
  <c r="BG1408" i="12"/>
  <c r="BF1408" i="12"/>
  <c r="BE1408" i="12"/>
  <c r="BD1408" i="12"/>
  <c r="BC1408" i="12"/>
  <c r="BB1408" i="12"/>
  <c r="BA1408" i="12"/>
  <c r="AZ1408" i="12"/>
  <c r="AY1408" i="12"/>
  <c r="AX1408" i="12"/>
  <c r="BI1407" i="12"/>
  <c r="BG1407" i="12"/>
  <c r="BF1407" i="12"/>
  <c r="BE1407" i="12"/>
  <c r="BD1407" i="12"/>
  <c r="BC1407" i="12"/>
  <c r="BB1407" i="12"/>
  <c r="BA1407" i="12"/>
  <c r="AZ1407" i="12"/>
  <c r="AY1407" i="12"/>
  <c r="AX1407" i="12"/>
  <c r="BI1406" i="12"/>
  <c r="BG1406" i="12"/>
  <c r="BF1406" i="12"/>
  <c r="BE1406" i="12"/>
  <c r="BD1406" i="12"/>
  <c r="BC1406" i="12"/>
  <c r="BB1406" i="12"/>
  <c r="BA1406" i="12"/>
  <c r="AZ1406" i="12"/>
  <c r="AY1406" i="12"/>
  <c r="AX1406" i="12"/>
  <c r="BI1405" i="12"/>
  <c r="BG1405" i="12"/>
  <c r="BF1405" i="12"/>
  <c r="BE1405" i="12"/>
  <c r="BD1405" i="12"/>
  <c r="BC1405" i="12"/>
  <c r="BB1405" i="12"/>
  <c r="BA1405" i="12"/>
  <c r="AZ1405" i="12"/>
  <c r="AY1405" i="12"/>
  <c r="AX1405" i="12"/>
  <c r="BI1404" i="12"/>
  <c r="BG1404" i="12"/>
  <c r="BF1404" i="12"/>
  <c r="BE1404" i="12"/>
  <c r="BD1404" i="12"/>
  <c r="BC1404" i="12"/>
  <c r="BB1404" i="12"/>
  <c r="BA1404" i="12"/>
  <c r="AZ1404" i="12"/>
  <c r="AY1404" i="12"/>
  <c r="AX1404" i="12"/>
  <c r="BI1403" i="12"/>
  <c r="BG1403" i="12"/>
  <c r="BF1403" i="12"/>
  <c r="BE1403" i="12"/>
  <c r="BD1403" i="12"/>
  <c r="BC1403" i="12"/>
  <c r="BB1403" i="12"/>
  <c r="BA1403" i="12"/>
  <c r="AZ1403" i="12"/>
  <c r="AY1403" i="12"/>
  <c r="AX1403" i="12"/>
  <c r="BI1402" i="12"/>
  <c r="BG1402" i="12"/>
  <c r="BF1402" i="12"/>
  <c r="BE1402" i="12"/>
  <c r="BD1402" i="12"/>
  <c r="BC1402" i="12"/>
  <c r="BB1402" i="12"/>
  <c r="BA1402" i="12"/>
  <c r="AZ1402" i="12"/>
  <c r="AY1402" i="12"/>
  <c r="AX1402" i="12"/>
  <c r="BI1401" i="12"/>
  <c r="BG1401" i="12"/>
  <c r="BF1401" i="12"/>
  <c r="BE1401" i="12"/>
  <c r="BD1401" i="12"/>
  <c r="BC1401" i="12"/>
  <c r="BB1401" i="12"/>
  <c r="BA1401" i="12"/>
  <c r="AZ1401" i="12"/>
  <c r="AY1401" i="12"/>
  <c r="AX1401" i="12"/>
  <c r="BI1400" i="12"/>
  <c r="BG1400" i="12"/>
  <c r="BF1400" i="12"/>
  <c r="BE1400" i="12"/>
  <c r="BD1400" i="12"/>
  <c r="BC1400" i="12"/>
  <c r="BB1400" i="12"/>
  <c r="BA1400" i="12"/>
  <c r="AZ1400" i="12"/>
  <c r="AY1400" i="12"/>
  <c r="AX1400" i="12"/>
  <c r="BI1399" i="12"/>
  <c r="BG1399" i="12"/>
  <c r="BF1399" i="12"/>
  <c r="BE1399" i="12"/>
  <c r="BD1399" i="12"/>
  <c r="BC1399" i="12"/>
  <c r="BB1399" i="12"/>
  <c r="BA1399" i="12"/>
  <c r="AZ1399" i="12"/>
  <c r="AY1399" i="12"/>
  <c r="AX1399" i="12"/>
  <c r="BI1398" i="12"/>
  <c r="BG1398" i="12"/>
  <c r="BF1398" i="12"/>
  <c r="BE1398" i="12"/>
  <c r="BD1398" i="12"/>
  <c r="BC1398" i="12"/>
  <c r="BB1398" i="12"/>
  <c r="BA1398" i="12"/>
  <c r="AZ1398" i="12"/>
  <c r="AY1398" i="12"/>
  <c r="AX1398" i="12"/>
  <c r="BI1397" i="12"/>
  <c r="BG1397" i="12"/>
  <c r="BF1397" i="12"/>
  <c r="BE1397" i="12"/>
  <c r="BD1397" i="12"/>
  <c r="BC1397" i="12"/>
  <c r="BB1397" i="12"/>
  <c r="BA1397" i="12"/>
  <c r="AZ1397" i="12"/>
  <c r="AY1397" i="12"/>
  <c r="AX1397" i="12"/>
  <c r="BI1396" i="12"/>
  <c r="BG1396" i="12"/>
  <c r="BF1396" i="12"/>
  <c r="BE1396" i="12"/>
  <c r="BD1396" i="12"/>
  <c r="BC1396" i="12"/>
  <c r="BB1396" i="12"/>
  <c r="BA1396" i="12"/>
  <c r="AZ1396" i="12"/>
  <c r="AY1396" i="12"/>
  <c r="AX1396" i="12"/>
  <c r="BI1395" i="12"/>
  <c r="BG1395" i="12"/>
  <c r="BF1395" i="12"/>
  <c r="BE1395" i="12"/>
  <c r="BD1395" i="12"/>
  <c r="BC1395" i="12"/>
  <c r="BB1395" i="12"/>
  <c r="BA1395" i="12"/>
  <c r="AZ1395" i="12"/>
  <c r="AY1395" i="12"/>
  <c r="AX1395" i="12"/>
  <c r="BI1394" i="12"/>
  <c r="BG1394" i="12"/>
  <c r="BF1394" i="12"/>
  <c r="BE1394" i="12"/>
  <c r="BD1394" i="12"/>
  <c r="BC1394" i="12"/>
  <c r="BB1394" i="12"/>
  <c r="BA1394" i="12"/>
  <c r="AZ1394" i="12"/>
  <c r="AY1394" i="12"/>
  <c r="AX1394" i="12"/>
  <c r="BI1393" i="12"/>
  <c r="BG1393" i="12"/>
  <c r="BF1393" i="12"/>
  <c r="BE1393" i="12"/>
  <c r="BD1393" i="12"/>
  <c r="BC1393" i="12"/>
  <c r="BB1393" i="12"/>
  <c r="BA1393" i="12"/>
  <c r="AZ1393" i="12"/>
  <c r="AY1393" i="12"/>
  <c r="AX1393" i="12"/>
  <c r="BI1392" i="12"/>
  <c r="BG1392" i="12"/>
  <c r="BF1392" i="12"/>
  <c r="BE1392" i="12"/>
  <c r="BD1392" i="12"/>
  <c r="BC1392" i="12"/>
  <c r="BB1392" i="12"/>
  <c r="BA1392" i="12"/>
  <c r="AZ1392" i="12"/>
  <c r="AY1392" i="12"/>
  <c r="AX1392" i="12"/>
  <c r="BI1391" i="12"/>
  <c r="BG1391" i="12"/>
  <c r="BF1391" i="12"/>
  <c r="BE1391" i="12"/>
  <c r="BD1391" i="12"/>
  <c r="BC1391" i="12"/>
  <c r="BB1391" i="12"/>
  <c r="BA1391" i="12"/>
  <c r="AZ1391" i="12"/>
  <c r="AY1391" i="12"/>
  <c r="AX1391" i="12"/>
  <c r="BI1390" i="12"/>
  <c r="BG1390" i="12"/>
  <c r="BF1390" i="12"/>
  <c r="BE1390" i="12"/>
  <c r="BD1390" i="12"/>
  <c r="BC1390" i="12"/>
  <c r="BB1390" i="12"/>
  <c r="BA1390" i="12"/>
  <c r="AZ1390" i="12"/>
  <c r="AY1390" i="12"/>
  <c r="AX1390" i="12"/>
  <c r="BI1389" i="12"/>
  <c r="BG1389" i="12"/>
  <c r="BF1389" i="12"/>
  <c r="BE1389" i="12"/>
  <c r="BD1389" i="12"/>
  <c r="BC1389" i="12"/>
  <c r="BB1389" i="12"/>
  <c r="BA1389" i="12"/>
  <c r="AZ1389" i="12"/>
  <c r="AY1389" i="12"/>
  <c r="AX1389" i="12"/>
  <c r="BI1388" i="12"/>
  <c r="BG1388" i="12"/>
  <c r="BF1388" i="12"/>
  <c r="BE1388" i="12"/>
  <c r="BD1388" i="12"/>
  <c r="BC1388" i="12"/>
  <c r="BB1388" i="12"/>
  <c r="BA1388" i="12"/>
  <c r="AZ1388" i="12"/>
  <c r="AY1388" i="12"/>
  <c r="AX1388" i="12"/>
  <c r="BI1387" i="12"/>
  <c r="BG1387" i="12"/>
  <c r="BF1387" i="12"/>
  <c r="BE1387" i="12"/>
  <c r="BD1387" i="12"/>
  <c r="BC1387" i="12"/>
  <c r="BB1387" i="12"/>
  <c r="BA1387" i="12"/>
  <c r="AZ1387" i="12"/>
  <c r="AY1387" i="12"/>
  <c r="AX1387" i="12"/>
  <c r="BI1386" i="12"/>
  <c r="BG1386" i="12"/>
  <c r="BF1386" i="12"/>
  <c r="BE1386" i="12"/>
  <c r="BD1386" i="12"/>
  <c r="BC1386" i="12"/>
  <c r="BB1386" i="12"/>
  <c r="BA1386" i="12"/>
  <c r="AZ1386" i="12"/>
  <c r="AY1386" i="12"/>
  <c r="AX1386" i="12"/>
  <c r="BI1385" i="12"/>
  <c r="BG1385" i="12"/>
  <c r="BF1385" i="12"/>
  <c r="BE1385" i="12"/>
  <c r="BD1385" i="12"/>
  <c r="BC1385" i="12"/>
  <c r="BB1385" i="12"/>
  <c r="BA1385" i="12"/>
  <c r="AZ1385" i="12"/>
  <c r="AY1385" i="12"/>
  <c r="AX1385" i="12"/>
  <c r="BI1384" i="12"/>
  <c r="BG1384" i="12"/>
  <c r="BF1384" i="12"/>
  <c r="BE1384" i="12"/>
  <c r="BD1384" i="12"/>
  <c r="BC1384" i="12"/>
  <c r="BB1384" i="12"/>
  <c r="BA1384" i="12"/>
  <c r="AZ1384" i="12"/>
  <c r="AY1384" i="12"/>
  <c r="AX1384" i="12"/>
  <c r="BI1383" i="12"/>
  <c r="BG1383" i="12"/>
  <c r="BF1383" i="12"/>
  <c r="BE1383" i="12"/>
  <c r="BD1383" i="12"/>
  <c r="BC1383" i="12"/>
  <c r="BB1383" i="12"/>
  <c r="BA1383" i="12"/>
  <c r="AZ1383" i="12"/>
  <c r="AY1383" i="12"/>
  <c r="AX1383" i="12"/>
  <c r="BI1382" i="12"/>
  <c r="BG1382" i="12"/>
  <c r="BF1382" i="12"/>
  <c r="BE1382" i="12"/>
  <c r="BD1382" i="12"/>
  <c r="BC1382" i="12"/>
  <c r="BB1382" i="12"/>
  <c r="BA1382" i="12"/>
  <c r="AZ1382" i="12"/>
  <c r="AY1382" i="12"/>
  <c r="AX1382" i="12"/>
  <c r="BI1381" i="12"/>
  <c r="BG1381" i="12"/>
  <c r="BF1381" i="12"/>
  <c r="BE1381" i="12"/>
  <c r="BD1381" i="12"/>
  <c r="BC1381" i="12"/>
  <c r="BB1381" i="12"/>
  <c r="BA1381" i="12"/>
  <c r="AZ1381" i="12"/>
  <c r="AY1381" i="12"/>
  <c r="AX1381" i="12"/>
  <c r="BI1380" i="12"/>
  <c r="BG1380" i="12"/>
  <c r="BF1380" i="12"/>
  <c r="BE1380" i="12"/>
  <c r="BD1380" i="12"/>
  <c r="BC1380" i="12"/>
  <c r="BB1380" i="12"/>
  <c r="BA1380" i="12"/>
  <c r="AZ1380" i="12"/>
  <c r="AY1380" i="12"/>
  <c r="AX1380" i="12"/>
  <c r="BI1379" i="12"/>
  <c r="BG1379" i="12"/>
  <c r="BF1379" i="12"/>
  <c r="BE1379" i="12"/>
  <c r="BD1379" i="12"/>
  <c r="BC1379" i="12"/>
  <c r="BB1379" i="12"/>
  <c r="BA1379" i="12"/>
  <c r="AZ1379" i="12"/>
  <c r="AY1379" i="12"/>
  <c r="AX1379" i="12"/>
  <c r="BI1378" i="12"/>
  <c r="BG1378" i="12"/>
  <c r="BF1378" i="12"/>
  <c r="BE1378" i="12"/>
  <c r="BD1378" i="12"/>
  <c r="BC1378" i="12"/>
  <c r="BB1378" i="12"/>
  <c r="BA1378" i="12"/>
  <c r="AZ1378" i="12"/>
  <c r="AY1378" i="12"/>
  <c r="AX1378" i="12"/>
  <c r="BI1377" i="12"/>
  <c r="BG1377" i="12"/>
  <c r="BF1377" i="12"/>
  <c r="BE1377" i="12"/>
  <c r="BD1377" i="12"/>
  <c r="BC1377" i="12"/>
  <c r="BB1377" i="12"/>
  <c r="BA1377" i="12"/>
  <c r="AZ1377" i="12"/>
  <c r="AY1377" i="12"/>
  <c r="AX1377" i="12"/>
  <c r="BI1376" i="12"/>
  <c r="BG1376" i="12"/>
  <c r="BF1376" i="12"/>
  <c r="BE1376" i="12"/>
  <c r="BD1376" i="12"/>
  <c r="BC1376" i="12"/>
  <c r="BB1376" i="12"/>
  <c r="BA1376" i="12"/>
  <c r="AZ1376" i="12"/>
  <c r="AY1376" i="12"/>
  <c r="AX1376" i="12"/>
  <c r="BI1375" i="12"/>
  <c r="BG1375" i="12"/>
  <c r="BF1375" i="12"/>
  <c r="BE1375" i="12"/>
  <c r="BD1375" i="12"/>
  <c r="BC1375" i="12"/>
  <c r="BB1375" i="12"/>
  <c r="BA1375" i="12"/>
  <c r="AZ1375" i="12"/>
  <c r="AY1375" i="12"/>
  <c r="AX1375" i="12"/>
  <c r="BI1374" i="12"/>
  <c r="BG1374" i="12"/>
  <c r="BF1374" i="12"/>
  <c r="BE1374" i="12"/>
  <c r="BD1374" i="12"/>
  <c r="BC1374" i="12"/>
  <c r="BB1374" i="12"/>
  <c r="BA1374" i="12"/>
  <c r="AZ1374" i="12"/>
  <c r="AY1374" i="12"/>
  <c r="AX1374" i="12"/>
  <c r="BI1373" i="12"/>
  <c r="BG1373" i="12"/>
  <c r="BF1373" i="12"/>
  <c r="BE1373" i="12"/>
  <c r="BD1373" i="12"/>
  <c r="BC1373" i="12"/>
  <c r="BB1373" i="12"/>
  <c r="BA1373" i="12"/>
  <c r="AZ1373" i="12"/>
  <c r="AY1373" i="12"/>
  <c r="AX1373" i="12"/>
  <c r="BI1372" i="12"/>
  <c r="BG1372" i="12"/>
  <c r="BF1372" i="12"/>
  <c r="BE1372" i="12"/>
  <c r="BD1372" i="12"/>
  <c r="BC1372" i="12"/>
  <c r="BB1372" i="12"/>
  <c r="BA1372" i="12"/>
  <c r="AZ1372" i="12"/>
  <c r="AY1372" i="12"/>
  <c r="AX1372" i="12"/>
  <c r="BI1371" i="12"/>
  <c r="BG1371" i="12"/>
  <c r="BF1371" i="12"/>
  <c r="BE1371" i="12"/>
  <c r="BD1371" i="12"/>
  <c r="BC1371" i="12"/>
  <c r="BB1371" i="12"/>
  <c r="BA1371" i="12"/>
  <c r="AZ1371" i="12"/>
  <c r="AY1371" i="12"/>
  <c r="AX1371" i="12"/>
  <c r="BI1370" i="12"/>
  <c r="BG1370" i="12"/>
  <c r="BF1370" i="12"/>
  <c r="BE1370" i="12"/>
  <c r="BD1370" i="12"/>
  <c r="BC1370" i="12"/>
  <c r="BB1370" i="12"/>
  <c r="BA1370" i="12"/>
  <c r="AZ1370" i="12"/>
  <c r="AY1370" i="12"/>
  <c r="AX1370" i="12"/>
  <c r="BI1369" i="12"/>
  <c r="BG1369" i="12"/>
  <c r="BF1369" i="12"/>
  <c r="BE1369" i="12"/>
  <c r="BD1369" i="12"/>
  <c r="BC1369" i="12"/>
  <c r="BB1369" i="12"/>
  <c r="BA1369" i="12"/>
  <c r="AZ1369" i="12"/>
  <c r="AY1369" i="12"/>
  <c r="AX1369" i="12"/>
  <c r="BI1368" i="12"/>
  <c r="BG1368" i="12"/>
  <c r="BF1368" i="12"/>
  <c r="BE1368" i="12"/>
  <c r="BD1368" i="12"/>
  <c r="BC1368" i="12"/>
  <c r="BB1368" i="12"/>
  <c r="BA1368" i="12"/>
  <c r="AZ1368" i="12"/>
  <c r="AY1368" i="12"/>
  <c r="AX1368" i="12"/>
  <c r="BI1367" i="12"/>
  <c r="BG1367" i="12"/>
  <c r="BF1367" i="12"/>
  <c r="BE1367" i="12"/>
  <c r="BD1367" i="12"/>
  <c r="BC1367" i="12"/>
  <c r="BB1367" i="12"/>
  <c r="BA1367" i="12"/>
  <c r="AZ1367" i="12"/>
  <c r="AY1367" i="12"/>
  <c r="AX1367" i="12"/>
  <c r="BI1366" i="12"/>
  <c r="BG1366" i="12"/>
  <c r="BF1366" i="12"/>
  <c r="BE1366" i="12"/>
  <c r="BD1366" i="12"/>
  <c r="BC1366" i="12"/>
  <c r="BB1366" i="12"/>
  <c r="BA1366" i="12"/>
  <c r="AZ1366" i="12"/>
  <c r="AY1366" i="12"/>
  <c r="AX1366" i="12"/>
  <c r="BI1365" i="12"/>
  <c r="BG1365" i="12"/>
  <c r="BF1365" i="12"/>
  <c r="BE1365" i="12"/>
  <c r="BD1365" i="12"/>
  <c r="BC1365" i="12"/>
  <c r="BB1365" i="12"/>
  <c r="BA1365" i="12"/>
  <c r="AZ1365" i="12"/>
  <c r="AY1365" i="12"/>
  <c r="AX1365" i="12"/>
  <c r="BI1364" i="12"/>
  <c r="BG1364" i="12"/>
  <c r="BF1364" i="12"/>
  <c r="BE1364" i="12"/>
  <c r="BD1364" i="12"/>
  <c r="BC1364" i="12"/>
  <c r="BB1364" i="12"/>
  <c r="BA1364" i="12"/>
  <c r="AZ1364" i="12"/>
  <c r="AY1364" i="12"/>
  <c r="AX1364" i="12"/>
  <c r="BI1363" i="12"/>
  <c r="BG1363" i="12"/>
  <c r="BF1363" i="12"/>
  <c r="BE1363" i="12"/>
  <c r="BD1363" i="12"/>
  <c r="BC1363" i="12"/>
  <c r="BB1363" i="12"/>
  <c r="BA1363" i="12"/>
  <c r="AZ1363" i="12"/>
  <c r="AY1363" i="12"/>
  <c r="AX1363" i="12"/>
  <c r="BI1362" i="12"/>
  <c r="BG1362" i="12"/>
  <c r="BF1362" i="12"/>
  <c r="BE1362" i="12"/>
  <c r="BD1362" i="12"/>
  <c r="BC1362" i="12"/>
  <c r="BB1362" i="12"/>
  <c r="BA1362" i="12"/>
  <c r="AZ1362" i="12"/>
  <c r="AY1362" i="12"/>
  <c r="AX1362" i="12"/>
  <c r="BI1361" i="12"/>
  <c r="BG1361" i="12"/>
  <c r="BF1361" i="12"/>
  <c r="BE1361" i="12"/>
  <c r="BD1361" i="12"/>
  <c r="BC1361" i="12"/>
  <c r="BB1361" i="12"/>
  <c r="BA1361" i="12"/>
  <c r="AZ1361" i="12"/>
  <c r="AY1361" i="12"/>
  <c r="AX1361" i="12"/>
  <c r="BI1360" i="12"/>
  <c r="BG1360" i="12"/>
  <c r="BF1360" i="12"/>
  <c r="BE1360" i="12"/>
  <c r="BD1360" i="12"/>
  <c r="BC1360" i="12"/>
  <c r="BB1360" i="12"/>
  <c r="BA1360" i="12"/>
  <c r="AZ1360" i="12"/>
  <c r="AY1360" i="12"/>
  <c r="AX1360" i="12"/>
  <c r="BI1359" i="12"/>
  <c r="BG1359" i="12"/>
  <c r="BF1359" i="12"/>
  <c r="BE1359" i="12"/>
  <c r="BD1359" i="12"/>
  <c r="BC1359" i="12"/>
  <c r="BB1359" i="12"/>
  <c r="BA1359" i="12"/>
  <c r="AZ1359" i="12"/>
  <c r="AY1359" i="12"/>
  <c r="AX1359" i="12"/>
  <c r="BI1358" i="12"/>
  <c r="BG1358" i="12"/>
  <c r="BF1358" i="12"/>
  <c r="BE1358" i="12"/>
  <c r="BD1358" i="12"/>
  <c r="BC1358" i="12"/>
  <c r="BB1358" i="12"/>
  <c r="BA1358" i="12"/>
  <c r="AZ1358" i="12"/>
  <c r="AY1358" i="12"/>
  <c r="AX1358" i="12"/>
  <c r="BI1357" i="12"/>
  <c r="BG1357" i="12"/>
  <c r="BF1357" i="12"/>
  <c r="BE1357" i="12"/>
  <c r="BD1357" i="12"/>
  <c r="BC1357" i="12"/>
  <c r="BB1357" i="12"/>
  <c r="BA1357" i="12"/>
  <c r="AZ1357" i="12"/>
  <c r="AY1357" i="12"/>
  <c r="AX1357" i="12"/>
  <c r="BI1356" i="12"/>
  <c r="BG1356" i="12"/>
  <c r="BF1356" i="12"/>
  <c r="BE1356" i="12"/>
  <c r="BD1356" i="12"/>
  <c r="BC1356" i="12"/>
  <c r="BB1356" i="12"/>
  <c r="BA1356" i="12"/>
  <c r="AZ1356" i="12"/>
  <c r="AY1356" i="12"/>
  <c r="AX1356" i="12"/>
  <c r="BI1355" i="12"/>
  <c r="BG1355" i="12"/>
  <c r="BF1355" i="12"/>
  <c r="BE1355" i="12"/>
  <c r="BD1355" i="12"/>
  <c r="BC1355" i="12"/>
  <c r="BB1355" i="12"/>
  <c r="BA1355" i="12"/>
  <c r="AZ1355" i="12"/>
  <c r="AY1355" i="12"/>
  <c r="AX1355" i="12"/>
  <c r="BI1354" i="12"/>
  <c r="BG1354" i="12"/>
  <c r="BF1354" i="12"/>
  <c r="BE1354" i="12"/>
  <c r="BD1354" i="12"/>
  <c r="BC1354" i="12"/>
  <c r="BB1354" i="12"/>
  <c r="BA1354" i="12"/>
  <c r="AZ1354" i="12"/>
  <c r="AY1354" i="12"/>
  <c r="AX1354" i="12"/>
  <c r="BI1353" i="12"/>
  <c r="BG1353" i="12"/>
  <c r="BF1353" i="12"/>
  <c r="BE1353" i="12"/>
  <c r="BD1353" i="12"/>
  <c r="BC1353" i="12"/>
  <c r="BB1353" i="12"/>
  <c r="BA1353" i="12"/>
  <c r="AZ1353" i="12"/>
  <c r="AY1353" i="12"/>
  <c r="AX1353" i="12"/>
  <c r="BI1352" i="12"/>
  <c r="BG1352" i="12"/>
  <c r="BF1352" i="12"/>
  <c r="BE1352" i="12"/>
  <c r="BD1352" i="12"/>
  <c r="BC1352" i="12"/>
  <c r="BB1352" i="12"/>
  <c r="BA1352" i="12"/>
  <c r="AZ1352" i="12"/>
  <c r="AY1352" i="12"/>
  <c r="AX1352" i="12"/>
  <c r="BI1351" i="12"/>
  <c r="BG1351" i="12"/>
  <c r="BF1351" i="12"/>
  <c r="BE1351" i="12"/>
  <c r="BD1351" i="12"/>
  <c r="BC1351" i="12"/>
  <c r="BB1351" i="12"/>
  <c r="BA1351" i="12"/>
  <c r="AZ1351" i="12"/>
  <c r="AY1351" i="12"/>
  <c r="AX1351" i="12"/>
  <c r="BI1350" i="12"/>
  <c r="BG1350" i="12"/>
  <c r="BF1350" i="12"/>
  <c r="BE1350" i="12"/>
  <c r="BD1350" i="12"/>
  <c r="BC1350" i="12"/>
  <c r="BB1350" i="12"/>
  <c r="BA1350" i="12"/>
  <c r="AZ1350" i="12"/>
  <c r="AY1350" i="12"/>
  <c r="AX1350" i="12"/>
  <c r="BI1349" i="12"/>
  <c r="BG1349" i="12"/>
  <c r="BF1349" i="12"/>
  <c r="BE1349" i="12"/>
  <c r="BD1349" i="12"/>
  <c r="BC1349" i="12"/>
  <c r="BB1349" i="12"/>
  <c r="BA1349" i="12"/>
  <c r="AZ1349" i="12"/>
  <c r="AY1349" i="12"/>
  <c r="AX1349" i="12"/>
  <c r="BI1348" i="12"/>
  <c r="BG1348" i="12"/>
  <c r="BF1348" i="12"/>
  <c r="BE1348" i="12"/>
  <c r="BD1348" i="12"/>
  <c r="BC1348" i="12"/>
  <c r="BB1348" i="12"/>
  <c r="BA1348" i="12"/>
  <c r="AZ1348" i="12"/>
  <c r="AY1348" i="12"/>
  <c r="AX1348" i="12"/>
  <c r="BI1347" i="12"/>
  <c r="BG1347" i="12"/>
  <c r="BF1347" i="12"/>
  <c r="BE1347" i="12"/>
  <c r="BD1347" i="12"/>
  <c r="BC1347" i="12"/>
  <c r="BB1347" i="12"/>
  <c r="BA1347" i="12"/>
  <c r="AZ1347" i="12"/>
  <c r="AY1347" i="12"/>
  <c r="AX1347" i="12"/>
  <c r="BI1346" i="12"/>
  <c r="BG1346" i="12"/>
  <c r="BF1346" i="12"/>
  <c r="BE1346" i="12"/>
  <c r="BD1346" i="12"/>
  <c r="BC1346" i="12"/>
  <c r="BB1346" i="12"/>
  <c r="BA1346" i="12"/>
  <c r="AZ1346" i="12"/>
  <c r="AY1346" i="12"/>
  <c r="AX1346" i="12"/>
  <c r="BI1345" i="12"/>
  <c r="BG1345" i="12"/>
  <c r="BF1345" i="12"/>
  <c r="BE1345" i="12"/>
  <c r="BD1345" i="12"/>
  <c r="BC1345" i="12"/>
  <c r="BB1345" i="12"/>
  <c r="BA1345" i="12"/>
  <c r="AZ1345" i="12"/>
  <c r="AY1345" i="12"/>
  <c r="AX1345" i="12"/>
  <c r="BI1344" i="12"/>
  <c r="BG1344" i="12"/>
  <c r="BF1344" i="12"/>
  <c r="BE1344" i="12"/>
  <c r="BD1344" i="12"/>
  <c r="BC1344" i="12"/>
  <c r="BB1344" i="12"/>
  <c r="BA1344" i="12"/>
  <c r="AZ1344" i="12"/>
  <c r="AY1344" i="12"/>
  <c r="AX1344" i="12"/>
  <c r="BI1343" i="12"/>
  <c r="BG1343" i="12"/>
  <c r="BF1343" i="12"/>
  <c r="BE1343" i="12"/>
  <c r="BD1343" i="12"/>
  <c r="BC1343" i="12"/>
  <c r="BB1343" i="12"/>
  <c r="BA1343" i="12"/>
  <c r="AZ1343" i="12"/>
  <c r="AY1343" i="12"/>
  <c r="AX1343" i="12"/>
  <c r="BI1342" i="12"/>
  <c r="BG1342" i="12"/>
  <c r="BF1342" i="12"/>
  <c r="BE1342" i="12"/>
  <c r="BD1342" i="12"/>
  <c r="BC1342" i="12"/>
  <c r="BB1342" i="12"/>
  <c r="BA1342" i="12"/>
  <c r="AZ1342" i="12"/>
  <c r="AY1342" i="12"/>
  <c r="AX1342" i="12"/>
  <c r="BI1341" i="12"/>
  <c r="BG1341" i="12"/>
  <c r="BF1341" i="12"/>
  <c r="BE1341" i="12"/>
  <c r="BD1341" i="12"/>
  <c r="BC1341" i="12"/>
  <c r="BB1341" i="12"/>
  <c r="BA1341" i="12"/>
  <c r="AZ1341" i="12"/>
  <c r="AY1341" i="12"/>
  <c r="AX1341" i="12"/>
  <c r="BI1340" i="12"/>
  <c r="BG1340" i="12"/>
  <c r="BF1340" i="12"/>
  <c r="BE1340" i="12"/>
  <c r="BD1340" i="12"/>
  <c r="BC1340" i="12"/>
  <c r="BB1340" i="12"/>
  <c r="BA1340" i="12"/>
  <c r="AZ1340" i="12"/>
  <c r="AY1340" i="12"/>
  <c r="AX1340" i="12"/>
  <c r="BI1339" i="12"/>
  <c r="BG1339" i="12"/>
  <c r="BF1339" i="12"/>
  <c r="BE1339" i="12"/>
  <c r="BD1339" i="12"/>
  <c r="BC1339" i="12"/>
  <c r="BB1339" i="12"/>
  <c r="BA1339" i="12"/>
  <c r="AZ1339" i="12"/>
  <c r="AY1339" i="12"/>
  <c r="AX1339" i="12"/>
  <c r="BI1338" i="12"/>
  <c r="BG1338" i="12"/>
  <c r="BF1338" i="12"/>
  <c r="BE1338" i="12"/>
  <c r="BD1338" i="12"/>
  <c r="BC1338" i="12"/>
  <c r="BB1338" i="12"/>
  <c r="BA1338" i="12"/>
  <c r="AZ1338" i="12"/>
  <c r="AY1338" i="12"/>
  <c r="AX1338" i="12"/>
  <c r="BI1337" i="12"/>
  <c r="BG1337" i="12"/>
  <c r="BF1337" i="12"/>
  <c r="BE1337" i="12"/>
  <c r="BD1337" i="12"/>
  <c r="BC1337" i="12"/>
  <c r="BB1337" i="12"/>
  <c r="BA1337" i="12"/>
  <c r="AZ1337" i="12"/>
  <c r="AY1337" i="12"/>
  <c r="AX1337" i="12"/>
  <c r="BI1336" i="12"/>
  <c r="BG1336" i="12"/>
  <c r="BF1336" i="12"/>
  <c r="BE1336" i="12"/>
  <c r="BD1336" i="12"/>
  <c r="BC1336" i="12"/>
  <c r="BB1336" i="12"/>
  <c r="BA1336" i="12"/>
  <c r="AZ1336" i="12"/>
  <c r="AY1336" i="12"/>
  <c r="AX1336" i="12"/>
  <c r="BI1335" i="12"/>
  <c r="BG1335" i="12"/>
  <c r="BF1335" i="12"/>
  <c r="BE1335" i="12"/>
  <c r="BD1335" i="12"/>
  <c r="BC1335" i="12"/>
  <c r="BB1335" i="12"/>
  <c r="BA1335" i="12"/>
  <c r="AZ1335" i="12"/>
  <c r="AY1335" i="12"/>
  <c r="AX1335" i="12"/>
  <c r="BI1334" i="12"/>
  <c r="BG1334" i="12"/>
  <c r="BF1334" i="12"/>
  <c r="BE1334" i="12"/>
  <c r="BD1334" i="12"/>
  <c r="BC1334" i="12"/>
  <c r="BB1334" i="12"/>
  <c r="BA1334" i="12"/>
  <c r="AZ1334" i="12"/>
  <c r="AY1334" i="12"/>
  <c r="AX1334" i="12"/>
  <c r="BI1333" i="12"/>
  <c r="BG1333" i="12"/>
  <c r="BF1333" i="12"/>
  <c r="BE1333" i="12"/>
  <c r="BD1333" i="12"/>
  <c r="BC1333" i="12"/>
  <c r="BB1333" i="12"/>
  <c r="BA1333" i="12"/>
  <c r="AZ1333" i="12"/>
  <c r="AY1333" i="12"/>
  <c r="AX1333" i="12"/>
  <c r="BI1332" i="12"/>
  <c r="BG1332" i="12"/>
  <c r="BF1332" i="12"/>
  <c r="BE1332" i="12"/>
  <c r="BD1332" i="12"/>
  <c r="BC1332" i="12"/>
  <c r="BB1332" i="12"/>
  <c r="BA1332" i="12"/>
  <c r="AZ1332" i="12"/>
  <c r="AY1332" i="12"/>
  <c r="AX1332" i="12"/>
  <c r="BI1331" i="12"/>
  <c r="BG1331" i="12"/>
  <c r="BF1331" i="12"/>
  <c r="BE1331" i="12"/>
  <c r="BD1331" i="12"/>
  <c r="BC1331" i="12"/>
  <c r="BB1331" i="12"/>
  <c r="BA1331" i="12"/>
  <c r="AZ1331" i="12"/>
  <c r="AY1331" i="12"/>
  <c r="AX1331" i="12"/>
  <c r="BI1330" i="12"/>
  <c r="BG1330" i="12"/>
  <c r="BF1330" i="12"/>
  <c r="BE1330" i="12"/>
  <c r="BD1330" i="12"/>
  <c r="BC1330" i="12"/>
  <c r="BB1330" i="12"/>
  <c r="BA1330" i="12"/>
  <c r="AZ1330" i="12"/>
  <c r="AY1330" i="12"/>
  <c r="AX1330" i="12"/>
  <c r="BI1329" i="12"/>
  <c r="BG1329" i="12"/>
  <c r="BF1329" i="12"/>
  <c r="BE1329" i="12"/>
  <c r="BD1329" i="12"/>
  <c r="BC1329" i="12"/>
  <c r="BB1329" i="12"/>
  <c r="BA1329" i="12"/>
  <c r="AZ1329" i="12"/>
  <c r="AY1329" i="12"/>
  <c r="AX1329" i="12"/>
  <c r="BI1328" i="12"/>
  <c r="BG1328" i="12"/>
  <c r="BF1328" i="12"/>
  <c r="BE1328" i="12"/>
  <c r="BD1328" i="12"/>
  <c r="BC1328" i="12"/>
  <c r="BB1328" i="12"/>
  <c r="BA1328" i="12"/>
  <c r="AZ1328" i="12"/>
  <c r="AY1328" i="12"/>
  <c r="AX1328" i="12"/>
  <c r="BI1327" i="12"/>
  <c r="BG1327" i="12"/>
  <c r="BF1327" i="12"/>
  <c r="BE1327" i="12"/>
  <c r="BD1327" i="12"/>
  <c r="BC1327" i="12"/>
  <c r="BB1327" i="12"/>
  <c r="BA1327" i="12"/>
  <c r="AZ1327" i="12"/>
  <c r="AY1327" i="12"/>
  <c r="AX1327" i="12"/>
  <c r="BI1326" i="12"/>
  <c r="BG1326" i="12"/>
  <c r="BF1326" i="12"/>
  <c r="BE1326" i="12"/>
  <c r="BD1326" i="12"/>
  <c r="BC1326" i="12"/>
  <c r="BB1326" i="12"/>
  <c r="BA1326" i="12"/>
  <c r="AZ1326" i="12"/>
  <c r="AY1326" i="12"/>
  <c r="AX1326" i="12"/>
  <c r="BI1325" i="12"/>
  <c r="BG1325" i="12"/>
  <c r="BF1325" i="12"/>
  <c r="BE1325" i="12"/>
  <c r="BD1325" i="12"/>
  <c r="BC1325" i="12"/>
  <c r="BB1325" i="12"/>
  <c r="BA1325" i="12"/>
  <c r="AZ1325" i="12"/>
  <c r="AY1325" i="12"/>
  <c r="AX1325" i="12"/>
  <c r="BI1324" i="12"/>
  <c r="BG1324" i="12"/>
  <c r="BF1324" i="12"/>
  <c r="BE1324" i="12"/>
  <c r="BD1324" i="12"/>
  <c r="BC1324" i="12"/>
  <c r="BB1324" i="12"/>
  <c r="BA1324" i="12"/>
  <c r="AZ1324" i="12"/>
  <c r="AY1324" i="12"/>
  <c r="AX1324" i="12"/>
  <c r="BI1323" i="12"/>
  <c r="BG1323" i="12"/>
  <c r="BF1323" i="12"/>
  <c r="BE1323" i="12"/>
  <c r="BD1323" i="12"/>
  <c r="BC1323" i="12"/>
  <c r="BB1323" i="12"/>
  <c r="BA1323" i="12"/>
  <c r="AZ1323" i="12"/>
  <c r="AY1323" i="12"/>
  <c r="AX1323" i="12"/>
  <c r="BI1322" i="12"/>
  <c r="BG1322" i="12"/>
  <c r="BF1322" i="12"/>
  <c r="BE1322" i="12"/>
  <c r="BD1322" i="12"/>
  <c r="BC1322" i="12"/>
  <c r="BB1322" i="12"/>
  <c r="BA1322" i="12"/>
  <c r="AZ1322" i="12"/>
  <c r="AY1322" i="12"/>
  <c r="AX1322" i="12"/>
  <c r="BI1321" i="12"/>
  <c r="BG1321" i="12"/>
  <c r="BF1321" i="12"/>
  <c r="BE1321" i="12"/>
  <c r="BD1321" i="12"/>
  <c r="BC1321" i="12"/>
  <c r="BB1321" i="12"/>
  <c r="BA1321" i="12"/>
  <c r="AZ1321" i="12"/>
  <c r="AY1321" i="12"/>
  <c r="AX1321" i="12"/>
  <c r="BI1320" i="12"/>
  <c r="BG1320" i="12"/>
  <c r="BF1320" i="12"/>
  <c r="BE1320" i="12"/>
  <c r="BD1320" i="12"/>
  <c r="BC1320" i="12"/>
  <c r="BB1320" i="12"/>
  <c r="BA1320" i="12"/>
  <c r="AZ1320" i="12"/>
  <c r="AY1320" i="12"/>
  <c r="AX1320" i="12"/>
  <c r="BI1319" i="12"/>
  <c r="BG1319" i="12"/>
  <c r="BF1319" i="12"/>
  <c r="BE1319" i="12"/>
  <c r="BD1319" i="12"/>
  <c r="BC1319" i="12"/>
  <c r="BB1319" i="12"/>
  <c r="BA1319" i="12"/>
  <c r="AZ1319" i="12"/>
  <c r="AY1319" i="12"/>
  <c r="AX1319" i="12"/>
  <c r="BI1318" i="12"/>
  <c r="BG1318" i="12"/>
  <c r="BF1318" i="12"/>
  <c r="BE1318" i="12"/>
  <c r="BD1318" i="12"/>
  <c r="BC1318" i="12"/>
  <c r="BB1318" i="12"/>
  <c r="BA1318" i="12"/>
  <c r="AZ1318" i="12"/>
  <c r="AY1318" i="12"/>
  <c r="AX1318" i="12"/>
  <c r="BI1317" i="12"/>
  <c r="BG1317" i="12"/>
  <c r="BF1317" i="12"/>
  <c r="BE1317" i="12"/>
  <c r="BD1317" i="12"/>
  <c r="BC1317" i="12"/>
  <c r="BB1317" i="12"/>
  <c r="BA1317" i="12"/>
  <c r="AZ1317" i="12"/>
  <c r="AY1317" i="12"/>
  <c r="AX1317" i="12"/>
  <c r="BI1316" i="12"/>
  <c r="BG1316" i="12"/>
  <c r="BF1316" i="12"/>
  <c r="BE1316" i="12"/>
  <c r="BD1316" i="12"/>
  <c r="BC1316" i="12"/>
  <c r="BB1316" i="12"/>
  <c r="BA1316" i="12"/>
  <c r="AZ1316" i="12"/>
  <c r="AY1316" i="12"/>
  <c r="AX1316" i="12"/>
  <c r="BI1315" i="12"/>
  <c r="BG1315" i="12"/>
  <c r="BF1315" i="12"/>
  <c r="BE1315" i="12"/>
  <c r="BD1315" i="12"/>
  <c r="BC1315" i="12"/>
  <c r="BB1315" i="12"/>
  <c r="BA1315" i="12"/>
  <c r="AZ1315" i="12"/>
  <c r="AY1315" i="12"/>
  <c r="AX1315" i="12"/>
  <c r="BI1314" i="12"/>
  <c r="BG1314" i="12"/>
  <c r="BF1314" i="12"/>
  <c r="BE1314" i="12"/>
  <c r="BD1314" i="12"/>
  <c r="BC1314" i="12"/>
  <c r="BB1314" i="12"/>
  <c r="BA1314" i="12"/>
  <c r="AZ1314" i="12"/>
  <c r="AY1314" i="12"/>
  <c r="AX1314" i="12"/>
  <c r="BI1313" i="12"/>
  <c r="BG1313" i="12"/>
  <c r="BF1313" i="12"/>
  <c r="BE1313" i="12"/>
  <c r="BD1313" i="12"/>
  <c r="BC1313" i="12"/>
  <c r="BB1313" i="12"/>
  <c r="BA1313" i="12"/>
  <c r="AZ1313" i="12"/>
  <c r="AY1313" i="12"/>
  <c r="AX1313" i="12"/>
  <c r="BI1312" i="12"/>
  <c r="BG1312" i="12"/>
  <c r="BF1312" i="12"/>
  <c r="BE1312" i="12"/>
  <c r="BD1312" i="12"/>
  <c r="BC1312" i="12"/>
  <c r="BB1312" i="12"/>
  <c r="BA1312" i="12"/>
  <c r="AZ1312" i="12"/>
  <c r="AY1312" i="12"/>
  <c r="AX1312" i="12"/>
  <c r="BI1311" i="12"/>
  <c r="BG1311" i="12"/>
  <c r="BF1311" i="12"/>
  <c r="BE1311" i="12"/>
  <c r="BD1311" i="12"/>
  <c r="BC1311" i="12"/>
  <c r="BB1311" i="12"/>
  <c r="BA1311" i="12"/>
  <c r="AZ1311" i="12"/>
  <c r="AY1311" i="12"/>
  <c r="AX1311" i="12"/>
  <c r="BI1310" i="12"/>
  <c r="BG1310" i="12"/>
  <c r="BF1310" i="12"/>
  <c r="BE1310" i="12"/>
  <c r="BD1310" i="12"/>
  <c r="BC1310" i="12"/>
  <c r="BB1310" i="12"/>
  <c r="BA1310" i="12"/>
  <c r="AZ1310" i="12"/>
  <c r="AY1310" i="12"/>
  <c r="AX1310" i="12"/>
  <c r="BI1309" i="12"/>
  <c r="BG1309" i="12"/>
  <c r="BF1309" i="12"/>
  <c r="BE1309" i="12"/>
  <c r="BD1309" i="12"/>
  <c r="BC1309" i="12"/>
  <c r="BB1309" i="12"/>
  <c r="BA1309" i="12"/>
  <c r="AZ1309" i="12"/>
  <c r="AY1309" i="12"/>
  <c r="AX1309" i="12"/>
  <c r="BI1308" i="12"/>
  <c r="BG1308" i="12"/>
  <c r="BF1308" i="12"/>
  <c r="BE1308" i="12"/>
  <c r="BD1308" i="12"/>
  <c r="BC1308" i="12"/>
  <c r="BB1308" i="12"/>
  <c r="BA1308" i="12"/>
  <c r="AZ1308" i="12"/>
  <c r="AY1308" i="12"/>
  <c r="AX1308" i="12"/>
  <c r="BI1307" i="12"/>
  <c r="BG1307" i="12"/>
  <c r="BF1307" i="12"/>
  <c r="BE1307" i="12"/>
  <c r="BD1307" i="12"/>
  <c r="BC1307" i="12"/>
  <c r="BB1307" i="12"/>
  <c r="BA1307" i="12"/>
  <c r="AZ1307" i="12"/>
  <c r="AY1307" i="12"/>
  <c r="AX1307" i="12"/>
  <c r="BI1306" i="12"/>
  <c r="BG1306" i="12"/>
  <c r="BF1306" i="12"/>
  <c r="BE1306" i="12"/>
  <c r="BD1306" i="12"/>
  <c r="BC1306" i="12"/>
  <c r="BB1306" i="12"/>
  <c r="BA1306" i="12"/>
  <c r="AZ1306" i="12"/>
  <c r="AY1306" i="12"/>
  <c r="AX1306" i="12"/>
  <c r="BI1305" i="12"/>
  <c r="BG1305" i="12"/>
  <c r="BF1305" i="12"/>
  <c r="BE1305" i="12"/>
  <c r="BD1305" i="12"/>
  <c r="BC1305" i="12"/>
  <c r="BB1305" i="12"/>
  <c r="BA1305" i="12"/>
  <c r="AZ1305" i="12"/>
  <c r="AY1305" i="12"/>
  <c r="AX1305" i="12"/>
  <c r="BI1304" i="12"/>
  <c r="BG1304" i="12"/>
  <c r="BF1304" i="12"/>
  <c r="BE1304" i="12"/>
  <c r="BD1304" i="12"/>
  <c r="BC1304" i="12"/>
  <c r="BB1304" i="12"/>
  <c r="BA1304" i="12"/>
  <c r="AZ1304" i="12"/>
  <c r="AY1304" i="12"/>
  <c r="AX1304" i="12"/>
  <c r="BI1303" i="12"/>
  <c r="BG1303" i="12"/>
  <c r="BF1303" i="12"/>
  <c r="BE1303" i="12"/>
  <c r="BD1303" i="12"/>
  <c r="BC1303" i="12"/>
  <c r="BB1303" i="12"/>
  <c r="BA1303" i="12"/>
  <c r="AZ1303" i="12"/>
  <c r="AY1303" i="12"/>
  <c r="AX1303" i="12"/>
  <c r="BI1302" i="12"/>
  <c r="BG1302" i="12"/>
  <c r="BF1302" i="12"/>
  <c r="BE1302" i="12"/>
  <c r="BD1302" i="12"/>
  <c r="BC1302" i="12"/>
  <c r="BB1302" i="12"/>
  <c r="BA1302" i="12"/>
  <c r="AZ1302" i="12"/>
  <c r="AY1302" i="12"/>
  <c r="AX1302" i="12"/>
  <c r="BI1301" i="12"/>
  <c r="BG1301" i="12"/>
  <c r="BF1301" i="12"/>
  <c r="BE1301" i="12"/>
  <c r="BD1301" i="12"/>
  <c r="BC1301" i="12"/>
  <c r="BB1301" i="12"/>
  <c r="BA1301" i="12"/>
  <c r="AZ1301" i="12"/>
  <c r="AY1301" i="12"/>
  <c r="AX1301" i="12"/>
  <c r="BI1300" i="12"/>
  <c r="BG1300" i="12"/>
  <c r="BF1300" i="12"/>
  <c r="BE1300" i="12"/>
  <c r="BD1300" i="12"/>
  <c r="BC1300" i="12"/>
  <c r="BB1300" i="12"/>
  <c r="BA1300" i="12"/>
  <c r="AZ1300" i="12"/>
  <c r="AY1300" i="12"/>
  <c r="AX1300" i="12"/>
  <c r="BI1299" i="12"/>
  <c r="BG1299" i="12"/>
  <c r="BF1299" i="12"/>
  <c r="BE1299" i="12"/>
  <c r="BD1299" i="12"/>
  <c r="BC1299" i="12"/>
  <c r="BB1299" i="12"/>
  <c r="BA1299" i="12"/>
  <c r="AZ1299" i="12"/>
  <c r="AY1299" i="12"/>
  <c r="AX1299" i="12"/>
  <c r="BI1298" i="12"/>
  <c r="BG1298" i="12"/>
  <c r="BF1298" i="12"/>
  <c r="BE1298" i="12"/>
  <c r="BD1298" i="12"/>
  <c r="BC1298" i="12"/>
  <c r="BB1298" i="12"/>
  <c r="BA1298" i="12"/>
  <c r="AZ1298" i="12"/>
  <c r="AY1298" i="12"/>
  <c r="AX1298" i="12"/>
  <c r="BI1297" i="12"/>
  <c r="BG1297" i="12"/>
  <c r="BF1297" i="12"/>
  <c r="BE1297" i="12"/>
  <c r="BD1297" i="12"/>
  <c r="BC1297" i="12"/>
  <c r="BB1297" i="12"/>
  <c r="BA1297" i="12"/>
  <c r="AZ1297" i="12"/>
  <c r="AY1297" i="12"/>
  <c r="AX1297" i="12"/>
  <c r="BI1296" i="12"/>
  <c r="BG1296" i="12"/>
  <c r="BF1296" i="12"/>
  <c r="BE1296" i="12"/>
  <c r="BD1296" i="12"/>
  <c r="BC1296" i="12"/>
  <c r="BB1296" i="12"/>
  <c r="BA1296" i="12"/>
  <c r="AZ1296" i="12"/>
  <c r="AY1296" i="12"/>
  <c r="AX1296" i="12"/>
  <c r="BI1295" i="12"/>
  <c r="BG1295" i="12"/>
  <c r="BF1295" i="12"/>
  <c r="BE1295" i="12"/>
  <c r="BD1295" i="12"/>
  <c r="BC1295" i="12"/>
  <c r="BB1295" i="12"/>
  <c r="BA1295" i="12"/>
  <c r="AZ1295" i="12"/>
  <c r="AY1295" i="12"/>
  <c r="AX1295" i="12"/>
  <c r="BI1294" i="12"/>
  <c r="BG1294" i="12"/>
  <c r="BF1294" i="12"/>
  <c r="BE1294" i="12"/>
  <c r="BD1294" i="12"/>
  <c r="BC1294" i="12"/>
  <c r="BB1294" i="12"/>
  <c r="BA1294" i="12"/>
  <c r="AZ1294" i="12"/>
  <c r="AY1294" i="12"/>
  <c r="AX1294" i="12"/>
  <c r="BI1293" i="12"/>
  <c r="BG1293" i="12"/>
  <c r="BF1293" i="12"/>
  <c r="BE1293" i="12"/>
  <c r="BD1293" i="12"/>
  <c r="BC1293" i="12"/>
  <c r="BB1293" i="12"/>
  <c r="BA1293" i="12"/>
  <c r="AZ1293" i="12"/>
  <c r="AY1293" i="12"/>
  <c r="AX1293" i="12"/>
  <c r="BI1292" i="12"/>
  <c r="BG1292" i="12"/>
  <c r="BF1292" i="12"/>
  <c r="BE1292" i="12"/>
  <c r="BD1292" i="12"/>
  <c r="BC1292" i="12"/>
  <c r="BB1292" i="12"/>
  <c r="BA1292" i="12"/>
  <c r="AZ1292" i="12"/>
  <c r="AY1292" i="12"/>
  <c r="AX1292" i="12"/>
  <c r="BI1291" i="12"/>
  <c r="BG1291" i="12"/>
  <c r="BF1291" i="12"/>
  <c r="BE1291" i="12"/>
  <c r="BD1291" i="12"/>
  <c r="BC1291" i="12"/>
  <c r="BB1291" i="12"/>
  <c r="BA1291" i="12"/>
  <c r="AZ1291" i="12"/>
  <c r="AY1291" i="12"/>
  <c r="AX1291" i="12"/>
  <c r="BI1290" i="12"/>
  <c r="BG1290" i="12"/>
  <c r="BF1290" i="12"/>
  <c r="BE1290" i="12"/>
  <c r="BD1290" i="12"/>
  <c r="BC1290" i="12"/>
  <c r="BB1290" i="12"/>
  <c r="BA1290" i="12"/>
  <c r="AZ1290" i="12"/>
  <c r="AY1290" i="12"/>
  <c r="AX1290" i="12"/>
  <c r="BI1289" i="12"/>
  <c r="BG1289" i="12"/>
  <c r="BF1289" i="12"/>
  <c r="BE1289" i="12"/>
  <c r="BD1289" i="12"/>
  <c r="BC1289" i="12"/>
  <c r="BB1289" i="12"/>
  <c r="BA1289" i="12"/>
  <c r="AZ1289" i="12"/>
  <c r="AY1289" i="12"/>
  <c r="AX1289" i="12"/>
  <c r="BI1288" i="12"/>
  <c r="BG1288" i="12"/>
  <c r="BF1288" i="12"/>
  <c r="BE1288" i="12"/>
  <c r="BD1288" i="12"/>
  <c r="BC1288" i="12"/>
  <c r="BB1288" i="12"/>
  <c r="BA1288" i="12"/>
  <c r="AZ1288" i="12"/>
  <c r="AY1288" i="12"/>
  <c r="AX1288" i="12"/>
  <c r="BI1287" i="12"/>
  <c r="BG1287" i="12"/>
  <c r="BF1287" i="12"/>
  <c r="BE1287" i="12"/>
  <c r="BD1287" i="12"/>
  <c r="BC1287" i="12"/>
  <c r="BB1287" i="12"/>
  <c r="BA1287" i="12"/>
  <c r="AZ1287" i="12"/>
  <c r="AY1287" i="12"/>
  <c r="AX1287" i="12"/>
  <c r="BI1286" i="12"/>
  <c r="BG1286" i="12"/>
  <c r="BF1286" i="12"/>
  <c r="BE1286" i="12"/>
  <c r="BD1286" i="12"/>
  <c r="BC1286" i="12"/>
  <c r="BB1286" i="12"/>
  <c r="BA1286" i="12"/>
  <c r="AZ1286" i="12"/>
  <c r="AY1286" i="12"/>
  <c r="AX1286" i="12"/>
  <c r="BI1285" i="12"/>
  <c r="BG1285" i="12"/>
  <c r="BF1285" i="12"/>
  <c r="BE1285" i="12"/>
  <c r="BD1285" i="12"/>
  <c r="BC1285" i="12"/>
  <c r="BB1285" i="12"/>
  <c r="BA1285" i="12"/>
  <c r="AZ1285" i="12"/>
  <c r="AY1285" i="12"/>
  <c r="AX1285" i="12"/>
  <c r="BI1284" i="12"/>
  <c r="BG1284" i="12"/>
  <c r="BF1284" i="12"/>
  <c r="BE1284" i="12"/>
  <c r="BD1284" i="12"/>
  <c r="BC1284" i="12"/>
  <c r="BB1284" i="12"/>
  <c r="BA1284" i="12"/>
  <c r="AZ1284" i="12"/>
  <c r="AY1284" i="12"/>
  <c r="AX1284" i="12"/>
  <c r="BI1283" i="12"/>
  <c r="BG1283" i="12"/>
  <c r="BF1283" i="12"/>
  <c r="BE1283" i="12"/>
  <c r="BD1283" i="12"/>
  <c r="BC1283" i="12"/>
  <c r="BB1283" i="12"/>
  <c r="BA1283" i="12"/>
  <c r="AZ1283" i="12"/>
  <c r="AY1283" i="12"/>
  <c r="AX1283" i="12"/>
  <c r="BI1282" i="12"/>
  <c r="BG1282" i="12"/>
  <c r="BF1282" i="12"/>
  <c r="BE1282" i="12"/>
  <c r="BD1282" i="12"/>
  <c r="BC1282" i="12"/>
  <c r="BB1282" i="12"/>
  <c r="BA1282" i="12"/>
  <c r="AZ1282" i="12"/>
  <c r="AY1282" i="12"/>
  <c r="AX1282" i="12"/>
  <c r="BI1281" i="12"/>
  <c r="BG1281" i="12"/>
  <c r="BF1281" i="12"/>
  <c r="BE1281" i="12"/>
  <c r="BD1281" i="12"/>
  <c r="BC1281" i="12"/>
  <c r="BB1281" i="12"/>
  <c r="BA1281" i="12"/>
  <c r="AZ1281" i="12"/>
  <c r="AY1281" i="12"/>
  <c r="AX1281" i="12"/>
  <c r="BI1280" i="12"/>
  <c r="BG1280" i="12"/>
  <c r="BF1280" i="12"/>
  <c r="BE1280" i="12"/>
  <c r="BD1280" i="12"/>
  <c r="BC1280" i="12"/>
  <c r="BB1280" i="12"/>
  <c r="BA1280" i="12"/>
  <c r="AZ1280" i="12"/>
  <c r="AY1280" i="12"/>
  <c r="AX1280" i="12"/>
  <c r="BI1279" i="12"/>
  <c r="BG1279" i="12"/>
  <c r="BF1279" i="12"/>
  <c r="BE1279" i="12"/>
  <c r="BD1279" i="12"/>
  <c r="BC1279" i="12"/>
  <c r="BB1279" i="12"/>
  <c r="BA1279" i="12"/>
  <c r="AZ1279" i="12"/>
  <c r="AY1279" i="12"/>
  <c r="AX1279" i="12"/>
  <c r="BI1278" i="12"/>
  <c r="BG1278" i="12"/>
  <c r="BF1278" i="12"/>
  <c r="BE1278" i="12"/>
  <c r="BD1278" i="12"/>
  <c r="BC1278" i="12"/>
  <c r="BB1278" i="12"/>
  <c r="BA1278" i="12"/>
  <c r="AZ1278" i="12"/>
  <c r="AY1278" i="12"/>
  <c r="AX1278" i="12"/>
  <c r="BI1277" i="12"/>
  <c r="BG1277" i="12"/>
  <c r="BF1277" i="12"/>
  <c r="BE1277" i="12"/>
  <c r="BD1277" i="12"/>
  <c r="BC1277" i="12"/>
  <c r="BB1277" i="12"/>
  <c r="BA1277" i="12"/>
  <c r="AZ1277" i="12"/>
  <c r="AY1277" i="12"/>
  <c r="AX1277" i="12"/>
  <c r="BI1276" i="12"/>
  <c r="BG1276" i="12"/>
  <c r="BF1276" i="12"/>
  <c r="BE1276" i="12"/>
  <c r="BD1276" i="12"/>
  <c r="BC1276" i="12"/>
  <c r="BB1276" i="12"/>
  <c r="BA1276" i="12"/>
  <c r="AZ1276" i="12"/>
  <c r="AY1276" i="12"/>
  <c r="AX1276" i="12"/>
  <c r="BI1275" i="12"/>
  <c r="BG1275" i="12"/>
  <c r="BF1275" i="12"/>
  <c r="BE1275" i="12"/>
  <c r="BD1275" i="12"/>
  <c r="BC1275" i="12"/>
  <c r="BB1275" i="12"/>
  <c r="BA1275" i="12"/>
  <c r="AZ1275" i="12"/>
  <c r="AY1275" i="12"/>
  <c r="AX1275" i="12"/>
  <c r="BI1274" i="12"/>
  <c r="BG1274" i="12"/>
  <c r="BF1274" i="12"/>
  <c r="BE1274" i="12"/>
  <c r="BD1274" i="12"/>
  <c r="BC1274" i="12"/>
  <c r="BB1274" i="12"/>
  <c r="BA1274" i="12"/>
  <c r="AZ1274" i="12"/>
  <c r="AY1274" i="12"/>
  <c r="AX1274" i="12"/>
  <c r="BI1273" i="12"/>
  <c r="BG1273" i="12"/>
  <c r="BF1273" i="12"/>
  <c r="BE1273" i="12"/>
  <c r="BD1273" i="12"/>
  <c r="BC1273" i="12"/>
  <c r="BB1273" i="12"/>
  <c r="BA1273" i="12"/>
  <c r="AZ1273" i="12"/>
  <c r="AY1273" i="12"/>
  <c r="AX1273" i="12"/>
  <c r="BI1272" i="12"/>
  <c r="BG1272" i="12"/>
  <c r="BF1272" i="12"/>
  <c r="BE1272" i="12"/>
  <c r="BD1272" i="12"/>
  <c r="BC1272" i="12"/>
  <c r="BB1272" i="12"/>
  <c r="BA1272" i="12"/>
  <c r="AZ1272" i="12"/>
  <c r="AY1272" i="12"/>
  <c r="AX1272" i="12"/>
  <c r="BI1271" i="12"/>
  <c r="BG1271" i="12"/>
  <c r="BF1271" i="12"/>
  <c r="BE1271" i="12"/>
  <c r="BD1271" i="12"/>
  <c r="BC1271" i="12"/>
  <c r="BB1271" i="12"/>
  <c r="BA1271" i="12"/>
  <c r="AZ1271" i="12"/>
  <c r="AY1271" i="12"/>
  <c r="AX1271" i="12"/>
  <c r="BI1270" i="12"/>
  <c r="BG1270" i="12"/>
  <c r="BF1270" i="12"/>
  <c r="BE1270" i="12"/>
  <c r="BD1270" i="12"/>
  <c r="BC1270" i="12"/>
  <c r="BB1270" i="12"/>
  <c r="BA1270" i="12"/>
  <c r="AZ1270" i="12"/>
  <c r="AY1270" i="12"/>
  <c r="AX1270" i="12"/>
  <c r="BI1269" i="12"/>
  <c r="BG1269" i="12"/>
  <c r="BF1269" i="12"/>
  <c r="BE1269" i="12"/>
  <c r="BD1269" i="12"/>
  <c r="BC1269" i="12"/>
  <c r="BB1269" i="12"/>
  <c r="BA1269" i="12"/>
  <c r="AZ1269" i="12"/>
  <c r="AY1269" i="12"/>
  <c r="AX1269" i="12"/>
  <c r="BI1268" i="12"/>
  <c r="BG1268" i="12"/>
  <c r="BF1268" i="12"/>
  <c r="BE1268" i="12"/>
  <c r="BD1268" i="12"/>
  <c r="BC1268" i="12"/>
  <c r="BB1268" i="12"/>
  <c r="BA1268" i="12"/>
  <c r="AZ1268" i="12"/>
  <c r="AY1268" i="12"/>
  <c r="AX1268" i="12"/>
  <c r="BI1267" i="12"/>
  <c r="BG1267" i="12"/>
  <c r="BF1267" i="12"/>
  <c r="BE1267" i="12"/>
  <c r="BD1267" i="12"/>
  <c r="BC1267" i="12"/>
  <c r="BB1267" i="12"/>
  <c r="BA1267" i="12"/>
  <c r="AZ1267" i="12"/>
  <c r="AY1267" i="12"/>
  <c r="AX1267" i="12"/>
  <c r="BI1266" i="12"/>
  <c r="BG1266" i="12"/>
  <c r="BF1266" i="12"/>
  <c r="BE1266" i="12"/>
  <c r="BD1266" i="12"/>
  <c r="BC1266" i="12"/>
  <c r="BB1266" i="12"/>
  <c r="BA1266" i="12"/>
  <c r="AZ1266" i="12"/>
  <c r="AY1266" i="12"/>
  <c r="AX1266" i="12"/>
  <c r="BI1265" i="12"/>
  <c r="BG1265" i="12"/>
  <c r="BF1265" i="12"/>
  <c r="BE1265" i="12"/>
  <c r="BD1265" i="12"/>
  <c r="BC1265" i="12"/>
  <c r="BB1265" i="12"/>
  <c r="BA1265" i="12"/>
  <c r="AZ1265" i="12"/>
  <c r="AY1265" i="12"/>
  <c r="AX1265" i="12"/>
  <c r="BI1264" i="12"/>
  <c r="BG1264" i="12"/>
  <c r="BF1264" i="12"/>
  <c r="BE1264" i="12"/>
  <c r="BD1264" i="12"/>
  <c r="BC1264" i="12"/>
  <c r="BB1264" i="12"/>
  <c r="BA1264" i="12"/>
  <c r="AZ1264" i="12"/>
  <c r="AY1264" i="12"/>
  <c r="AX1264" i="12"/>
  <c r="BI1263" i="12"/>
  <c r="BG1263" i="12"/>
  <c r="BF1263" i="12"/>
  <c r="BE1263" i="12"/>
  <c r="BD1263" i="12"/>
  <c r="BC1263" i="12"/>
  <c r="BB1263" i="12"/>
  <c r="BA1263" i="12"/>
  <c r="AZ1263" i="12"/>
  <c r="AY1263" i="12"/>
  <c r="AX1263" i="12"/>
  <c r="BI1262" i="12"/>
  <c r="BG1262" i="12"/>
  <c r="BF1262" i="12"/>
  <c r="BE1262" i="12"/>
  <c r="BD1262" i="12"/>
  <c r="BC1262" i="12"/>
  <c r="BB1262" i="12"/>
  <c r="BA1262" i="12"/>
  <c r="AZ1262" i="12"/>
  <c r="AY1262" i="12"/>
  <c r="AX1262" i="12"/>
  <c r="BI1261" i="12"/>
  <c r="BG1261" i="12"/>
  <c r="BF1261" i="12"/>
  <c r="BE1261" i="12"/>
  <c r="BD1261" i="12"/>
  <c r="BC1261" i="12"/>
  <c r="BB1261" i="12"/>
  <c r="BA1261" i="12"/>
  <c r="AZ1261" i="12"/>
  <c r="AY1261" i="12"/>
  <c r="AX1261" i="12"/>
  <c r="BI1260" i="12"/>
  <c r="BG1260" i="12"/>
  <c r="BF1260" i="12"/>
  <c r="BE1260" i="12"/>
  <c r="BD1260" i="12"/>
  <c r="BC1260" i="12"/>
  <c r="BB1260" i="12"/>
  <c r="BA1260" i="12"/>
  <c r="AZ1260" i="12"/>
  <c r="AY1260" i="12"/>
  <c r="AX1260" i="12"/>
  <c r="BI1259" i="12"/>
  <c r="BG1259" i="12"/>
  <c r="BF1259" i="12"/>
  <c r="BE1259" i="12"/>
  <c r="BD1259" i="12"/>
  <c r="BC1259" i="12"/>
  <c r="BB1259" i="12"/>
  <c r="BA1259" i="12"/>
  <c r="AZ1259" i="12"/>
  <c r="AY1259" i="12"/>
  <c r="AX1259" i="12"/>
  <c r="BI1258" i="12"/>
  <c r="BG1258" i="12"/>
  <c r="BF1258" i="12"/>
  <c r="BE1258" i="12"/>
  <c r="BD1258" i="12"/>
  <c r="BC1258" i="12"/>
  <c r="BB1258" i="12"/>
  <c r="BA1258" i="12"/>
  <c r="AZ1258" i="12"/>
  <c r="AY1258" i="12"/>
  <c r="AX1258" i="12"/>
  <c r="BI1257" i="12"/>
  <c r="BG1257" i="12"/>
  <c r="BF1257" i="12"/>
  <c r="BE1257" i="12"/>
  <c r="BD1257" i="12"/>
  <c r="BC1257" i="12"/>
  <c r="BB1257" i="12"/>
  <c r="BA1257" i="12"/>
  <c r="AZ1257" i="12"/>
  <c r="AY1257" i="12"/>
  <c r="AX1257" i="12"/>
  <c r="BI1256" i="12"/>
  <c r="BG1256" i="12"/>
  <c r="BF1256" i="12"/>
  <c r="BE1256" i="12"/>
  <c r="BD1256" i="12"/>
  <c r="BC1256" i="12"/>
  <c r="BB1256" i="12"/>
  <c r="BA1256" i="12"/>
  <c r="AZ1256" i="12"/>
  <c r="AY1256" i="12"/>
  <c r="AX1256" i="12"/>
  <c r="BI1255" i="12"/>
  <c r="BG1255" i="12"/>
  <c r="BF1255" i="12"/>
  <c r="BE1255" i="12"/>
  <c r="BD1255" i="12"/>
  <c r="BC1255" i="12"/>
  <c r="BB1255" i="12"/>
  <c r="BA1255" i="12"/>
  <c r="AZ1255" i="12"/>
  <c r="AY1255" i="12"/>
  <c r="AX1255" i="12"/>
  <c r="BI1254" i="12"/>
  <c r="BG1254" i="12"/>
  <c r="BF1254" i="12"/>
  <c r="BE1254" i="12"/>
  <c r="BD1254" i="12"/>
  <c r="BC1254" i="12"/>
  <c r="BB1254" i="12"/>
  <c r="BA1254" i="12"/>
  <c r="AZ1254" i="12"/>
  <c r="AY1254" i="12"/>
  <c r="AX1254" i="12"/>
  <c r="BI1253" i="12"/>
  <c r="BG1253" i="12"/>
  <c r="BF1253" i="12"/>
  <c r="BE1253" i="12"/>
  <c r="BD1253" i="12"/>
  <c r="BC1253" i="12"/>
  <c r="BB1253" i="12"/>
  <c r="BA1253" i="12"/>
  <c r="AZ1253" i="12"/>
  <c r="AY1253" i="12"/>
  <c r="AX1253" i="12"/>
  <c r="BI1252" i="12"/>
  <c r="BG1252" i="12"/>
  <c r="BF1252" i="12"/>
  <c r="BE1252" i="12"/>
  <c r="BD1252" i="12"/>
  <c r="BC1252" i="12"/>
  <c r="BB1252" i="12"/>
  <c r="BA1252" i="12"/>
  <c r="AZ1252" i="12"/>
  <c r="AY1252" i="12"/>
  <c r="AX1252" i="12"/>
  <c r="BI1251" i="12"/>
  <c r="BG1251" i="12"/>
  <c r="BF1251" i="12"/>
  <c r="BE1251" i="12"/>
  <c r="BD1251" i="12"/>
  <c r="BC1251" i="12"/>
  <c r="BB1251" i="12"/>
  <c r="BA1251" i="12"/>
  <c r="AZ1251" i="12"/>
  <c r="AY1251" i="12"/>
  <c r="AX1251" i="12"/>
  <c r="BI1250" i="12"/>
  <c r="BG1250" i="12"/>
  <c r="BF1250" i="12"/>
  <c r="BE1250" i="12"/>
  <c r="BD1250" i="12"/>
  <c r="BC1250" i="12"/>
  <c r="BB1250" i="12"/>
  <c r="BA1250" i="12"/>
  <c r="AZ1250" i="12"/>
  <c r="AY1250" i="12"/>
  <c r="AX1250" i="12"/>
  <c r="BI1249" i="12"/>
  <c r="BG1249" i="12"/>
  <c r="BF1249" i="12"/>
  <c r="BE1249" i="12"/>
  <c r="BD1249" i="12"/>
  <c r="BC1249" i="12"/>
  <c r="BB1249" i="12"/>
  <c r="BA1249" i="12"/>
  <c r="AZ1249" i="12"/>
  <c r="AY1249" i="12"/>
  <c r="AX1249" i="12"/>
  <c r="BI1248" i="12"/>
  <c r="BG1248" i="12"/>
  <c r="BF1248" i="12"/>
  <c r="BE1248" i="12"/>
  <c r="BD1248" i="12"/>
  <c r="BC1248" i="12"/>
  <c r="BB1248" i="12"/>
  <c r="BA1248" i="12"/>
  <c r="AZ1248" i="12"/>
  <c r="AY1248" i="12"/>
  <c r="AX1248" i="12"/>
  <c r="BI1247" i="12"/>
  <c r="BG1247" i="12"/>
  <c r="BF1247" i="12"/>
  <c r="BE1247" i="12"/>
  <c r="BD1247" i="12"/>
  <c r="BC1247" i="12"/>
  <c r="BB1247" i="12"/>
  <c r="BA1247" i="12"/>
  <c r="AZ1247" i="12"/>
  <c r="AY1247" i="12"/>
  <c r="AX1247" i="12"/>
  <c r="BI1246" i="12"/>
  <c r="BG1246" i="12"/>
  <c r="BF1246" i="12"/>
  <c r="BE1246" i="12"/>
  <c r="BD1246" i="12"/>
  <c r="BC1246" i="12"/>
  <c r="BB1246" i="12"/>
  <c r="BA1246" i="12"/>
  <c r="AZ1246" i="12"/>
  <c r="AY1246" i="12"/>
  <c r="AX1246" i="12"/>
  <c r="BI1245" i="12"/>
  <c r="BG1245" i="12"/>
  <c r="BF1245" i="12"/>
  <c r="BE1245" i="12"/>
  <c r="BD1245" i="12"/>
  <c r="BC1245" i="12"/>
  <c r="BB1245" i="12"/>
  <c r="BA1245" i="12"/>
  <c r="AZ1245" i="12"/>
  <c r="AY1245" i="12"/>
  <c r="AX1245" i="12"/>
  <c r="BI1244" i="12"/>
  <c r="BG1244" i="12"/>
  <c r="BF1244" i="12"/>
  <c r="BE1244" i="12"/>
  <c r="BD1244" i="12"/>
  <c r="BC1244" i="12"/>
  <c r="BB1244" i="12"/>
  <c r="BA1244" i="12"/>
  <c r="AZ1244" i="12"/>
  <c r="AY1244" i="12"/>
  <c r="AX1244" i="12"/>
  <c r="BI1243" i="12"/>
  <c r="BG1243" i="12"/>
  <c r="BF1243" i="12"/>
  <c r="BE1243" i="12"/>
  <c r="BD1243" i="12"/>
  <c r="BC1243" i="12"/>
  <c r="BB1243" i="12"/>
  <c r="BA1243" i="12"/>
  <c r="AZ1243" i="12"/>
  <c r="AY1243" i="12"/>
  <c r="AX1243" i="12"/>
  <c r="BI1242" i="12"/>
  <c r="BG1242" i="12"/>
  <c r="BF1242" i="12"/>
  <c r="BE1242" i="12"/>
  <c r="BD1242" i="12"/>
  <c r="BC1242" i="12"/>
  <c r="BB1242" i="12"/>
  <c r="BA1242" i="12"/>
  <c r="AZ1242" i="12"/>
  <c r="AY1242" i="12"/>
  <c r="AX1242" i="12"/>
  <c r="BI1241" i="12"/>
  <c r="BG1241" i="12"/>
  <c r="BF1241" i="12"/>
  <c r="BE1241" i="12"/>
  <c r="BD1241" i="12"/>
  <c r="BC1241" i="12"/>
  <c r="BB1241" i="12"/>
  <c r="BA1241" i="12"/>
  <c r="AZ1241" i="12"/>
  <c r="AY1241" i="12"/>
  <c r="AX1241" i="12"/>
  <c r="BI1240" i="12"/>
  <c r="BG1240" i="12"/>
  <c r="BF1240" i="12"/>
  <c r="BE1240" i="12"/>
  <c r="BD1240" i="12"/>
  <c r="BC1240" i="12"/>
  <c r="BB1240" i="12"/>
  <c r="BA1240" i="12"/>
  <c r="AZ1240" i="12"/>
  <c r="AY1240" i="12"/>
  <c r="AX1240" i="12"/>
  <c r="BI1239" i="12"/>
  <c r="BG1239" i="12"/>
  <c r="BF1239" i="12"/>
  <c r="BE1239" i="12"/>
  <c r="BD1239" i="12"/>
  <c r="BC1239" i="12"/>
  <c r="BB1239" i="12"/>
  <c r="BA1239" i="12"/>
  <c r="AZ1239" i="12"/>
  <c r="AY1239" i="12"/>
  <c r="AX1239" i="12"/>
  <c r="BI1238" i="12"/>
  <c r="BG1238" i="12"/>
  <c r="BF1238" i="12"/>
  <c r="BE1238" i="12"/>
  <c r="BD1238" i="12"/>
  <c r="BC1238" i="12"/>
  <c r="BB1238" i="12"/>
  <c r="BA1238" i="12"/>
  <c r="AZ1238" i="12"/>
  <c r="AY1238" i="12"/>
  <c r="AX1238" i="12"/>
  <c r="BI1237" i="12"/>
  <c r="BG1237" i="12"/>
  <c r="BF1237" i="12"/>
  <c r="BE1237" i="12"/>
  <c r="BD1237" i="12"/>
  <c r="BC1237" i="12"/>
  <c r="BB1237" i="12"/>
  <c r="BA1237" i="12"/>
  <c r="AZ1237" i="12"/>
  <c r="AY1237" i="12"/>
  <c r="AX1237" i="12"/>
  <c r="BI1236" i="12"/>
  <c r="BG1236" i="12"/>
  <c r="BF1236" i="12"/>
  <c r="BE1236" i="12"/>
  <c r="BD1236" i="12"/>
  <c r="BC1236" i="12"/>
  <c r="BB1236" i="12"/>
  <c r="BA1236" i="12"/>
  <c r="AZ1236" i="12"/>
  <c r="AY1236" i="12"/>
  <c r="AX1236" i="12"/>
  <c r="BI1235" i="12"/>
  <c r="BG1235" i="12"/>
  <c r="BF1235" i="12"/>
  <c r="BE1235" i="12"/>
  <c r="BD1235" i="12"/>
  <c r="BC1235" i="12"/>
  <c r="BB1235" i="12"/>
  <c r="BA1235" i="12"/>
  <c r="AZ1235" i="12"/>
  <c r="AY1235" i="12"/>
  <c r="AX1235" i="12"/>
  <c r="BI1234" i="12"/>
  <c r="BG1234" i="12"/>
  <c r="BF1234" i="12"/>
  <c r="BE1234" i="12"/>
  <c r="BD1234" i="12"/>
  <c r="BC1234" i="12"/>
  <c r="BB1234" i="12"/>
  <c r="BA1234" i="12"/>
  <c r="AZ1234" i="12"/>
  <c r="AY1234" i="12"/>
  <c r="AX1234" i="12"/>
  <c r="BI1233" i="12"/>
  <c r="BG1233" i="12"/>
  <c r="BF1233" i="12"/>
  <c r="BE1233" i="12"/>
  <c r="BD1233" i="12"/>
  <c r="BC1233" i="12"/>
  <c r="BB1233" i="12"/>
  <c r="BA1233" i="12"/>
  <c r="AZ1233" i="12"/>
  <c r="AY1233" i="12"/>
  <c r="AX1233" i="12"/>
  <c r="BI1232" i="12"/>
  <c r="BG1232" i="12"/>
  <c r="BF1232" i="12"/>
  <c r="BE1232" i="12"/>
  <c r="BD1232" i="12"/>
  <c r="BC1232" i="12"/>
  <c r="BB1232" i="12"/>
  <c r="BA1232" i="12"/>
  <c r="AZ1232" i="12"/>
  <c r="AY1232" i="12"/>
  <c r="AX1232" i="12"/>
  <c r="BI1231" i="12"/>
  <c r="BG1231" i="12"/>
  <c r="BF1231" i="12"/>
  <c r="BE1231" i="12"/>
  <c r="BD1231" i="12"/>
  <c r="BC1231" i="12"/>
  <c r="BB1231" i="12"/>
  <c r="BA1231" i="12"/>
  <c r="AZ1231" i="12"/>
  <c r="AY1231" i="12"/>
  <c r="AX1231" i="12"/>
  <c r="BI1230" i="12"/>
  <c r="BG1230" i="12"/>
  <c r="BF1230" i="12"/>
  <c r="BE1230" i="12"/>
  <c r="BD1230" i="12"/>
  <c r="BC1230" i="12"/>
  <c r="BB1230" i="12"/>
  <c r="BA1230" i="12"/>
  <c r="AZ1230" i="12"/>
  <c r="AY1230" i="12"/>
  <c r="AX1230" i="12"/>
  <c r="BI1229" i="12"/>
  <c r="BG1229" i="12"/>
  <c r="BF1229" i="12"/>
  <c r="BE1229" i="12"/>
  <c r="BD1229" i="12"/>
  <c r="BC1229" i="12"/>
  <c r="BB1229" i="12"/>
  <c r="BA1229" i="12"/>
  <c r="AZ1229" i="12"/>
  <c r="AY1229" i="12"/>
  <c r="AX1229" i="12"/>
  <c r="BI1228" i="12"/>
  <c r="BG1228" i="12"/>
  <c r="BF1228" i="12"/>
  <c r="BE1228" i="12"/>
  <c r="BD1228" i="12"/>
  <c r="BC1228" i="12"/>
  <c r="BB1228" i="12"/>
  <c r="BA1228" i="12"/>
  <c r="AZ1228" i="12"/>
  <c r="AY1228" i="12"/>
  <c r="AX1228" i="12"/>
  <c r="BI1227" i="12"/>
  <c r="BG1227" i="12"/>
  <c r="BF1227" i="12"/>
  <c r="BE1227" i="12"/>
  <c r="BD1227" i="12"/>
  <c r="BC1227" i="12"/>
  <c r="BB1227" i="12"/>
  <c r="BA1227" i="12"/>
  <c r="AZ1227" i="12"/>
  <c r="AY1227" i="12"/>
  <c r="AX1227" i="12"/>
  <c r="BI1226" i="12"/>
  <c r="BG1226" i="12"/>
  <c r="BF1226" i="12"/>
  <c r="BE1226" i="12"/>
  <c r="BD1226" i="12"/>
  <c r="BC1226" i="12"/>
  <c r="BB1226" i="12"/>
  <c r="BA1226" i="12"/>
  <c r="AZ1226" i="12"/>
  <c r="AY1226" i="12"/>
  <c r="AX1226" i="12"/>
  <c r="BI1225" i="12"/>
  <c r="BG1225" i="12"/>
  <c r="BF1225" i="12"/>
  <c r="BE1225" i="12"/>
  <c r="BD1225" i="12"/>
  <c r="BC1225" i="12"/>
  <c r="BB1225" i="12"/>
  <c r="BA1225" i="12"/>
  <c r="AZ1225" i="12"/>
  <c r="AY1225" i="12"/>
  <c r="AX1225" i="12"/>
  <c r="BI1224" i="12"/>
  <c r="BG1224" i="12"/>
  <c r="BF1224" i="12"/>
  <c r="BE1224" i="12"/>
  <c r="BD1224" i="12"/>
  <c r="BC1224" i="12"/>
  <c r="BB1224" i="12"/>
  <c r="BA1224" i="12"/>
  <c r="AZ1224" i="12"/>
  <c r="AY1224" i="12"/>
  <c r="AX1224" i="12"/>
  <c r="BI1223" i="12"/>
  <c r="BG1223" i="12"/>
  <c r="BF1223" i="12"/>
  <c r="BE1223" i="12"/>
  <c r="BD1223" i="12"/>
  <c r="BC1223" i="12"/>
  <c r="BB1223" i="12"/>
  <c r="BA1223" i="12"/>
  <c r="AZ1223" i="12"/>
  <c r="AY1223" i="12"/>
  <c r="AX1223" i="12"/>
  <c r="BI1222" i="12"/>
  <c r="BG1222" i="12"/>
  <c r="BF1222" i="12"/>
  <c r="BE1222" i="12"/>
  <c r="BD1222" i="12"/>
  <c r="BC1222" i="12"/>
  <c r="BB1222" i="12"/>
  <c r="BA1222" i="12"/>
  <c r="AZ1222" i="12"/>
  <c r="AY1222" i="12"/>
  <c r="AX1222" i="12"/>
  <c r="BI1221" i="12"/>
  <c r="BG1221" i="12"/>
  <c r="BF1221" i="12"/>
  <c r="BE1221" i="12"/>
  <c r="BD1221" i="12"/>
  <c r="BC1221" i="12"/>
  <c r="BB1221" i="12"/>
  <c r="BA1221" i="12"/>
  <c r="AZ1221" i="12"/>
  <c r="AY1221" i="12"/>
  <c r="AX1221" i="12"/>
  <c r="BI1220" i="12"/>
  <c r="BG1220" i="12"/>
  <c r="BF1220" i="12"/>
  <c r="BE1220" i="12"/>
  <c r="BD1220" i="12"/>
  <c r="BC1220" i="12"/>
  <c r="BB1220" i="12"/>
  <c r="BA1220" i="12"/>
  <c r="AZ1220" i="12"/>
  <c r="AY1220" i="12"/>
  <c r="AX1220" i="12"/>
  <c r="BI1219" i="12"/>
  <c r="BG1219" i="12"/>
  <c r="BF1219" i="12"/>
  <c r="BE1219" i="12"/>
  <c r="BD1219" i="12"/>
  <c r="BC1219" i="12"/>
  <c r="BB1219" i="12"/>
  <c r="BA1219" i="12"/>
  <c r="AZ1219" i="12"/>
  <c r="AY1219" i="12"/>
  <c r="AX1219" i="12"/>
  <c r="BI1218" i="12"/>
  <c r="BG1218" i="12"/>
  <c r="BF1218" i="12"/>
  <c r="BE1218" i="12"/>
  <c r="BD1218" i="12"/>
  <c r="BC1218" i="12"/>
  <c r="BB1218" i="12"/>
  <c r="BA1218" i="12"/>
  <c r="AZ1218" i="12"/>
  <c r="AY1218" i="12"/>
  <c r="AX1218" i="12"/>
  <c r="BI1217" i="12"/>
  <c r="BG1217" i="12"/>
  <c r="BF1217" i="12"/>
  <c r="BE1217" i="12"/>
  <c r="BD1217" i="12"/>
  <c r="BC1217" i="12"/>
  <c r="BB1217" i="12"/>
  <c r="BA1217" i="12"/>
  <c r="AZ1217" i="12"/>
  <c r="AY1217" i="12"/>
  <c r="AX1217" i="12"/>
  <c r="BI1216" i="12"/>
  <c r="BG1216" i="12"/>
  <c r="BF1216" i="12"/>
  <c r="BE1216" i="12"/>
  <c r="BD1216" i="12"/>
  <c r="BC1216" i="12"/>
  <c r="BB1216" i="12"/>
  <c r="BA1216" i="12"/>
  <c r="AZ1216" i="12"/>
  <c r="AY1216" i="12"/>
  <c r="AX1216" i="12"/>
  <c r="BI1215" i="12"/>
  <c r="BG1215" i="12"/>
  <c r="BF1215" i="12"/>
  <c r="BE1215" i="12"/>
  <c r="BD1215" i="12"/>
  <c r="BC1215" i="12"/>
  <c r="BB1215" i="12"/>
  <c r="BA1215" i="12"/>
  <c r="AZ1215" i="12"/>
  <c r="AY1215" i="12"/>
  <c r="AX1215" i="12"/>
  <c r="BI1214" i="12"/>
  <c r="BG1214" i="12"/>
  <c r="BF1214" i="12"/>
  <c r="BE1214" i="12"/>
  <c r="BD1214" i="12"/>
  <c r="BC1214" i="12"/>
  <c r="BB1214" i="12"/>
  <c r="BA1214" i="12"/>
  <c r="AZ1214" i="12"/>
  <c r="AY1214" i="12"/>
  <c r="AX1214" i="12"/>
  <c r="BI1213" i="12"/>
  <c r="BG1213" i="12"/>
  <c r="BF1213" i="12"/>
  <c r="BE1213" i="12"/>
  <c r="BD1213" i="12"/>
  <c r="BC1213" i="12"/>
  <c r="BB1213" i="12"/>
  <c r="BA1213" i="12"/>
  <c r="AZ1213" i="12"/>
  <c r="AY1213" i="12"/>
  <c r="AX1213" i="12"/>
  <c r="BI1212" i="12"/>
  <c r="BG1212" i="12"/>
  <c r="BF1212" i="12"/>
  <c r="BE1212" i="12"/>
  <c r="BD1212" i="12"/>
  <c r="BC1212" i="12"/>
  <c r="BB1212" i="12"/>
  <c r="BA1212" i="12"/>
  <c r="AZ1212" i="12"/>
  <c r="AY1212" i="12"/>
  <c r="AX1212" i="12"/>
  <c r="BI1211" i="12"/>
  <c r="BG1211" i="12"/>
  <c r="BF1211" i="12"/>
  <c r="BE1211" i="12"/>
  <c r="BD1211" i="12"/>
  <c r="BC1211" i="12"/>
  <c r="BB1211" i="12"/>
  <c r="BA1211" i="12"/>
  <c r="AZ1211" i="12"/>
  <c r="AY1211" i="12"/>
  <c r="AX1211" i="12"/>
  <c r="BI1210" i="12"/>
  <c r="BG1210" i="12"/>
  <c r="BF1210" i="12"/>
  <c r="BE1210" i="12"/>
  <c r="BD1210" i="12"/>
  <c r="BC1210" i="12"/>
  <c r="BB1210" i="12"/>
  <c r="BA1210" i="12"/>
  <c r="AZ1210" i="12"/>
  <c r="AY1210" i="12"/>
  <c r="AX1210" i="12"/>
  <c r="BI1209" i="12"/>
  <c r="BG1209" i="12"/>
  <c r="BF1209" i="12"/>
  <c r="BE1209" i="12"/>
  <c r="BD1209" i="12"/>
  <c r="BC1209" i="12"/>
  <c r="BB1209" i="12"/>
  <c r="BA1209" i="12"/>
  <c r="AZ1209" i="12"/>
  <c r="AY1209" i="12"/>
  <c r="AX1209" i="12"/>
  <c r="BI1208" i="12"/>
  <c r="BG1208" i="12"/>
  <c r="BF1208" i="12"/>
  <c r="BE1208" i="12"/>
  <c r="BD1208" i="12"/>
  <c r="BC1208" i="12"/>
  <c r="BB1208" i="12"/>
  <c r="BA1208" i="12"/>
  <c r="AZ1208" i="12"/>
  <c r="AY1208" i="12"/>
  <c r="AX1208" i="12"/>
  <c r="BI1207" i="12"/>
  <c r="BG1207" i="12"/>
  <c r="BF1207" i="12"/>
  <c r="BE1207" i="12"/>
  <c r="BD1207" i="12"/>
  <c r="BC1207" i="12"/>
  <c r="BB1207" i="12"/>
  <c r="BA1207" i="12"/>
  <c r="AZ1207" i="12"/>
  <c r="AY1207" i="12"/>
  <c r="AX1207" i="12"/>
  <c r="BI1206" i="12"/>
  <c r="BG1206" i="12"/>
  <c r="BF1206" i="12"/>
  <c r="BE1206" i="12"/>
  <c r="BD1206" i="12"/>
  <c r="BC1206" i="12"/>
  <c r="BB1206" i="12"/>
  <c r="BA1206" i="12"/>
  <c r="AZ1206" i="12"/>
  <c r="AY1206" i="12"/>
  <c r="AX1206" i="12"/>
  <c r="BI1205" i="12"/>
  <c r="BG1205" i="12"/>
  <c r="BF1205" i="12"/>
  <c r="BE1205" i="12"/>
  <c r="BD1205" i="12"/>
  <c r="BC1205" i="12"/>
  <c r="BB1205" i="12"/>
  <c r="BA1205" i="12"/>
  <c r="AZ1205" i="12"/>
  <c r="AY1205" i="12"/>
  <c r="AX1205" i="12"/>
  <c r="BI1204" i="12"/>
  <c r="BG1204" i="12"/>
  <c r="BF1204" i="12"/>
  <c r="BE1204" i="12"/>
  <c r="BD1204" i="12"/>
  <c r="BC1204" i="12"/>
  <c r="BB1204" i="12"/>
  <c r="BA1204" i="12"/>
  <c r="AZ1204" i="12"/>
  <c r="AY1204" i="12"/>
  <c r="AX1204" i="12"/>
  <c r="BI1203" i="12"/>
  <c r="BG1203" i="12"/>
  <c r="BF1203" i="12"/>
  <c r="BE1203" i="12"/>
  <c r="BD1203" i="12"/>
  <c r="BC1203" i="12"/>
  <c r="BB1203" i="12"/>
  <c r="BA1203" i="12"/>
  <c r="AZ1203" i="12"/>
  <c r="AY1203" i="12"/>
  <c r="AX1203" i="12"/>
  <c r="BI1202" i="12"/>
  <c r="BG1202" i="12"/>
  <c r="BF1202" i="12"/>
  <c r="BE1202" i="12"/>
  <c r="BD1202" i="12"/>
  <c r="BC1202" i="12"/>
  <c r="BB1202" i="12"/>
  <c r="BA1202" i="12"/>
  <c r="AZ1202" i="12"/>
  <c r="AY1202" i="12"/>
  <c r="AX1202" i="12"/>
  <c r="BI1201" i="12"/>
  <c r="BG1201" i="12"/>
  <c r="BF1201" i="12"/>
  <c r="BE1201" i="12"/>
  <c r="BD1201" i="12"/>
  <c r="BC1201" i="12"/>
  <c r="BB1201" i="12"/>
  <c r="BA1201" i="12"/>
  <c r="AZ1201" i="12"/>
  <c r="AY1201" i="12"/>
  <c r="AX1201" i="12"/>
  <c r="BI1200" i="12"/>
  <c r="BG1200" i="12"/>
  <c r="BF1200" i="12"/>
  <c r="BE1200" i="12"/>
  <c r="BD1200" i="12"/>
  <c r="BC1200" i="12"/>
  <c r="BB1200" i="12"/>
  <c r="BA1200" i="12"/>
  <c r="AZ1200" i="12"/>
  <c r="AY1200" i="12"/>
  <c r="AX1200" i="12"/>
  <c r="BI1199" i="12"/>
  <c r="BG1199" i="12"/>
  <c r="BF1199" i="12"/>
  <c r="BE1199" i="12"/>
  <c r="BD1199" i="12"/>
  <c r="BC1199" i="12"/>
  <c r="BB1199" i="12"/>
  <c r="BA1199" i="12"/>
  <c r="AZ1199" i="12"/>
  <c r="AY1199" i="12"/>
  <c r="AX1199" i="12"/>
  <c r="BI1198" i="12"/>
  <c r="BG1198" i="12"/>
  <c r="BF1198" i="12"/>
  <c r="BE1198" i="12"/>
  <c r="BD1198" i="12"/>
  <c r="BC1198" i="12"/>
  <c r="BB1198" i="12"/>
  <c r="BA1198" i="12"/>
  <c r="AZ1198" i="12"/>
  <c r="AY1198" i="12"/>
  <c r="AX1198" i="12"/>
  <c r="BI1197" i="12"/>
  <c r="BG1197" i="12"/>
  <c r="BF1197" i="12"/>
  <c r="BE1197" i="12"/>
  <c r="BD1197" i="12"/>
  <c r="BC1197" i="12"/>
  <c r="BB1197" i="12"/>
  <c r="BA1197" i="12"/>
  <c r="AZ1197" i="12"/>
  <c r="AY1197" i="12"/>
  <c r="AX1197" i="12"/>
  <c r="BI1196" i="12"/>
  <c r="BG1196" i="12"/>
  <c r="BF1196" i="12"/>
  <c r="BE1196" i="12"/>
  <c r="BD1196" i="12"/>
  <c r="BC1196" i="12"/>
  <c r="BB1196" i="12"/>
  <c r="BA1196" i="12"/>
  <c r="AZ1196" i="12"/>
  <c r="AY1196" i="12"/>
  <c r="AX1196" i="12"/>
  <c r="BI1195" i="12"/>
  <c r="BG1195" i="12"/>
  <c r="BF1195" i="12"/>
  <c r="BE1195" i="12"/>
  <c r="BD1195" i="12"/>
  <c r="BC1195" i="12"/>
  <c r="BB1195" i="12"/>
  <c r="BA1195" i="12"/>
  <c r="AZ1195" i="12"/>
  <c r="AY1195" i="12"/>
  <c r="AX1195" i="12"/>
  <c r="BI1194" i="12"/>
  <c r="BG1194" i="12"/>
  <c r="BF1194" i="12"/>
  <c r="BE1194" i="12"/>
  <c r="BD1194" i="12"/>
  <c r="BC1194" i="12"/>
  <c r="BB1194" i="12"/>
  <c r="BA1194" i="12"/>
  <c r="AZ1194" i="12"/>
  <c r="AY1194" i="12"/>
  <c r="AX1194" i="12"/>
  <c r="BI1193" i="12"/>
  <c r="BG1193" i="12"/>
  <c r="BF1193" i="12"/>
  <c r="BE1193" i="12"/>
  <c r="BD1193" i="12"/>
  <c r="BC1193" i="12"/>
  <c r="BB1193" i="12"/>
  <c r="BA1193" i="12"/>
  <c r="AZ1193" i="12"/>
  <c r="AY1193" i="12"/>
  <c r="AX1193" i="12"/>
  <c r="BI1192" i="12"/>
  <c r="BG1192" i="12"/>
  <c r="BF1192" i="12"/>
  <c r="BE1192" i="12"/>
  <c r="BD1192" i="12"/>
  <c r="BC1192" i="12"/>
  <c r="BB1192" i="12"/>
  <c r="BA1192" i="12"/>
  <c r="AZ1192" i="12"/>
  <c r="AY1192" i="12"/>
  <c r="AX1192" i="12"/>
  <c r="BI1191" i="12"/>
  <c r="BG1191" i="12"/>
  <c r="BF1191" i="12"/>
  <c r="BE1191" i="12"/>
  <c r="BD1191" i="12"/>
  <c r="BC1191" i="12"/>
  <c r="BB1191" i="12"/>
  <c r="BA1191" i="12"/>
  <c r="AZ1191" i="12"/>
  <c r="AY1191" i="12"/>
  <c r="AX1191" i="12"/>
  <c r="BI1190" i="12"/>
  <c r="BG1190" i="12"/>
  <c r="BF1190" i="12"/>
  <c r="BE1190" i="12"/>
  <c r="BD1190" i="12"/>
  <c r="BC1190" i="12"/>
  <c r="BB1190" i="12"/>
  <c r="BA1190" i="12"/>
  <c r="AZ1190" i="12"/>
  <c r="AY1190" i="12"/>
  <c r="AX1190" i="12"/>
  <c r="BI1189" i="12"/>
  <c r="BG1189" i="12"/>
  <c r="BF1189" i="12"/>
  <c r="BE1189" i="12"/>
  <c r="BD1189" i="12"/>
  <c r="BC1189" i="12"/>
  <c r="BB1189" i="12"/>
  <c r="BA1189" i="12"/>
  <c r="AZ1189" i="12"/>
  <c r="AY1189" i="12"/>
  <c r="AX1189" i="12"/>
  <c r="BI1188" i="12"/>
  <c r="BG1188" i="12"/>
  <c r="BF1188" i="12"/>
  <c r="BE1188" i="12"/>
  <c r="BD1188" i="12"/>
  <c r="BC1188" i="12"/>
  <c r="BB1188" i="12"/>
  <c r="BA1188" i="12"/>
  <c r="AZ1188" i="12"/>
  <c r="AY1188" i="12"/>
  <c r="AX1188" i="12"/>
  <c r="BI1187" i="12"/>
  <c r="BG1187" i="12"/>
  <c r="BF1187" i="12"/>
  <c r="BE1187" i="12"/>
  <c r="BD1187" i="12"/>
  <c r="BC1187" i="12"/>
  <c r="BB1187" i="12"/>
  <c r="BA1187" i="12"/>
  <c r="AZ1187" i="12"/>
  <c r="AY1187" i="12"/>
  <c r="AX1187" i="12"/>
  <c r="BI1186" i="12"/>
  <c r="BG1186" i="12"/>
  <c r="BF1186" i="12"/>
  <c r="BE1186" i="12"/>
  <c r="BD1186" i="12"/>
  <c r="BC1186" i="12"/>
  <c r="BB1186" i="12"/>
  <c r="BA1186" i="12"/>
  <c r="AZ1186" i="12"/>
  <c r="AY1186" i="12"/>
  <c r="AX1186" i="12"/>
  <c r="BI1185" i="12"/>
  <c r="BG1185" i="12"/>
  <c r="BF1185" i="12"/>
  <c r="BE1185" i="12"/>
  <c r="BD1185" i="12"/>
  <c r="BC1185" i="12"/>
  <c r="BB1185" i="12"/>
  <c r="BA1185" i="12"/>
  <c r="AZ1185" i="12"/>
  <c r="AY1185" i="12"/>
  <c r="AX1185" i="12"/>
  <c r="BI1184" i="12"/>
  <c r="BG1184" i="12"/>
  <c r="BF1184" i="12"/>
  <c r="BE1184" i="12"/>
  <c r="BD1184" i="12"/>
  <c r="BC1184" i="12"/>
  <c r="BB1184" i="12"/>
  <c r="BA1184" i="12"/>
  <c r="AZ1184" i="12"/>
  <c r="AY1184" i="12"/>
  <c r="AX1184" i="12"/>
  <c r="BI1183" i="12"/>
  <c r="BG1183" i="12"/>
  <c r="BF1183" i="12"/>
  <c r="BE1183" i="12"/>
  <c r="BD1183" i="12"/>
  <c r="BC1183" i="12"/>
  <c r="BB1183" i="12"/>
  <c r="BA1183" i="12"/>
  <c r="AZ1183" i="12"/>
  <c r="AY1183" i="12"/>
  <c r="AX1183" i="12"/>
  <c r="BI1182" i="12"/>
  <c r="BG1182" i="12"/>
  <c r="BF1182" i="12"/>
  <c r="BE1182" i="12"/>
  <c r="BD1182" i="12"/>
  <c r="BC1182" i="12"/>
  <c r="BB1182" i="12"/>
  <c r="BA1182" i="12"/>
  <c r="AZ1182" i="12"/>
  <c r="AY1182" i="12"/>
  <c r="AX1182" i="12"/>
  <c r="BI1181" i="12"/>
  <c r="BG1181" i="12"/>
  <c r="BF1181" i="12"/>
  <c r="BE1181" i="12"/>
  <c r="BD1181" i="12"/>
  <c r="BC1181" i="12"/>
  <c r="BB1181" i="12"/>
  <c r="BA1181" i="12"/>
  <c r="AZ1181" i="12"/>
  <c r="AY1181" i="12"/>
  <c r="AX1181" i="12"/>
  <c r="BI1180" i="12"/>
  <c r="BG1180" i="12"/>
  <c r="BF1180" i="12"/>
  <c r="BE1180" i="12"/>
  <c r="BD1180" i="12"/>
  <c r="BC1180" i="12"/>
  <c r="BB1180" i="12"/>
  <c r="BA1180" i="12"/>
  <c r="AZ1180" i="12"/>
  <c r="AY1180" i="12"/>
  <c r="AX1180" i="12"/>
  <c r="BI1179" i="12"/>
  <c r="BG1179" i="12"/>
  <c r="BF1179" i="12"/>
  <c r="BE1179" i="12"/>
  <c r="BD1179" i="12"/>
  <c r="BC1179" i="12"/>
  <c r="BB1179" i="12"/>
  <c r="BA1179" i="12"/>
  <c r="AZ1179" i="12"/>
  <c r="AY1179" i="12"/>
  <c r="AX1179" i="12"/>
  <c r="BI1178" i="12"/>
  <c r="BG1178" i="12"/>
  <c r="BF1178" i="12"/>
  <c r="BE1178" i="12"/>
  <c r="BD1178" i="12"/>
  <c r="BC1178" i="12"/>
  <c r="BB1178" i="12"/>
  <c r="BA1178" i="12"/>
  <c r="AZ1178" i="12"/>
  <c r="AY1178" i="12"/>
  <c r="AX1178" i="12"/>
  <c r="BI1177" i="12"/>
  <c r="BG1177" i="12"/>
  <c r="BF1177" i="12"/>
  <c r="BE1177" i="12"/>
  <c r="BD1177" i="12"/>
  <c r="BC1177" i="12"/>
  <c r="BB1177" i="12"/>
  <c r="BA1177" i="12"/>
  <c r="AZ1177" i="12"/>
  <c r="AY1177" i="12"/>
  <c r="AX1177" i="12"/>
  <c r="BI1176" i="12"/>
  <c r="BG1176" i="12"/>
  <c r="BF1176" i="12"/>
  <c r="BE1176" i="12"/>
  <c r="BD1176" i="12"/>
  <c r="BC1176" i="12"/>
  <c r="BB1176" i="12"/>
  <c r="BA1176" i="12"/>
  <c r="AZ1176" i="12"/>
  <c r="AY1176" i="12"/>
  <c r="AX1176" i="12"/>
  <c r="BI1175" i="12"/>
  <c r="BG1175" i="12"/>
  <c r="BF1175" i="12"/>
  <c r="BE1175" i="12"/>
  <c r="BD1175" i="12"/>
  <c r="BC1175" i="12"/>
  <c r="BB1175" i="12"/>
  <c r="BA1175" i="12"/>
  <c r="AZ1175" i="12"/>
  <c r="AY1175" i="12"/>
  <c r="AX1175" i="12"/>
  <c r="BI1174" i="12"/>
  <c r="BG1174" i="12"/>
  <c r="BF1174" i="12"/>
  <c r="BE1174" i="12"/>
  <c r="BD1174" i="12"/>
  <c r="BC1174" i="12"/>
  <c r="BB1174" i="12"/>
  <c r="BA1174" i="12"/>
  <c r="AZ1174" i="12"/>
  <c r="AY1174" i="12"/>
  <c r="AX1174" i="12"/>
  <c r="BI1173" i="12"/>
  <c r="BG1173" i="12"/>
  <c r="BF1173" i="12"/>
  <c r="BE1173" i="12"/>
  <c r="BD1173" i="12"/>
  <c r="BC1173" i="12"/>
  <c r="BB1173" i="12"/>
  <c r="BA1173" i="12"/>
  <c r="AZ1173" i="12"/>
  <c r="AY1173" i="12"/>
  <c r="AX1173" i="12"/>
  <c r="BI1172" i="12"/>
  <c r="BG1172" i="12"/>
  <c r="BF1172" i="12"/>
  <c r="BE1172" i="12"/>
  <c r="BD1172" i="12"/>
  <c r="BC1172" i="12"/>
  <c r="BB1172" i="12"/>
  <c r="BA1172" i="12"/>
  <c r="AZ1172" i="12"/>
  <c r="AY1172" i="12"/>
  <c r="AX1172" i="12"/>
  <c r="BI1171" i="12"/>
  <c r="BG1171" i="12"/>
  <c r="BF1171" i="12"/>
  <c r="BE1171" i="12"/>
  <c r="BD1171" i="12"/>
  <c r="BC1171" i="12"/>
  <c r="BB1171" i="12"/>
  <c r="BA1171" i="12"/>
  <c r="AZ1171" i="12"/>
  <c r="AY1171" i="12"/>
  <c r="AX1171" i="12"/>
  <c r="BI1170" i="12"/>
  <c r="BG1170" i="12"/>
  <c r="BF1170" i="12"/>
  <c r="BE1170" i="12"/>
  <c r="BD1170" i="12"/>
  <c r="BC1170" i="12"/>
  <c r="BB1170" i="12"/>
  <c r="BA1170" i="12"/>
  <c r="AZ1170" i="12"/>
  <c r="AY1170" i="12"/>
  <c r="AX1170" i="12"/>
  <c r="BI1169" i="12"/>
  <c r="BG1169" i="12"/>
  <c r="BF1169" i="12"/>
  <c r="BE1169" i="12"/>
  <c r="BD1169" i="12"/>
  <c r="BC1169" i="12"/>
  <c r="BB1169" i="12"/>
  <c r="BA1169" i="12"/>
  <c r="AZ1169" i="12"/>
  <c r="AY1169" i="12"/>
  <c r="AX1169" i="12"/>
  <c r="BI1168" i="12"/>
  <c r="BG1168" i="12"/>
  <c r="BF1168" i="12"/>
  <c r="BE1168" i="12"/>
  <c r="BD1168" i="12"/>
  <c r="BC1168" i="12"/>
  <c r="BB1168" i="12"/>
  <c r="BA1168" i="12"/>
  <c r="AZ1168" i="12"/>
  <c r="AY1168" i="12"/>
  <c r="AX1168" i="12"/>
  <c r="BI1167" i="12"/>
  <c r="BG1167" i="12"/>
  <c r="BF1167" i="12"/>
  <c r="BE1167" i="12"/>
  <c r="BD1167" i="12"/>
  <c r="BC1167" i="12"/>
  <c r="BB1167" i="12"/>
  <c r="BA1167" i="12"/>
  <c r="AZ1167" i="12"/>
  <c r="AY1167" i="12"/>
  <c r="AX1167" i="12"/>
  <c r="BI1166" i="12"/>
  <c r="BG1166" i="12"/>
  <c r="BF1166" i="12"/>
  <c r="BE1166" i="12"/>
  <c r="BD1166" i="12"/>
  <c r="BC1166" i="12"/>
  <c r="BB1166" i="12"/>
  <c r="BA1166" i="12"/>
  <c r="AZ1166" i="12"/>
  <c r="AY1166" i="12"/>
  <c r="AX1166" i="12"/>
  <c r="BI1165" i="12"/>
  <c r="BG1165" i="12"/>
  <c r="BF1165" i="12"/>
  <c r="BE1165" i="12"/>
  <c r="BD1165" i="12"/>
  <c r="BC1165" i="12"/>
  <c r="BB1165" i="12"/>
  <c r="BA1165" i="12"/>
  <c r="AZ1165" i="12"/>
  <c r="AY1165" i="12"/>
  <c r="AX1165" i="12"/>
  <c r="BI1164" i="12"/>
  <c r="BG1164" i="12"/>
  <c r="BF1164" i="12"/>
  <c r="BE1164" i="12"/>
  <c r="BD1164" i="12"/>
  <c r="BC1164" i="12"/>
  <c r="BB1164" i="12"/>
  <c r="BA1164" i="12"/>
  <c r="AZ1164" i="12"/>
  <c r="AY1164" i="12"/>
  <c r="AX1164" i="12"/>
  <c r="BI1163" i="12"/>
  <c r="BG1163" i="12"/>
  <c r="BF1163" i="12"/>
  <c r="BE1163" i="12"/>
  <c r="BD1163" i="12"/>
  <c r="BC1163" i="12"/>
  <c r="BB1163" i="12"/>
  <c r="BA1163" i="12"/>
  <c r="AZ1163" i="12"/>
  <c r="AY1163" i="12"/>
  <c r="AX1163" i="12"/>
  <c r="BI1162" i="12"/>
  <c r="BG1162" i="12"/>
  <c r="BF1162" i="12"/>
  <c r="BE1162" i="12"/>
  <c r="BD1162" i="12"/>
  <c r="BC1162" i="12"/>
  <c r="BB1162" i="12"/>
  <c r="BA1162" i="12"/>
  <c r="AZ1162" i="12"/>
  <c r="AY1162" i="12"/>
  <c r="AX1162" i="12"/>
  <c r="BI1161" i="12"/>
  <c r="BG1161" i="12"/>
  <c r="BF1161" i="12"/>
  <c r="BE1161" i="12"/>
  <c r="BD1161" i="12"/>
  <c r="BC1161" i="12"/>
  <c r="BB1161" i="12"/>
  <c r="BA1161" i="12"/>
  <c r="AZ1161" i="12"/>
  <c r="AY1161" i="12"/>
  <c r="AX1161" i="12"/>
  <c r="BI1160" i="12"/>
  <c r="BG1160" i="12"/>
  <c r="BF1160" i="12"/>
  <c r="BE1160" i="12"/>
  <c r="BD1160" i="12"/>
  <c r="BC1160" i="12"/>
  <c r="BB1160" i="12"/>
  <c r="BA1160" i="12"/>
  <c r="AZ1160" i="12"/>
  <c r="AY1160" i="12"/>
  <c r="AX1160" i="12"/>
  <c r="BI1159" i="12"/>
  <c r="BG1159" i="12"/>
  <c r="BF1159" i="12"/>
  <c r="BE1159" i="12"/>
  <c r="BD1159" i="12"/>
  <c r="BC1159" i="12"/>
  <c r="BB1159" i="12"/>
  <c r="BA1159" i="12"/>
  <c r="AZ1159" i="12"/>
  <c r="AY1159" i="12"/>
  <c r="AX1159" i="12"/>
  <c r="BI1158" i="12"/>
  <c r="BG1158" i="12"/>
  <c r="BF1158" i="12"/>
  <c r="BE1158" i="12"/>
  <c r="BD1158" i="12"/>
  <c r="BC1158" i="12"/>
  <c r="BB1158" i="12"/>
  <c r="BA1158" i="12"/>
  <c r="AZ1158" i="12"/>
  <c r="AY1158" i="12"/>
  <c r="AX1158" i="12"/>
  <c r="BI1157" i="12"/>
  <c r="BG1157" i="12"/>
  <c r="BF1157" i="12"/>
  <c r="BE1157" i="12"/>
  <c r="BD1157" i="12"/>
  <c r="BC1157" i="12"/>
  <c r="BB1157" i="12"/>
  <c r="BA1157" i="12"/>
  <c r="AZ1157" i="12"/>
  <c r="AY1157" i="12"/>
  <c r="AX1157" i="12"/>
  <c r="BI1156" i="12"/>
  <c r="BG1156" i="12"/>
  <c r="BF1156" i="12"/>
  <c r="BE1156" i="12"/>
  <c r="BD1156" i="12"/>
  <c r="BC1156" i="12"/>
  <c r="BB1156" i="12"/>
  <c r="BA1156" i="12"/>
  <c r="AZ1156" i="12"/>
  <c r="AY1156" i="12"/>
  <c r="AX1156" i="12"/>
  <c r="BI1155" i="12"/>
  <c r="BG1155" i="12"/>
  <c r="BF1155" i="12"/>
  <c r="BE1155" i="12"/>
  <c r="BD1155" i="12"/>
  <c r="BC1155" i="12"/>
  <c r="BB1155" i="12"/>
  <c r="BA1155" i="12"/>
  <c r="AZ1155" i="12"/>
  <c r="AY1155" i="12"/>
  <c r="AX1155" i="12"/>
  <c r="BI1154" i="12"/>
  <c r="BG1154" i="12"/>
  <c r="BF1154" i="12"/>
  <c r="BE1154" i="12"/>
  <c r="BD1154" i="12"/>
  <c r="BC1154" i="12"/>
  <c r="BB1154" i="12"/>
  <c r="BA1154" i="12"/>
  <c r="AZ1154" i="12"/>
  <c r="AY1154" i="12"/>
  <c r="AX1154" i="12"/>
  <c r="BI1153" i="12"/>
  <c r="BG1153" i="12"/>
  <c r="BF1153" i="12"/>
  <c r="BE1153" i="12"/>
  <c r="BD1153" i="12"/>
  <c r="BC1153" i="12"/>
  <c r="BB1153" i="12"/>
  <c r="BA1153" i="12"/>
  <c r="AZ1153" i="12"/>
  <c r="AY1153" i="12"/>
  <c r="AX1153" i="12"/>
  <c r="BI1152" i="12"/>
  <c r="BG1152" i="12"/>
  <c r="BF1152" i="12"/>
  <c r="BE1152" i="12"/>
  <c r="BD1152" i="12"/>
  <c r="BC1152" i="12"/>
  <c r="BB1152" i="12"/>
  <c r="BA1152" i="12"/>
  <c r="AZ1152" i="12"/>
  <c r="AY1152" i="12"/>
  <c r="AX1152" i="12"/>
  <c r="BI1151" i="12"/>
  <c r="BG1151" i="12"/>
  <c r="BF1151" i="12"/>
  <c r="BE1151" i="12"/>
  <c r="BD1151" i="12"/>
  <c r="BC1151" i="12"/>
  <c r="BB1151" i="12"/>
  <c r="BA1151" i="12"/>
  <c r="AZ1151" i="12"/>
  <c r="AY1151" i="12"/>
  <c r="AX1151" i="12"/>
  <c r="BI1150" i="12"/>
  <c r="BG1150" i="12"/>
  <c r="BF1150" i="12"/>
  <c r="BE1150" i="12"/>
  <c r="BD1150" i="12"/>
  <c r="BC1150" i="12"/>
  <c r="BB1150" i="12"/>
  <c r="BA1150" i="12"/>
  <c r="AZ1150" i="12"/>
  <c r="AY1150" i="12"/>
  <c r="AX1150" i="12"/>
  <c r="BI1149" i="12"/>
  <c r="BG1149" i="12"/>
  <c r="BF1149" i="12"/>
  <c r="BE1149" i="12"/>
  <c r="BD1149" i="12"/>
  <c r="BC1149" i="12"/>
  <c r="BB1149" i="12"/>
  <c r="BA1149" i="12"/>
  <c r="AZ1149" i="12"/>
  <c r="AY1149" i="12"/>
  <c r="AX1149" i="12"/>
  <c r="BI1148" i="12"/>
  <c r="BG1148" i="12"/>
  <c r="BF1148" i="12"/>
  <c r="BE1148" i="12"/>
  <c r="BD1148" i="12"/>
  <c r="BC1148" i="12"/>
  <c r="BB1148" i="12"/>
  <c r="BA1148" i="12"/>
  <c r="AZ1148" i="12"/>
  <c r="AY1148" i="12"/>
  <c r="AX1148" i="12"/>
  <c r="BI1147" i="12"/>
  <c r="BG1147" i="12"/>
  <c r="BF1147" i="12"/>
  <c r="BE1147" i="12"/>
  <c r="BD1147" i="12"/>
  <c r="BC1147" i="12"/>
  <c r="BB1147" i="12"/>
  <c r="BA1147" i="12"/>
  <c r="AZ1147" i="12"/>
  <c r="AY1147" i="12"/>
  <c r="AX1147" i="12"/>
  <c r="BI1146" i="12"/>
  <c r="BG1146" i="12"/>
  <c r="BF1146" i="12"/>
  <c r="BE1146" i="12"/>
  <c r="BD1146" i="12"/>
  <c r="BC1146" i="12"/>
  <c r="BB1146" i="12"/>
  <c r="BA1146" i="12"/>
  <c r="AZ1146" i="12"/>
  <c r="AY1146" i="12"/>
  <c r="AX1146" i="12"/>
  <c r="BI1145" i="12"/>
  <c r="BG1145" i="12"/>
  <c r="BF1145" i="12"/>
  <c r="BE1145" i="12"/>
  <c r="BD1145" i="12"/>
  <c r="BC1145" i="12"/>
  <c r="BB1145" i="12"/>
  <c r="BA1145" i="12"/>
  <c r="AZ1145" i="12"/>
  <c r="AY1145" i="12"/>
  <c r="AX1145" i="12"/>
  <c r="BI1144" i="12"/>
  <c r="BG1144" i="12"/>
  <c r="BF1144" i="12"/>
  <c r="BE1144" i="12"/>
  <c r="BD1144" i="12"/>
  <c r="BC1144" i="12"/>
  <c r="BB1144" i="12"/>
  <c r="BA1144" i="12"/>
  <c r="AZ1144" i="12"/>
  <c r="AY1144" i="12"/>
  <c r="AX1144" i="12"/>
  <c r="BI1143" i="12"/>
  <c r="BG1143" i="12"/>
  <c r="BF1143" i="12"/>
  <c r="BE1143" i="12"/>
  <c r="BD1143" i="12"/>
  <c r="BC1143" i="12"/>
  <c r="BB1143" i="12"/>
  <c r="BA1143" i="12"/>
  <c r="AZ1143" i="12"/>
  <c r="AY1143" i="12"/>
  <c r="AX1143" i="12"/>
  <c r="BI1142" i="12"/>
  <c r="BG1142" i="12"/>
  <c r="BF1142" i="12"/>
  <c r="BE1142" i="12"/>
  <c r="BD1142" i="12"/>
  <c r="BC1142" i="12"/>
  <c r="BB1142" i="12"/>
  <c r="BA1142" i="12"/>
  <c r="AZ1142" i="12"/>
  <c r="AY1142" i="12"/>
  <c r="AX1142" i="12"/>
  <c r="BI1141" i="12"/>
  <c r="BG1141" i="12"/>
  <c r="BF1141" i="12"/>
  <c r="BE1141" i="12"/>
  <c r="BD1141" i="12"/>
  <c r="BC1141" i="12"/>
  <c r="BB1141" i="12"/>
  <c r="BA1141" i="12"/>
  <c r="AZ1141" i="12"/>
  <c r="AY1141" i="12"/>
  <c r="AX1141" i="12"/>
  <c r="BI1140" i="12"/>
  <c r="BG1140" i="12"/>
  <c r="BF1140" i="12"/>
  <c r="BE1140" i="12"/>
  <c r="BD1140" i="12"/>
  <c r="BC1140" i="12"/>
  <c r="BB1140" i="12"/>
  <c r="BA1140" i="12"/>
  <c r="AZ1140" i="12"/>
  <c r="AY1140" i="12"/>
  <c r="AX1140" i="12"/>
  <c r="BI1139" i="12"/>
  <c r="BG1139" i="12"/>
  <c r="BF1139" i="12"/>
  <c r="BE1139" i="12"/>
  <c r="BD1139" i="12"/>
  <c r="BC1139" i="12"/>
  <c r="BB1139" i="12"/>
  <c r="BA1139" i="12"/>
  <c r="AZ1139" i="12"/>
  <c r="AY1139" i="12"/>
  <c r="AX1139" i="12"/>
  <c r="BI1138" i="12"/>
  <c r="BG1138" i="12"/>
  <c r="BF1138" i="12"/>
  <c r="BE1138" i="12"/>
  <c r="BD1138" i="12"/>
  <c r="BC1138" i="12"/>
  <c r="BB1138" i="12"/>
  <c r="BA1138" i="12"/>
  <c r="AZ1138" i="12"/>
  <c r="AY1138" i="12"/>
  <c r="AX1138" i="12"/>
  <c r="BI1137" i="12"/>
  <c r="BG1137" i="12"/>
  <c r="BF1137" i="12"/>
  <c r="BE1137" i="12"/>
  <c r="BD1137" i="12"/>
  <c r="BC1137" i="12"/>
  <c r="BB1137" i="12"/>
  <c r="BA1137" i="12"/>
  <c r="AZ1137" i="12"/>
  <c r="AY1137" i="12"/>
  <c r="AX1137" i="12"/>
  <c r="BI1136" i="12"/>
  <c r="BG1136" i="12"/>
  <c r="BF1136" i="12"/>
  <c r="BE1136" i="12"/>
  <c r="BD1136" i="12"/>
  <c r="BC1136" i="12"/>
  <c r="BB1136" i="12"/>
  <c r="BA1136" i="12"/>
  <c r="AZ1136" i="12"/>
  <c r="AY1136" i="12"/>
  <c r="AX1136" i="12"/>
  <c r="BI1135" i="12"/>
  <c r="BG1135" i="12"/>
  <c r="BF1135" i="12"/>
  <c r="BE1135" i="12"/>
  <c r="BD1135" i="12"/>
  <c r="BC1135" i="12"/>
  <c r="BB1135" i="12"/>
  <c r="BA1135" i="12"/>
  <c r="AZ1135" i="12"/>
  <c r="AY1135" i="12"/>
  <c r="AX1135" i="12"/>
  <c r="BI1134" i="12"/>
  <c r="BG1134" i="12"/>
  <c r="BF1134" i="12"/>
  <c r="BE1134" i="12"/>
  <c r="BD1134" i="12"/>
  <c r="BC1134" i="12"/>
  <c r="BB1134" i="12"/>
  <c r="BA1134" i="12"/>
  <c r="AZ1134" i="12"/>
  <c r="AY1134" i="12"/>
  <c r="AX1134" i="12"/>
  <c r="BI1133" i="12"/>
  <c r="BG1133" i="12"/>
  <c r="BF1133" i="12"/>
  <c r="BE1133" i="12"/>
  <c r="BD1133" i="12"/>
  <c r="BC1133" i="12"/>
  <c r="BB1133" i="12"/>
  <c r="BA1133" i="12"/>
  <c r="AZ1133" i="12"/>
  <c r="AY1133" i="12"/>
  <c r="AX1133" i="12"/>
  <c r="BI1132" i="12"/>
  <c r="BG1132" i="12"/>
  <c r="BF1132" i="12"/>
  <c r="BE1132" i="12"/>
  <c r="BD1132" i="12"/>
  <c r="BC1132" i="12"/>
  <c r="BB1132" i="12"/>
  <c r="BA1132" i="12"/>
  <c r="AZ1132" i="12"/>
  <c r="AY1132" i="12"/>
  <c r="AX1132" i="12"/>
  <c r="BI1131" i="12"/>
  <c r="BG1131" i="12"/>
  <c r="BF1131" i="12"/>
  <c r="BE1131" i="12"/>
  <c r="BD1131" i="12"/>
  <c r="BC1131" i="12"/>
  <c r="BB1131" i="12"/>
  <c r="BA1131" i="12"/>
  <c r="AZ1131" i="12"/>
  <c r="AY1131" i="12"/>
  <c r="AX1131" i="12"/>
  <c r="BI1130" i="12"/>
  <c r="BG1130" i="12"/>
  <c r="BF1130" i="12"/>
  <c r="BE1130" i="12"/>
  <c r="BD1130" i="12"/>
  <c r="BC1130" i="12"/>
  <c r="BB1130" i="12"/>
  <c r="BA1130" i="12"/>
  <c r="AZ1130" i="12"/>
  <c r="AY1130" i="12"/>
  <c r="AX1130" i="12"/>
  <c r="BI1129" i="12"/>
  <c r="BG1129" i="12"/>
  <c r="BF1129" i="12"/>
  <c r="BE1129" i="12"/>
  <c r="BD1129" i="12"/>
  <c r="BC1129" i="12"/>
  <c r="BB1129" i="12"/>
  <c r="BA1129" i="12"/>
  <c r="AZ1129" i="12"/>
  <c r="AY1129" i="12"/>
  <c r="AX1129" i="12"/>
  <c r="BI1128" i="12"/>
  <c r="BG1128" i="12"/>
  <c r="BF1128" i="12"/>
  <c r="BE1128" i="12"/>
  <c r="BD1128" i="12"/>
  <c r="BC1128" i="12"/>
  <c r="BB1128" i="12"/>
  <c r="BA1128" i="12"/>
  <c r="AZ1128" i="12"/>
  <c r="AY1128" i="12"/>
  <c r="AX1128" i="12"/>
  <c r="BI1127" i="12"/>
  <c r="BG1127" i="12"/>
  <c r="BF1127" i="12"/>
  <c r="BE1127" i="12"/>
  <c r="BD1127" i="12"/>
  <c r="BC1127" i="12"/>
  <c r="BB1127" i="12"/>
  <c r="BA1127" i="12"/>
  <c r="AZ1127" i="12"/>
  <c r="AY1127" i="12"/>
  <c r="AX1127" i="12"/>
  <c r="BI1126" i="12"/>
  <c r="BG1126" i="12"/>
  <c r="BF1126" i="12"/>
  <c r="BE1126" i="12"/>
  <c r="BD1126" i="12"/>
  <c r="BC1126" i="12"/>
  <c r="BB1126" i="12"/>
  <c r="BA1126" i="12"/>
  <c r="AZ1126" i="12"/>
  <c r="AY1126" i="12"/>
  <c r="AX1126" i="12"/>
  <c r="BI1125" i="12"/>
  <c r="BG1125" i="12"/>
  <c r="BF1125" i="12"/>
  <c r="BE1125" i="12"/>
  <c r="BD1125" i="12"/>
  <c r="BC1125" i="12"/>
  <c r="BB1125" i="12"/>
  <c r="BA1125" i="12"/>
  <c r="AZ1125" i="12"/>
  <c r="AY1125" i="12"/>
  <c r="AX1125" i="12"/>
  <c r="BI1124" i="12"/>
  <c r="BG1124" i="12"/>
  <c r="BF1124" i="12"/>
  <c r="BE1124" i="12"/>
  <c r="BD1124" i="12"/>
  <c r="BC1124" i="12"/>
  <c r="BB1124" i="12"/>
  <c r="BA1124" i="12"/>
  <c r="AZ1124" i="12"/>
  <c r="AY1124" i="12"/>
  <c r="AX1124" i="12"/>
  <c r="BI1123" i="12"/>
  <c r="BG1123" i="12"/>
  <c r="BF1123" i="12"/>
  <c r="BE1123" i="12"/>
  <c r="BD1123" i="12"/>
  <c r="BC1123" i="12"/>
  <c r="BB1123" i="12"/>
  <c r="BA1123" i="12"/>
  <c r="AZ1123" i="12"/>
  <c r="AY1123" i="12"/>
  <c r="AX1123" i="12"/>
  <c r="BI1122" i="12"/>
  <c r="BG1122" i="12"/>
  <c r="BF1122" i="12"/>
  <c r="BE1122" i="12"/>
  <c r="BD1122" i="12"/>
  <c r="BC1122" i="12"/>
  <c r="BB1122" i="12"/>
  <c r="BA1122" i="12"/>
  <c r="AZ1122" i="12"/>
  <c r="AY1122" i="12"/>
  <c r="AX1122" i="12"/>
  <c r="BI1121" i="12"/>
  <c r="BG1121" i="12"/>
  <c r="BF1121" i="12"/>
  <c r="BE1121" i="12"/>
  <c r="BD1121" i="12"/>
  <c r="BC1121" i="12"/>
  <c r="BB1121" i="12"/>
  <c r="BA1121" i="12"/>
  <c r="AZ1121" i="12"/>
  <c r="AY1121" i="12"/>
  <c r="AX1121" i="12"/>
  <c r="BI1120" i="12"/>
  <c r="BG1120" i="12"/>
  <c r="BF1120" i="12"/>
  <c r="BE1120" i="12"/>
  <c r="BD1120" i="12"/>
  <c r="BC1120" i="12"/>
  <c r="BB1120" i="12"/>
  <c r="BA1120" i="12"/>
  <c r="AZ1120" i="12"/>
  <c r="AY1120" i="12"/>
  <c r="AX1120" i="12"/>
  <c r="BI1119" i="12"/>
  <c r="BG1119" i="12"/>
  <c r="BF1119" i="12"/>
  <c r="BE1119" i="12"/>
  <c r="BD1119" i="12"/>
  <c r="BC1119" i="12"/>
  <c r="BB1119" i="12"/>
  <c r="BA1119" i="12"/>
  <c r="AZ1119" i="12"/>
  <c r="AY1119" i="12"/>
  <c r="AX1119" i="12"/>
  <c r="BI1118" i="12"/>
  <c r="BG1118" i="12"/>
  <c r="BF1118" i="12"/>
  <c r="BE1118" i="12"/>
  <c r="BD1118" i="12"/>
  <c r="BC1118" i="12"/>
  <c r="BB1118" i="12"/>
  <c r="BA1118" i="12"/>
  <c r="AZ1118" i="12"/>
  <c r="AY1118" i="12"/>
  <c r="AX1118" i="12"/>
  <c r="BI1117" i="12"/>
  <c r="BG1117" i="12"/>
  <c r="BF1117" i="12"/>
  <c r="BE1117" i="12"/>
  <c r="BD1117" i="12"/>
  <c r="BC1117" i="12"/>
  <c r="BB1117" i="12"/>
  <c r="BA1117" i="12"/>
  <c r="AZ1117" i="12"/>
  <c r="AY1117" i="12"/>
  <c r="AX1117" i="12"/>
  <c r="BI1116" i="12"/>
  <c r="BG1116" i="12"/>
  <c r="BF1116" i="12"/>
  <c r="BE1116" i="12"/>
  <c r="BD1116" i="12"/>
  <c r="BC1116" i="12"/>
  <c r="BB1116" i="12"/>
  <c r="BA1116" i="12"/>
  <c r="AZ1116" i="12"/>
  <c r="AY1116" i="12"/>
  <c r="AX1116" i="12"/>
  <c r="BI1115" i="12"/>
  <c r="BG1115" i="12"/>
  <c r="BF1115" i="12"/>
  <c r="BE1115" i="12"/>
  <c r="BD1115" i="12"/>
  <c r="BC1115" i="12"/>
  <c r="BB1115" i="12"/>
  <c r="BA1115" i="12"/>
  <c r="AZ1115" i="12"/>
  <c r="AY1115" i="12"/>
  <c r="AX1115" i="12"/>
  <c r="BI1114" i="12"/>
  <c r="BG1114" i="12"/>
  <c r="BF1114" i="12"/>
  <c r="BE1114" i="12"/>
  <c r="BD1114" i="12"/>
  <c r="BC1114" i="12"/>
  <c r="BB1114" i="12"/>
  <c r="BA1114" i="12"/>
  <c r="AZ1114" i="12"/>
  <c r="AY1114" i="12"/>
  <c r="AX1114" i="12"/>
  <c r="BI1113" i="12"/>
  <c r="BG1113" i="12"/>
  <c r="BF1113" i="12"/>
  <c r="BE1113" i="12"/>
  <c r="BD1113" i="12"/>
  <c r="BC1113" i="12"/>
  <c r="BB1113" i="12"/>
  <c r="BA1113" i="12"/>
  <c r="AZ1113" i="12"/>
  <c r="AY1113" i="12"/>
  <c r="AX1113" i="12"/>
  <c r="BI1112" i="12"/>
  <c r="BG1112" i="12"/>
  <c r="BF1112" i="12"/>
  <c r="BE1112" i="12"/>
  <c r="BD1112" i="12"/>
  <c r="BC1112" i="12"/>
  <c r="BB1112" i="12"/>
  <c r="BA1112" i="12"/>
  <c r="AZ1112" i="12"/>
  <c r="AY1112" i="12"/>
  <c r="AX1112" i="12"/>
  <c r="BI1111" i="12"/>
  <c r="BG1111" i="12"/>
  <c r="BF1111" i="12"/>
  <c r="BE1111" i="12"/>
  <c r="BD1111" i="12"/>
  <c r="BC1111" i="12"/>
  <c r="BB1111" i="12"/>
  <c r="BA1111" i="12"/>
  <c r="AZ1111" i="12"/>
  <c r="AY1111" i="12"/>
  <c r="AX1111" i="12"/>
  <c r="BI1110" i="12"/>
  <c r="BG1110" i="12"/>
  <c r="BF1110" i="12"/>
  <c r="BE1110" i="12"/>
  <c r="BD1110" i="12"/>
  <c r="BC1110" i="12"/>
  <c r="BB1110" i="12"/>
  <c r="BA1110" i="12"/>
  <c r="AZ1110" i="12"/>
  <c r="AY1110" i="12"/>
  <c r="AX1110" i="12"/>
  <c r="BI1109" i="12"/>
  <c r="BG1109" i="12"/>
  <c r="BF1109" i="12"/>
  <c r="BE1109" i="12"/>
  <c r="BD1109" i="12"/>
  <c r="BC1109" i="12"/>
  <c r="BB1109" i="12"/>
  <c r="BA1109" i="12"/>
  <c r="AZ1109" i="12"/>
  <c r="AY1109" i="12"/>
  <c r="AX1109" i="12"/>
  <c r="BI1108" i="12"/>
  <c r="BG1108" i="12"/>
  <c r="BF1108" i="12"/>
  <c r="BE1108" i="12"/>
  <c r="BD1108" i="12"/>
  <c r="BC1108" i="12"/>
  <c r="BB1108" i="12"/>
  <c r="BA1108" i="12"/>
  <c r="AZ1108" i="12"/>
  <c r="AY1108" i="12"/>
  <c r="AX1108" i="12"/>
  <c r="BI1107" i="12"/>
  <c r="BG1107" i="12"/>
  <c r="BF1107" i="12"/>
  <c r="BE1107" i="12"/>
  <c r="BD1107" i="12"/>
  <c r="BC1107" i="12"/>
  <c r="BB1107" i="12"/>
  <c r="BA1107" i="12"/>
  <c r="AZ1107" i="12"/>
  <c r="AY1107" i="12"/>
  <c r="AX1107" i="12"/>
  <c r="BI1106" i="12"/>
  <c r="BG1106" i="12"/>
  <c r="BF1106" i="12"/>
  <c r="BE1106" i="12"/>
  <c r="BD1106" i="12"/>
  <c r="BC1106" i="12"/>
  <c r="BB1106" i="12"/>
  <c r="BA1106" i="12"/>
  <c r="AZ1106" i="12"/>
  <c r="AY1106" i="12"/>
  <c r="AX1106" i="12"/>
  <c r="BI1105" i="12"/>
  <c r="BG1105" i="12"/>
  <c r="BF1105" i="12"/>
  <c r="BE1105" i="12"/>
  <c r="BD1105" i="12"/>
  <c r="BC1105" i="12"/>
  <c r="BB1105" i="12"/>
  <c r="BA1105" i="12"/>
  <c r="AZ1105" i="12"/>
  <c r="AY1105" i="12"/>
  <c r="AX1105" i="12"/>
  <c r="BI1104" i="12"/>
  <c r="BG1104" i="12"/>
  <c r="BF1104" i="12"/>
  <c r="BE1104" i="12"/>
  <c r="BD1104" i="12"/>
  <c r="BC1104" i="12"/>
  <c r="BB1104" i="12"/>
  <c r="BA1104" i="12"/>
  <c r="AZ1104" i="12"/>
  <c r="AY1104" i="12"/>
  <c r="AX1104" i="12"/>
  <c r="BI1103" i="12"/>
  <c r="BG1103" i="12"/>
  <c r="BF1103" i="12"/>
  <c r="BE1103" i="12"/>
  <c r="BD1103" i="12"/>
  <c r="BC1103" i="12"/>
  <c r="BB1103" i="12"/>
  <c r="BA1103" i="12"/>
  <c r="AZ1103" i="12"/>
  <c r="AY1103" i="12"/>
  <c r="AX1103" i="12"/>
  <c r="BI1102" i="12"/>
  <c r="BG1102" i="12"/>
  <c r="BF1102" i="12"/>
  <c r="BE1102" i="12"/>
  <c r="BD1102" i="12"/>
  <c r="BC1102" i="12"/>
  <c r="BB1102" i="12"/>
  <c r="BA1102" i="12"/>
  <c r="AZ1102" i="12"/>
  <c r="AY1102" i="12"/>
  <c r="AX1102" i="12"/>
  <c r="BI1101" i="12"/>
  <c r="BG1101" i="12"/>
  <c r="BF1101" i="12"/>
  <c r="BE1101" i="12"/>
  <c r="BD1101" i="12"/>
  <c r="BC1101" i="12"/>
  <c r="BB1101" i="12"/>
  <c r="BA1101" i="12"/>
  <c r="AZ1101" i="12"/>
  <c r="AY1101" i="12"/>
  <c r="AX1101" i="12"/>
  <c r="BI1100" i="12"/>
  <c r="BG1100" i="12"/>
  <c r="BF1100" i="12"/>
  <c r="BE1100" i="12"/>
  <c r="BD1100" i="12"/>
  <c r="BC1100" i="12"/>
  <c r="BB1100" i="12"/>
  <c r="BA1100" i="12"/>
  <c r="AZ1100" i="12"/>
  <c r="AY1100" i="12"/>
  <c r="AX1100" i="12"/>
  <c r="BI1099" i="12"/>
  <c r="BG1099" i="12"/>
  <c r="BF1099" i="12"/>
  <c r="BE1099" i="12"/>
  <c r="BD1099" i="12"/>
  <c r="BC1099" i="12"/>
  <c r="BB1099" i="12"/>
  <c r="BA1099" i="12"/>
  <c r="AZ1099" i="12"/>
  <c r="AY1099" i="12"/>
  <c r="AX1099" i="12"/>
  <c r="BI1098" i="12"/>
  <c r="BG1098" i="12"/>
  <c r="BF1098" i="12"/>
  <c r="BE1098" i="12"/>
  <c r="BD1098" i="12"/>
  <c r="BC1098" i="12"/>
  <c r="BB1098" i="12"/>
  <c r="BA1098" i="12"/>
  <c r="AZ1098" i="12"/>
  <c r="AY1098" i="12"/>
  <c r="AX1098" i="12"/>
  <c r="BI1097" i="12"/>
  <c r="BG1097" i="12"/>
  <c r="BF1097" i="12"/>
  <c r="BE1097" i="12"/>
  <c r="BD1097" i="12"/>
  <c r="BC1097" i="12"/>
  <c r="BB1097" i="12"/>
  <c r="BA1097" i="12"/>
  <c r="AZ1097" i="12"/>
  <c r="AY1097" i="12"/>
  <c r="AX1097" i="12"/>
  <c r="BI1096" i="12"/>
  <c r="BG1096" i="12"/>
  <c r="BF1096" i="12"/>
  <c r="BE1096" i="12"/>
  <c r="BD1096" i="12"/>
  <c r="BC1096" i="12"/>
  <c r="BB1096" i="12"/>
  <c r="BA1096" i="12"/>
  <c r="AZ1096" i="12"/>
  <c r="AY1096" i="12"/>
  <c r="AX1096" i="12"/>
  <c r="BI1095" i="12"/>
  <c r="BG1095" i="12"/>
  <c r="BF1095" i="12"/>
  <c r="BE1095" i="12"/>
  <c r="BD1095" i="12"/>
  <c r="BC1095" i="12"/>
  <c r="BB1095" i="12"/>
  <c r="BA1095" i="12"/>
  <c r="AZ1095" i="12"/>
  <c r="AY1095" i="12"/>
  <c r="AX1095" i="12"/>
  <c r="BI1094" i="12"/>
  <c r="BG1094" i="12"/>
  <c r="BF1094" i="12"/>
  <c r="BE1094" i="12"/>
  <c r="BD1094" i="12"/>
  <c r="BC1094" i="12"/>
  <c r="BB1094" i="12"/>
  <c r="BA1094" i="12"/>
  <c r="AZ1094" i="12"/>
  <c r="AY1094" i="12"/>
  <c r="AX1094" i="12"/>
  <c r="BI1093" i="12"/>
  <c r="BG1093" i="12"/>
  <c r="BF1093" i="12"/>
  <c r="BE1093" i="12"/>
  <c r="BD1093" i="12"/>
  <c r="BC1093" i="12"/>
  <c r="BB1093" i="12"/>
  <c r="BA1093" i="12"/>
  <c r="AZ1093" i="12"/>
  <c r="AY1093" i="12"/>
  <c r="AX1093" i="12"/>
  <c r="BI1092" i="12"/>
  <c r="BG1092" i="12"/>
  <c r="BF1092" i="12"/>
  <c r="BE1092" i="12"/>
  <c r="BD1092" i="12"/>
  <c r="BC1092" i="12"/>
  <c r="BB1092" i="12"/>
  <c r="BA1092" i="12"/>
  <c r="AZ1092" i="12"/>
  <c r="AY1092" i="12"/>
  <c r="AX1092" i="12"/>
  <c r="BI1091" i="12"/>
  <c r="BG1091" i="12"/>
  <c r="BF1091" i="12"/>
  <c r="BE1091" i="12"/>
  <c r="BD1091" i="12"/>
  <c r="BC1091" i="12"/>
  <c r="BB1091" i="12"/>
  <c r="BA1091" i="12"/>
  <c r="AZ1091" i="12"/>
  <c r="AY1091" i="12"/>
  <c r="AX1091" i="12"/>
  <c r="BI1090" i="12"/>
  <c r="BG1090" i="12"/>
  <c r="BF1090" i="12"/>
  <c r="BE1090" i="12"/>
  <c r="BD1090" i="12"/>
  <c r="BC1090" i="12"/>
  <c r="BB1090" i="12"/>
  <c r="BA1090" i="12"/>
  <c r="AZ1090" i="12"/>
  <c r="AY1090" i="12"/>
  <c r="AX1090" i="12"/>
  <c r="BI1089" i="12"/>
  <c r="BG1089" i="12"/>
  <c r="BF1089" i="12"/>
  <c r="BE1089" i="12"/>
  <c r="BD1089" i="12"/>
  <c r="BC1089" i="12"/>
  <c r="BB1089" i="12"/>
  <c r="BA1089" i="12"/>
  <c r="AZ1089" i="12"/>
  <c r="AY1089" i="12"/>
  <c r="AX1089" i="12"/>
  <c r="BI1088" i="12"/>
  <c r="BG1088" i="12"/>
  <c r="BF1088" i="12"/>
  <c r="BE1088" i="12"/>
  <c r="BD1088" i="12"/>
  <c r="BC1088" i="12"/>
  <c r="BB1088" i="12"/>
  <c r="BA1088" i="12"/>
  <c r="AZ1088" i="12"/>
  <c r="AY1088" i="12"/>
  <c r="AX1088" i="12"/>
  <c r="BI1087" i="12"/>
  <c r="BG1087" i="12"/>
  <c r="BF1087" i="12"/>
  <c r="BE1087" i="12"/>
  <c r="BD1087" i="12"/>
  <c r="BC1087" i="12"/>
  <c r="BB1087" i="12"/>
  <c r="BA1087" i="12"/>
  <c r="AZ1087" i="12"/>
  <c r="AY1087" i="12"/>
  <c r="AX1087" i="12"/>
  <c r="BI1086" i="12"/>
  <c r="BG1086" i="12"/>
  <c r="BF1086" i="12"/>
  <c r="BE1086" i="12"/>
  <c r="BD1086" i="12"/>
  <c r="BC1086" i="12"/>
  <c r="BB1086" i="12"/>
  <c r="BA1086" i="12"/>
  <c r="AZ1086" i="12"/>
  <c r="AY1086" i="12"/>
  <c r="AX1086" i="12"/>
  <c r="BI1085" i="12"/>
  <c r="BG1085" i="12"/>
  <c r="BF1085" i="12"/>
  <c r="BE1085" i="12"/>
  <c r="BD1085" i="12"/>
  <c r="BC1085" i="12"/>
  <c r="BB1085" i="12"/>
  <c r="BA1085" i="12"/>
  <c r="AZ1085" i="12"/>
  <c r="AY1085" i="12"/>
  <c r="AX1085" i="12"/>
  <c r="BI1084" i="12"/>
  <c r="BG1084" i="12"/>
  <c r="BF1084" i="12"/>
  <c r="BE1084" i="12"/>
  <c r="BD1084" i="12"/>
  <c r="BC1084" i="12"/>
  <c r="BB1084" i="12"/>
  <c r="BA1084" i="12"/>
  <c r="AZ1084" i="12"/>
  <c r="AY1084" i="12"/>
  <c r="AX1084" i="12"/>
  <c r="BI1083" i="12"/>
  <c r="BG1083" i="12"/>
  <c r="BF1083" i="12"/>
  <c r="BE1083" i="12"/>
  <c r="BD1083" i="12"/>
  <c r="BC1083" i="12"/>
  <c r="BB1083" i="12"/>
  <c r="BA1083" i="12"/>
  <c r="AZ1083" i="12"/>
  <c r="AY1083" i="12"/>
  <c r="AX1083" i="12"/>
  <c r="BI1082" i="12"/>
  <c r="BG1082" i="12"/>
  <c r="BF1082" i="12"/>
  <c r="BE1082" i="12"/>
  <c r="BD1082" i="12"/>
  <c r="BC1082" i="12"/>
  <c r="BB1082" i="12"/>
  <c r="BA1082" i="12"/>
  <c r="AZ1082" i="12"/>
  <c r="AY1082" i="12"/>
  <c r="AX1082" i="12"/>
  <c r="BI1081" i="12"/>
  <c r="BG1081" i="12"/>
  <c r="BF1081" i="12"/>
  <c r="BE1081" i="12"/>
  <c r="BD1081" i="12"/>
  <c r="BC1081" i="12"/>
  <c r="BB1081" i="12"/>
  <c r="BA1081" i="12"/>
  <c r="AZ1081" i="12"/>
  <c r="AY1081" i="12"/>
  <c r="AX1081" i="12"/>
  <c r="BI1080" i="12"/>
  <c r="BG1080" i="12"/>
  <c r="BF1080" i="12"/>
  <c r="BE1080" i="12"/>
  <c r="BD1080" i="12"/>
  <c r="BC1080" i="12"/>
  <c r="BB1080" i="12"/>
  <c r="BA1080" i="12"/>
  <c r="AZ1080" i="12"/>
  <c r="AY1080" i="12"/>
  <c r="AX1080" i="12"/>
  <c r="BI1079" i="12"/>
  <c r="BG1079" i="12"/>
  <c r="BF1079" i="12"/>
  <c r="BE1079" i="12"/>
  <c r="BD1079" i="12"/>
  <c r="BC1079" i="12"/>
  <c r="BB1079" i="12"/>
  <c r="BA1079" i="12"/>
  <c r="AZ1079" i="12"/>
  <c r="AY1079" i="12"/>
  <c r="AX1079" i="12"/>
  <c r="BI1078" i="12"/>
  <c r="BG1078" i="12"/>
  <c r="BF1078" i="12"/>
  <c r="BE1078" i="12"/>
  <c r="BD1078" i="12"/>
  <c r="BC1078" i="12"/>
  <c r="BB1078" i="12"/>
  <c r="BA1078" i="12"/>
  <c r="AZ1078" i="12"/>
  <c r="AY1078" i="12"/>
  <c r="AX1078" i="12"/>
  <c r="BI1077" i="12"/>
  <c r="BG1077" i="12"/>
  <c r="BF1077" i="12"/>
  <c r="BE1077" i="12"/>
  <c r="BD1077" i="12"/>
  <c r="BC1077" i="12"/>
  <c r="BB1077" i="12"/>
  <c r="BA1077" i="12"/>
  <c r="AZ1077" i="12"/>
  <c r="AY1077" i="12"/>
  <c r="AX1077" i="12"/>
  <c r="BI1076" i="12"/>
  <c r="BG1076" i="12"/>
  <c r="BF1076" i="12"/>
  <c r="BE1076" i="12"/>
  <c r="BD1076" i="12"/>
  <c r="BC1076" i="12"/>
  <c r="BB1076" i="12"/>
  <c r="BA1076" i="12"/>
  <c r="AZ1076" i="12"/>
  <c r="AY1076" i="12"/>
  <c r="AX1076" i="12"/>
  <c r="BI1075" i="12"/>
  <c r="BG1075" i="12"/>
  <c r="BF1075" i="12"/>
  <c r="BE1075" i="12"/>
  <c r="BD1075" i="12"/>
  <c r="BC1075" i="12"/>
  <c r="BB1075" i="12"/>
  <c r="BA1075" i="12"/>
  <c r="AZ1075" i="12"/>
  <c r="AY1075" i="12"/>
  <c r="AX1075" i="12"/>
  <c r="BI1074" i="12"/>
  <c r="BG1074" i="12"/>
  <c r="BF1074" i="12"/>
  <c r="BE1074" i="12"/>
  <c r="BD1074" i="12"/>
  <c r="BC1074" i="12"/>
  <c r="BB1074" i="12"/>
  <c r="BA1074" i="12"/>
  <c r="AZ1074" i="12"/>
  <c r="AY1074" i="12"/>
  <c r="AX1074" i="12"/>
  <c r="BI1073" i="12"/>
  <c r="BG1073" i="12"/>
  <c r="BF1073" i="12"/>
  <c r="BE1073" i="12"/>
  <c r="BD1073" i="12"/>
  <c r="BC1073" i="12"/>
  <c r="BB1073" i="12"/>
  <c r="BA1073" i="12"/>
  <c r="AZ1073" i="12"/>
  <c r="AY1073" i="12"/>
  <c r="AX1073" i="12"/>
  <c r="BI1072" i="12"/>
  <c r="BG1072" i="12"/>
  <c r="BF1072" i="12"/>
  <c r="BE1072" i="12"/>
  <c r="BD1072" i="12"/>
  <c r="BC1072" i="12"/>
  <c r="BB1072" i="12"/>
  <c r="BA1072" i="12"/>
  <c r="AZ1072" i="12"/>
  <c r="AY1072" i="12"/>
  <c r="AX1072" i="12"/>
  <c r="BI1071" i="12"/>
  <c r="BG1071" i="12"/>
  <c r="BF1071" i="12"/>
  <c r="BE1071" i="12"/>
  <c r="BD1071" i="12"/>
  <c r="BC1071" i="12"/>
  <c r="BB1071" i="12"/>
  <c r="BA1071" i="12"/>
  <c r="AZ1071" i="12"/>
  <c r="AY1071" i="12"/>
  <c r="AX1071" i="12"/>
  <c r="BI1070" i="12"/>
  <c r="BG1070" i="12"/>
  <c r="BF1070" i="12"/>
  <c r="BE1070" i="12"/>
  <c r="BD1070" i="12"/>
  <c r="BC1070" i="12"/>
  <c r="BB1070" i="12"/>
  <c r="BA1070" i="12"/>
  <c r="AZ1070" i="12"/>
  <c r="AY1070" i="12"/>
  <c r="AX1070" i="12"/>
  <c r="BI1069" i="12"/>
  <c r="BG1069" i="12"/>
  <c r="BF1069" i="12"/>
  <c r="BE1069" i="12"/>
  <c r="BD1069" i="12"/>
  <c r="BC1069" i="12"/>
  <c r="BB1069" i="12"/>
  <c r="BA1069" i="12"/>
  <c r="AZ1069" i="12"/>
  <c r="AY1069" i="12"/>
  <c r="AX1069" i="12"/>
  <c r="BI1068" i="12"/>
  <c r="BG1068" i="12"/>
  <c r="BF1068" i="12"/>
  <c r="BE1068" i="12"/>
  <c r="BD1068" i="12"/>
  <c r="BC1068" i="12"/>
  <c r="BB1068" i="12"/>
  <c r="BA1068" i="12"/>
  <c r="AZ1068" i="12"/>
  <c r="AY1068" i="12"/>
  <c r="AX1068" i="12"/>
  <c r="BI1067" i="12"/>
  <c r="BG1067" i="12"/>
  <c r="BF1067" i="12"/>
  <c r="BE1067" i="12"/>
  <c r="BD1067" i="12"/>
  <c r="BC1067" i="12"/>
  <c r="BB1067" i="12"/>
  <c r="BA1067" i="12"/>
  <c r="AZ1067" i="12"/>
  <c r="AY1067" i="12"/>
  <c r="AX1067" i="12"/>
  <c r="BI1066" i="12"/>
  <c r="BG1066" i="12"/>
  <c r="BF1066" i="12"/>
  <c r="BE1066" i="12"/>
  <c r="BD1066" i="12"/>
  <c r="BC1066" i="12"/>
  <c r="BB1066" i="12"/>
  <c r="BA1066" i="12"/>
  <c r="AZ1066" i="12"/>
  <c r="AY1066" i="12"/>
  <c r="AX1066" i="12"/>
  <c r="BI1065" i="12"/>
  <c r="BG1065" i="12"/>
  <c r="BF1065" i="12"/>
  <c r="BE1065" i="12"/>
  <c r="BD1065" i="12"/>
  <c r="BC1065" i="12"/>
  <c r="BB1065" i="12"/>
  <c r="BA1065" i="12"/>
  <c r="AZ1065" i="12"/>
  <c r="AY1065" i="12"/>
  <c r="AX1065" i="12"/>
  <c r="BI1064" i="12"/>
  <c r="BG1064" i="12"/>
  <c r="BF1064" i="12"/>
  <c r="BE1064" i="12"/>
  <c r="BD1064" i="12"/>
  <c r="BC1064" i="12"/>
  <c r="BB1064" i="12"/>
  <c r="BA1064" i="12"/>
  <c r="AZ1064" i="12"/>
  <c r="AY1064" i="12"/>
  <c r="AX1064" i="12"/>
  <c r="BI1063" i="12"/>
  <c r="BG1063" i="12"/>
  <c r="BF1063" i="12"/>
  <c r="BE1063" i="12"/>
  <c r="BD1063" i="12"/>
  <c r="BC1063" i="12"/>
  <c r="BB1063" i="12"/>
  <c r="BA1063" i="12"/>
  <c r="AZ1063" i="12"/>
  <c r="AY1063" i="12"/>
  <c r="AX1063" i="12"/>
  <c r="BI1062" i="12"/>
  <c r="BG1062" i="12"/>
  <c r="BF1062" i="12"/>
  <c r="BE1062" i="12"/>
  <c r="BD1062" i="12"/>
  <c r="BC1062" i="12"/>
  <c r="BB1062" i="12"/>
  <c r="BA1062" i="12"/>
  <c r="AZ1062" i="12"/>
  <c r="AY1062" i="12"/>
  <c r="AX1062" i="12"/>
  <c r="BI1061" i="12"/>
  <c r="BG1061" i="12"/>
  <c r="BF1061" i="12"/>
  <c r="BE1061" i="12"/>
  <c r="BD1061" i="12"/>
  <c r="BC1061" i="12"/>
  <c r="BB1061" i="12"/>
  <c r="BA1061" i="12"/>
  <c r="AZ1061" i="12"/>
  <c r="AY1061" i="12"/>
  <c r="AX1061" i="12"/>
  <c r="BI1060" i="12"/>
  <c r="BG1060" i="12"/>
  <c r="BF1060" i="12"/>
  <c r="BE1060" i="12"/>
  <c r="BD1060" i="12"/>
  <c r="BC1060" i="12"/>
  <c r="BB1060" i="12"/>
  <c r="BA1060" i="12"/>
  <c r="AZ1060" i="12"/>
  <c r="AY1060" i="12"/>
  <c r="AX1060" i="12"/>
  <c r="BI1059" i="12"/>
  <c r="BG1059" i="12"/>
  <c r="BF1059" i="12"/>
  <c r="BE1059" i="12"/>
  <c r="BD1059" i="12"/>
  <c r="BC1059" i="12"/>
  <c r="BB1059" i="12"/>
  <c r="BA1059" i="12"/>
  <c r="AZ1059" i="12"/>
  <c r="AY1059" i="12"/>
  <c r="AX1059" i="12"/>
  <c r="BI1058" i="12"/>
  <c r="BG1058" i="12"/>
  <c r="BF1058" i="12"/>
  <c r="BE1058" i="12"/>
  <c r="BD1058" i="12"/>
  <c r="BC1058" i="12"/>
  <c r="BB1058" i="12"/>
  <c r="BA1058" i="12"/>
  <c r="AZ1058" i="12"/>
  <c r="AY1058" i="12"/>
  <c r="AX1058" i="12"/>
  <c r="BI1057" i="12"/>
  <c r="BG1057" i="12"/>
  <c r="BF1057" i="12"/>
  <c r="BE1057" i="12"/>
  <c r="BD1057" i="12"/>
  <c r="BC1057" i="12"/>
  <c r="BB1057" i="12"/>
  <c r="BA1057" i="12"/>
  <c r="AZ1057" i="12"/>
  <c r="AY1057" i="12"/>
  <c r="AX1057" i="12"/>
  <c r="BI1056" i="12"/>
  <c r="BG1056" i="12"/>
  <c r="BF1056" i="12"/>
  <c r="BE1056" i="12"/>
  <c r="BD1056" i="12"/>
  <c r="BC1056" i="12"/>
  <c r="BB1056" i="12"/>
  <c r="BA1056" i="12"/>
  <c r="AZ1056" i="12"/>
  <c r="AY1056" i="12"/>
  <c r="AX1056" i="12"/>
  <c r="BI1055" i="12"/>
  <c r="BG1055" i="12"/>
  <c r="BF1055" i="12"/>
  <c r="BE1055" i="12"/>
  <c r="BD1055" i="12"/>
  <c r="BC1055" i="12"/>
  <c r="BB1055" i="12"/>
  <c r="BA1055" i="12"/>
  <c r="AZ1055" i="12"/>
  <c r="AY1055" i="12"/>
  <c r="AX1055" i="12"/>
  <c r="BI1054" i="12"/>
  <c r="BG1054" i="12"/>
  <c r="BF1054" i="12"/>
  <c r="BE1054" i="12"/>
  <c r="BD1054" i="12"/>
  <c r="BC1054" i="12"/>
  <c r="BB1054" i="12"/>
  <c r="BA1054" i="12"/>
  <c r="AZ1054" i="12"/>
  <c r="AY1054" i="12"/>
  <c r="AX1054" i="12"/>
  <c r="BI1053" i="12"/>
  <c r="BG1053" i="12"/>
  <c r="BF1053" i="12"/>
  <c r="BE1053" i="12"/>
  <c r="BD1053" i="12"/>
  <c r="BC1053" i="12"/>
  <c r="BB1053" i="12"/>
  <c r="BA1053" i="12"/>
  <c r="AZ1053" i="12"/>
  <c r="AY1053" i="12"/>
  <c r="AX1053" i="12"/>
  <c r="BI1052" i="12"/>
  <c r="BG1052" i="12"/>
  <c r="BF1052" i="12"/>
  <c r="BE1052" i="12"/>
  <c r="BD1052" i="12"/>
  <c r="BC1052" i="12"/>
  <c r="BB1052" i="12"/>
  <c r="BA1052" i="12"/>
  <c r="AZ1052" i="12"/>
  <c r="AY1052" i="12"/>
  <c r="AX1052" i="12"/>
  <c r="BI1051" i="12"/>
  <c r="BG1051" i="12"/>
  <c r="BF1051" i="12"/>
  <c r="BE1051" i="12"/>
  <c r="BD1051" i="12"/>
  <c r="BC1051" i="12"/>
  <c r="BB1051" i="12"/>
  <c r="BA1051" i="12"/>
  <c r="AZ1051" i="12"/>
  <c r="AY1051" i="12"/>
  <c r="AX1051" i="12"/>
  <c r="BI1050" i="12"/>
  <c r="BG1050" i="12"/>
  <c r="BF1050" i="12"/>
  <c r="BE1050" i="12"/>
  <c r="BD1050" i="12"/>
  <c r="BC1050" i="12"/>
  <c r="BB1050" i="12"/>
  <c r="BA1050" i="12"/>
  <c r="AZ1050" i="12"/>
  <c r="AY1050" i="12"/>
  <c r="AX1050" i="12"/>
  <c r="BI1049" i="12"/>
  <c r="BG1049" i="12"/>
  <c r="BF1049" i="12"/>
  <c r="BE1049" i="12"/>
  <c r="BD1049" i="12"/>
  <c r="BC1049" i="12"/>
  <c r="BB1049" i="12"/>
  <c r="BA1049" i="12"/>
  <c r="AZ1049" i="12"/>
  <c r="AY1049" i="12"/>
  <c r="AX1049" i="12"/>
  <c r="BI1048" i="12"/>
  <c r="BG1048" i="12"/>
  <c r="BF1048" i="12"/>
  <c r="BE1048" i="12"/>
  <c r="BD1048" i="12"/>
  <c r="BC1048" i="12"/>
  <c r="BB1048" i="12"/>
  <c r="BA1048" i="12"/>
  <c r="AZ1048" i="12"/>
  <c r="AY1048" i="12"/>
  <c r="AX1048" i="12"/>
  <c r="BI1047" i="12"/>
  <c r="BG1047" i="12"/>
  <c r="BF1047" i="12"/>
  <c r="BE1047" i="12"/>
  <c r="BD1047" i="12"/>
  <c r="BC1047" i="12"/>
  <c r="BB1047" i="12"/>
  <c r="BA1047" i="12"/>
  <c r="AZ1047" i="12"/>
  <c r="AY1047" i="12"/>
  <c r="AX1047" i="12"/>
  <c r="BI1046" i="12"/>
  <c r="BG1046" i="12"/>
  <c r="BF1046" i="12"/>
  <c r="BE1046" i="12"/>
  <c r="BD1046" i="12"/>
  <c r="BC1046" i="12"/>
  <c r="BB1046" i="12"/>
  <c r="BA1046" i="12"/>
  <c r="AZ1046" i="12"/>
  <c r="AY1046" i="12"/>
  <c r="AX1046" i="12"/>
  <c r="BI1045" i="12"/>
  <c r="BG1045" i="12"/>
  <c r="BF1045" i="12"/>
  <c r="BE1045" i="12"/>
  <c r="BD1045" i="12"/>
  <c r="BC1045" i="12"/>
  <c r="BB1045" i="12"/>
  <c r="BA1045" i="12"/>
  <c r="AZ1045" i="12"/>
  <c r="AY1045" i="12"/>
  <c r="AX1045" i="12"/>
  <c r="BI1044" i="12"/>
  <c r="BG1044" i="12"/>
  <c r="BF1044" i="12"/>
  <c r="BE1044" i="12"/>
  <c r="BD1044" i="12"/>
  <c r="BC1044" i="12"/>
  <c r="BB1044" i="12"/>
  <c r="BA1044" i="12"/>
  <c r="AZ1044" i="12"/>
  <c r="AY1044" i="12"/>
  <c r="AX1044" i="12"/>
  <c r="BI1043" i="12"/>
  <c r="BG1043" i="12"/>
  <c r="BF1043" i="12"/>
  <c r="BE1043" i="12"/>
  <c r="BD1043" i="12"/>
  <c r="BC1043" i="12"/>
  <c r="BB1043" i="12"/>
  <c r="BA1043" i="12"/>
  <c r="AZ1043" i="12"/>
  <c r="AY1043" i="12"/>
  <c r="AX1043" i="12"/>
  <c r="BI1042" i="12"/>
  <c r="BG1042" i="12"/>
  <c r="BF1042" i="12"/>
  <c r="BE1042" i="12"/>
  <c r="BD1042" i="12"/>
  <c r="BC1042" i="12"/>
  <c r="BB1042" i="12"/>
  <c r="BA1042" i="12"/>
  <c r="AZ1042" i="12"/>
  <c r="AY1042" i="12"/>
  <c r="AX1042" i="12"/>
  <c r="BI1041" i="12"/>
  <c r="BG1041" i="12"/>
  <c r="BF1041" i="12"/>
  <c r="BE1041" i="12"/>
  <c r="BD1041" i="12"/>
  <c r="BC1041" i="12"/>
  <c r="BB1041" i="12"/>
  <c r="BA1041" i="12"/>
  <c r="AZ1041" i="12"/>
  <c r="AY1041" i="12"/>
  <c r="AX1041" i="12"/>
  <c r="BI1040" i="12"/>
  <c r="BG1040" i="12"/>
  <c r="BF1040" i="12"/>
  <c r="BE1040" i="12"/>
  <c r="BD1040" i="12"/>
  <c r="BC1040" i="12"/>
  <c r="BB1040" i="12"/>
  <c r="BA1040" i="12"/>
  <c r="AZ1040" i="12"/>
  <c r="AY1040" i="12"/>
  <c r="AX1040" i="12"/>
  <c r="BI1039" i="12"/>
  <c r="BG1039" i="12"/>
  <c r="BF1039" i="12"/>
  <c r="BE1039" i="12"/>
  <c r="BD1039" i="12"/>
  <c r="BC1039" i="12"/>
  <c r="BB1039" i="12"/>
  <c r="BA1039" i="12"/>
  <c r="AZ1039" i="12"/>
  <c r="AY1039" i="12"/>
  <c r="AX1039" i="12"/>
  <c r="BI1038" i="12"/>
  <c r="BG1038" i="12"/>
  <c r="BF1038" i="12"/>
  <c r="BE1038" i="12"/>
  <c r="BD1038" i="12"/>
  <c r="BC1038" i="12"/>
  <c r="BB1038" i="12"/>
  <c r="BA1038" i="12"/>
  <c r="AZ1038" i="12"/>
  <c r="AY1038" i="12"/>
  <c r="AX1038" i="12"/>
  <c r="BI1037" i="12"/>
  <c r="BG1037" i="12"/>
  <c r="BF1037" i="12"/>
  <c r="BE1037" i="12"/>
  <c r="BD1037" i="12"/>
  <c r="BC1037" i="12"/>
  <c r="BB1037" i="12"/>
  <c r="BA1037" i="12"/>
  <c r="AZ1037" i="12"/>
  <c r="AY1037" i="12"/>
  <c r="AX1037" i="12"/>
  <c r="BI1036" i="12"/>
  <c r="BG1036" i="12"/>
  <c r="BF1036" i="12"/>
  <c r="BE1036" i="12"/>
  <c r="BD1036" i="12"/>
  <c r="BC1036" i="12"/>
  <c r="BB1036" i="12"/>
  <c r="BA1036" i="12"/>
  <c r="AZ1036" i="12"/>
  <c r="AY1036" i="12"/>
  <c r="AX1036" i="12"/>
  <c r="BI1035" i="12"/>
  <c r="BG1035" i="12"/>
  <c r="BF1035" i="12"/>
  <c r="BE1035" i="12"/>
  <c r="BD1035" i="12"/>
  <c r="BC1035" i="12"/>
  <c r="BB1035" i="12"/>
  <c r="BA1035" i="12"/>
  <c r="AZ1035" i="12"/>
  <c r="AY1035" i="12"/>
  <c r="AX1035" i="12"/>
  <c r="BI1034" i="12"/>
  <c r="BG1034" i="12"/>
  <c r="BF1034" i="12"/>
  <c r="BE1034" i="12"/>
  <c r="BD1034" i="12"/>
  <c r="BC1034" i="12"/>
  <c r="BB1034" i="12"/>
  <c r="BA1034" i="12"/>
  <c r="AZ1034" i="12"/>
  <c r="AY1034" i="12"/>
  <c r="AX1034" i="12"/>
  <c r="BI1033" i="12"/>
  <c r="BG1033" i="12"/>
  <c r="BF1033" i="12"/>
  <c r="BE1033" i="12"/>
  <c r="BD1033" i="12"/>
  <c r="BC1033" i="12"/>
  <c r="BB1033" i="12"/>
  <c r="BA1033" i="12"/>
  <c r="AZ1033" i="12"/>
  <c r="AY1033" i="12"/>
  <c r="AX1033" i="12"/>
  <c r="BI1032" i="12"/>
  <c r="BG1032" i="12"/>
  <c r="BF1032" i="12"/>
  <c r="BE1032" i="12"/>
  <c r="BD1032" i="12"/>
  <c r="BC1032" i="12"/>
  <c r="BB1032" i="12"/>
  <c r="BA1032" i="12"/>
  <c r="AZ1032" i="12"/>
  <c r="AY1032" i="12"/>
  <c r="AX1032" i="12"/>
  <c r="BI1031" i="12"/>
  <c r="BG1031" i="12"/>
  <c r="BF1031" i="12"/>
  <c r="BE1031" i="12"/>
  <c r="BD1031" i="12"/>
  <c r="BC1031" i="12"/>
  <c r="BB1031" i="12"/>
  <c r="BA1031" i="12"/>
  <c r="AZ1031" i="12"/>
  <c r="AY1031" i="12"/>
  <c r="AX1031" i="12"/>
  <c r="BI1030" i="12"/>
  <c r="BG1030" i="12"/>
  <c r="BF1030" i="12"/>
  <c r="BE1030" i="12"/>
  <c r="BD1030" i="12"/>
  <c r="BC1030" i="12"/>
  <c r="BB1030" i="12"/>
  <c r="BA1030" i="12"/>
  <c r="AZ1030" i="12"/>
  <c r="AY1030" i="12"/>
  <c r="AX1030" i="12"/>
  <c r="BI1029" i="12"/>
  <c r="BG1029" i="12"/>
  <c r="BF1029" i="12"/>
  <c r="BE1029" i="12"/>
  <c r="BD1029" i="12"/>
  <c r="BC1029" i="12"/>
  <c r="BB1029" i="12"/>
  <c r="BA1029" i="12"/>
  <c r="AZ1029" i="12"/>
  <c r="AY1029" i="12"/>
  <c r="AX1029" i="12"/>
  <c r="BI1028" i="12"/>
  <c r="BG1028" i="12"/>
  <c r="BF1028" i="12"/>
  <c r="BE1028" i="12"/>
  <c r="BD1028" i="12"/>
  <c r="BC1028" i="12"/>
  <c r="BB1028" i="12"/>
  <c r="BA1028" i="12"/>
  <c r="AZ1028" i="12"/>
  <c r="AY1028" i="12"/>
  <c r="AX1028" i="12"/>
  <c r="BI1027" i="12"/>
  <c r="BG1027" i="12"/>
  <c r="BF1027" i="12"/>
  <c r="BE1027" i="12"/>
  <c r="BD1027" i="12"/>
  <c r="BC1027" i="12"/>
  <c r="BB1027" i="12"/>
  <c r="BA1027" i="12"/>
  <c r="AZ1027" i="12"/>
  <c r="AY1027" i="12"/>
  <c r="AX1027" i="12"/>
  <c r="BI1026" i="12"/>
  <c r="BG1026" i="12"/>
  <c r="BF1026" i="12"/>
  <c r="BE1026" i="12"/>
  <c r="BD1026" i="12"/>
  <c r="BC1026" i="12"/>
  <c r="BB1026" i="12"/>
  <c r="BA1026" i="12"/>
  <c r="AZ1026" i="12"/>
  <c r="AY1026" i="12"/>
  <c r="AX1026" i="12"/>
  <c r="BI1025" i="12"/>
  <c r="BG1025" i="12"/>
  <c r="BF1025" i="12"/>
  <c r="BE1025" i="12"/>
  <c r="BD1025" i="12"/>
  <c r="BC1025" i="12"/>
  <c r="BB1025" i="12"/>
  <c r="BA1025" i="12"/>
  <c r="AZ1025" i="12"/>
  <c r="AY1025" i="12"/>
  <c r="AX1025" i="12"/>
  <c r="BI1024" i="12"/>
  <c r="BG1024" i="12"/>
  <c r="BF1024" i="12"/>
  <c r="BE1024" i="12"/>
  <c r="BD1024" i="12"/>
  <c r="BC1024" i="12"/>
  <c r="BB1024" i="12"/>
  <c r="BA1024" i="12"/>
  <c r="AZ1024" i="12"/>
  <c r="AY1024" i="12"/>
  <c r="AX1024" i="12"/>
  <c r="BI1023" i="12"/>
  <c r="BG1023" i="12"/>
  <c r="BF1023" i="12"/>
  <c r="BE1023" i="12"/>
  <c r="BD1023" i="12"/>
  <c r="BC1023" i="12"/>
  <c r="BB1023" i="12"/>
  <c r="BA1023" i="12"/>
  <c r="AZ1023" i="12"/>
  <c r="AY1023" i="12"/>
  <c r="AX1023" i="12"/>
  <c r="BI1022" i="12"/>
  <c r="BG1022" i="12"/>
  <c r="BF1022" i="12"/>
  <c r="BE1022" i="12"/>
  <c r="BD1022" i="12"/>
  <c r="BC1022" i="12"/>
  <c r="BB1022" i="12"/>
  <c r="BA1022" i="12"/>
  <c r="AZ1022" i="12"/>
  <c r="AY1022" i="12"/>
  <c r="AX1022" i="12"/>
  <c r="BI1021" i="12"/>
  <c r="BG1021" i="12"/>
  <c r="BF1021" i="12"/>
  <c r="BE1021" i="12"/>
  <c r="BD1021" i="12"/>
  <c r="BC1021" i="12"/>
  <c r="BB1021" i="12"/>
  <c r="BA1021" i="12"/>
  <c r="AZ1021" i="12"/>
  <c r="AY1021" i="12"/>
  <c r="AX1021" i="12"/>
  <c r="BI1020" i="12"/>
  <c r="BG1020" i="12"/>
  <c r="BF1020" i="12"/>
  <c r="BE1020" i="12"/>
  <c r="BD1020" i="12"/>
  <c r="BC1020" i="12"/>
  <c r="BB1020" i="12"/>
  <c r="BA1020" i="12"/>
  <c r="AZ1020" i="12"/>
  <c r="AY1020" i="12"/>
  <c r="AX1020" i="12"/>
  <c r="BI1019" i="12"/>
  <c r="BG1019" i="12"/>
  <c r="BF1019" i="12"/>
  <c r="BE1019" i="12"/>
  <c r="BD1019" i="12"/>
  <c r="BC1019" i="12"/>
  <c r="BB1019" i="12"/>
  <c r="BA1019" i="12"/>
  <c r="AZ1019" i="12"/>
  <c r="AY1019" i="12"/>
  <c r="AX1019" i="12"/>
  <c r="BI1018" i="12"/>
  <c r="BG1018" i="12"/>
  <c r="BF1018" i="12"/>
  <c r="BE1018" i="12"/>
  <c r="BD1018" i="12"/>
  <c r="BC1018" i="12"/>
  <c r="BB1018" i="12"/>
  <c r="BA1018" i="12"/>
  <c r="AZ1018" i="12"/>
  <c r="AY1018" i="12"/>
  <c r="AX1018" i="12"/>
  <c r="BI1017" i="12"/>
  <c r="BG1017" i="12"/>
  <c r="BF1017" i="12"/>
  <c r="BE1017" i="12"/>
  <c r="BD1017" i="12"/>
  <c r="BC1017" i="12"/>
  <c r="BB1017" i="12"/>
  <c r="BA1017" i="12"/>
  <c r="AZ1017" i="12"/>
  <c r="AY1017" i="12"/>
  <c r="AX1017" i="12"/>
  <c r="BI1016" i="12"/>
  <c r="BG1016" i="12"/>
  <c r="BF1016" i="12"/>
  <c r="BE1016" i="12"/>
  <c r="BD1016" i="12"/>
  <c r="BC1016" i="12"/>
  <c r="BB1016" i="12"/>
  <c r="BA1016" i="12"/>
  <c r="AZ1016" i="12"/>
  <c r="AY1016" i="12"/>
  <c r="AX1016" i="12"/>
  <c r="BI1015" i="12"/>
  <c r="BG1015" i="12"/>
  <c r="BF1015" i="12"/>
  <c r="BE1015" i="12"/>
  <c r="BD1015" i="12"/>
  <c r="BC1015" i="12"/>
  <c r="BB1015" i="12"/>
  <c r="BA1015" i="12"/>
  <c r="AZ1015" i="12"/>
  <c r="AY1015" i="12"/>
  <c r="AX1015" i="12"/>
  <c r="BI1014" i="12"/>
  <c r="BG1014" i="12"/>
  <c r="BF1014" i="12"/>
  <c r="BE1014" i="12"/>
  <c r="BD1014" i="12"/>
  <c r="BC1014" i="12"/>
  <c r="BB1014" i="12"/>
  <c r="BA1014" i="12"/>
  <c r="AZ1014" i="12"/>
  <c r="AY1014" i="12"/>
  <c r="AX1014" i="12"/>
  <c r="BI1013" i="12"/>
  <c r="BG1013" i="12"/>
  <c r="BF1013" i="12"/>
  <c r="BE1013" i="12"/>
  <c r="BD1013" i="12"/>
  <c r="BC1013" i="12"/>
  <c r="BB1013" i="12"/>
  <c r="BA1013" i="12"/>
  <c r="AZ1013" i="12"/>
  <c r="AY1013" i="12"/>
  <c r="AX1013" i="12"/>
  <c r="BI1012" i="12"/>
  <c r="BG1012" i="12"/>
  <c r="BF1012" i="12"/>
  <c r="BE1012" i="12"/>
  <c r="BD1012" i="12"/>
  <c r="BC1012" i="12"/>
  <c r="BB1012" i="12"/>
  <c r="BA1012" i="12"/>
  <c r="AZ1012" i="12"/>
  <c r="AY1012" i="12"/>
  <c r="AX1012" i="12"/>
  <c r="BI1011" i="12"/>
  <c r="BG1011" i="12"/>
  <c r="BF1011" i="12"/>
  <c r="BE1011" i="12"/>
  <c r="BD1011" i="12"/>
  <c r="BC1011" i="12"/>
  <c r="BB1011" i="12"/>
  <c r="BA1011" i="12"/>
  <c r="AZ1011" i="12"/>
  <c r="AY1011" i="12"/>
  <c r="AX1011" i="12"/>
  <c r="BI1010" i="12"/>
  <c r="BG1010" i="12"/>
  <c r="BF1010" i="12"/>
  <c r="BE1010" i="12"/>
  <c r="BD1010" i="12"/>
  <c r="BC1010" i="12"/>
  <c r="BB1010" i="12"/>
  <c r="BA1010" i="12"/>
  <c r="AZ1010" i="12"/>
  <c r="AY1010" i="12"/>
  <c r="AX1010" i="12"/>
  <c r="BI1009" i="12"/>
  <c r="BG1009" i="12"/>
  <c r="BF1009" i="12"/>
  <c r="BE1009" i="12"/>
  <c r="BD1009" i="12"/>
  <c r="BC1009" i="12"/>
  <c r="BB1009" i="12"/>
  <c r="BA1009" i="12"/>
  <c r="AZ1009" i="12"/>
  <c r="AY1009" i="12"/>
  <c r="AX1009" i="12"/>
  <c r="BI1008" i="12"/>
  <c r="BG1008" i="12"/>
  <c r="BF1008" i="12"/>
  <c r="BE1008" i="12"/>
  <c r="BD1008" i="12"/>
  <c r="BC1008" i="12"/>
  <c r="BB1008" i="12"/>
  <c r="BA1008" i="12"/>
  <c r="AZ1008" i="12"/>
  <c r="AY1008" i="12"/>
  <c r="AX1008" i="12"/>
  <c r="BI1007" i="12"/>
  <c r="BG1007" i="12"/>
  <c r="BF1007" i="12"/>
  <c r="BE1007" i="12"/>
  <c r="BD1007" i="12"/>
  <c r="BC1007" i="12"/>
  <c r="BB1007" i="12"/>
  <c r="BA1007" i="12"/>
  <c r="AZ1007" i="12"/>
  <c r="AY1007" i="12"/>
  <c r="AX1007" i="12"/>
  <c r="BI1006" i="12"/>
  <c r="BG1006" i="12"/>
  <c r="BF1006" i="12"/>
  <c r="BE1006" i="12"/>
  <c r="BD1006" i="12"/>
  <c r="BC1006" i="12"/>
  <c r="BB1006" i="12"/>
  <c r="BA1006" i="12"/>
  <c r="AZ1006" i="12"/>
  <c r="AY1006" i="12"/>
  <c r="AX1006" i="12"/>
  <c r="BI1005" i="12"/>
  <c r="BG1005" i="12"/>
  <c r="BF1005" i="12"/>
  <c r="BE1005" i="12"/>
  <c r="BD1005" i="12"/>
  <c r="BC1005" i="12"/>
  <c r="BB1005" i="12"/>
  <c r="BA1005" i="12"/>
  <c r="AZ1005" i="12"/>
  <c r="AY1005" i="12"/>
  <c r="AX1005" i="12"/>
  <c r="BI1004" i="12"/>
  <c r="BG1004" i="12"/>
  <c r="BF1004" i="12"/>
  <c r="BE1004" i="12"/>
  <c r="BD1004" i="12"/>
  <c r="BC1004" i="12"/>
  <c r="BB1004" i="12"/>
  <c r="BA1004" i="12"/>
  <c r="AZ1004" i="12"/>
  <c r="AY1004" i="12"/>
  <c r="AX1004" i="12"/>
  <c r="BI1003" i="12"/>
  <c r="BG1003" i="12"/>
  <c r="BF1003" i="12"/>
  <c r="BE1003" i="12"/>
  <c r="BD1003" i="12"/>
  <c r="BC1003" i="12"/>
  <c r="BB1003" i="12"/>
  <c r="BA1003" i="12"/>
  <c r="AZ1003" i="12"/>
  <c r="AY1003" i="12"/>
  <c r="AX1003" i="12"/>
  <c r="BI1002" i="12"/>
  <c r="BG1002" i="12"/>
  <c r="BF1002" i="12"/>
  <c r="BE1002" i="12"/>
  <c r="BD1002" i="12"/>
  <c r="BC1002" i="12"/>
  <c r="BB1002" i="12"/>
  <c r="BA1002" i="12"/>
  <c r="AZ1002" i="12"/>
  <c r="AY1002" i="12"/>
  <c r="AX1002" i="12"/>
  <c r="BI1001" i="12"/>
  <c r="BG1001" i="12"/>
  <c r="BF1001" i="12"/>
  <c r="BE1001" i="12"/>
  <c r="BD1001" i="12"/>
  <c r="BC1001" i="12"/>
  <c r="BB1001" i="12"/>
  <c r="BA1001" i="12"/>
  <c r="AZ1001" i="12"/>
  <c r="AY1001" i="12"/>
  <c r="AX1001" i="12"/>
  <c r="BI1000" i="12"/>
  <c r="BG1000" i="12"/>
  <c r="BF1000" i="12"/>
  <c r="BE1000" i="12"/>
  <c r="BD1000" i="12"/>
  <c r="BC1000" i="12"/>
  <c r="BB1000" i="12"/>
  <c r="BA1000" i="12"/>
  <c r="AZ1000" i="12"/>
  <c r="AY1000" i="12"/>
  <c r="AX1000" i="12"/>
  <c r="BI999" i="12"/>
  <c r="BG999" i="12"/>
  <c r="BF999" i="12"/>
  <c r="BE999" i="12"/>
  <c r="BD999" i="12"/>
  <c r="BC999" i="12"/>
  <c r="BB999" i="12"/>
  <c r="BA999" i="12"/>
  <c r="AZ999" i="12"/>
  <c r="AY999" i="12"/>
  <c r="AX999" i="12"/>
  <c r="BI998" i="12"/>
  <c r="BG998" i="12"/>
  <c r="BF998" i="12"/>
  <c r="BE998" i="12"/>
  <c r="BD998" i="12"/>
  <c r="BC998" i="12"/>
  <c r="BB998" i="12"/>
  <c r="BA998" i="12"/>
  <c r="AZ998" i="12"/>
  <c r="AY998" i="12"/>
  <c r="AX998" i="12"/>
  <c r="BI997" i="12"/>
  <c r="BG997" i="12"/>
  <c r="BF997" i="12"/>
  <c r="BE997" i="12"/>
  <c r="BD997" i="12"/>
  <c r="BC997" i="12"/>
  <c r="BB997" i="12"/>
  <c r="BA997" i="12"/>
  <c r="AZ997" i="12"/>
  <c r="AY997" i="12"/>
  <c r="AX997" i="12"/>
  <c r="BI996" i="12"/>
  <c r="BG996" i="12"/>
  <c r="BF996" i="12"/>
  <c r="BE996" i="12"/>
  <c r="BD996" i="12"/>
  <c r="BC996" i="12"/>
  <c r="BB996" i="12"/>
  <c r="BA996" i="12"/>
  <c r="AZ996" i="12"/>
  <c r="AY996" i="12"/>
  <c r="AX996" i="12"/>
  <c r="BI995" i="12"/>
  <c r="BG995" i="12"/>
  <c r="BF995" i="12"/>
  <c r="BE995" i="12"/>
  <c r="BD995" i="12"/>
  <c r="BC995" i="12"/>
  <c r="BB995" i="12"/>
  <c r="BA995" i="12"/>
  <c r="AZ995" i="12"/>
  <c r="AY995" i="12"/>
  <c r="AX995" i="12"/>
  <c r="BI994" i="12"/>
  <c r="BG994" i="12"/>
  <c r="BF994" i="12"/>
  <c r="BE994" i="12"/>
  <c r="BD994" i="12"/>
  <c r="BC994" i="12"/>
  <c r="BB994" i="12"/>
  <c r="BA994" i="12"/>
  <c r="AZ994" i="12"/>
  <c r="AY994" i="12"/>
  <c r="AX994" i="12"/>
  <c r="BI993" i="12"/>
  <c r="BG993" i="12"/>
  <c r="BF993" i="12"/>
  <c r="BE993" i="12"/>
  <c r="BD993" i="12"/>
  <c r="BC993" i="12"/>
  <c r="BB993" i="12"/>
  <c r="BA993" i="12"/>
  <c r="AZ993" i="12"/>
  <c r="AY993" i="12"/>
  <c r="AX993" i="12"/>
  <c r="BI992" i="12"/>
  <c r="BG992" i="12"/>
  <c r="BF992" i="12"/>
  <c r="BE992" i="12"/>
  <c r="BD992" i="12"/>
  <c r="BC992" i="12"/>
  <c r="BB992" i="12"/>
  <c r="BA992" i="12"/>
  <c r="AZ992" i="12"/>
  <c r="AY992" i="12"/>
  <c r="AX992" i="12"/>
  <c r="BI991" i="12"/>
  <c r="BG991" i="12"/>
  <c r="BF991" i="12"/>
  <c r="BE991" i="12"/>
  <c r="BD991" i="12"/>
  <c r="BC991" i="12"/>
  <c r="BB991" i="12"/>
  <c r="BA991" i="12"/>
  <c r="AZ991" i="12"/>
  <c r="AY991" i="12"/>
  <c r="AX991" i="12"/>
  <c r="BI990" i="12"/>
  <c r="BG990" i="12"/>
  <c r="BF990" i="12"/>
  <c r="BE990" i="12"/>
  <c r="BD990" i="12"/>
  <c r="BC990" i="12"/>
  <c r="BB990" i="12"/>
  <c r="BA990" i="12"/>
  <c r="AZ990" i="12"/>
  <c r="AY990" i="12"/>
  <c r="AX990" i="12"/>
  <c r="BI989" i="12"/>
  <c r="BG989" i="12"/>
  <c r="BF989" i="12"/>
  <c r="BE989" i="12"/>
  <c r="BD989" i="12"/>
  <c r="BC989" i="12"/>
  <c r="BB989" i="12"/>
  <c r="BA989" i="12"/>
  <c r="AZ989" i="12"/>
  <c r="AY989" i="12"/>
  <c r="AX989" i="12"/>
  <c r="BI988" i="12"/>
  <c r="BG988" i="12"/>
  <c r="BF988" i="12"/>
  <c r="BE988" i="12"/>
  <c r="BD988" i="12"/>
  <c r="BC988" i="12"/>
  <c r="BB988" i="12"/>
  <c r="BA988" i="12"/>
  <c r="AZ988" i="12"/>
  <c r="AY988" i="12"/>
  <c r="AX988" i="12"/>
  <c r="BI987" i="12"/>
  <c r="BG987" i="12"/>
  <c r="BF987" i="12"/>
  <c r="BE987" i="12"/>
  <c r="BD987" i="12"/>
  <c r="BC987" i="12"/>
  <c r="BB987" i="12"/>
  <c r="BA987" i="12"/>
  <c r="AZ987" i="12"/>
  <c r="AY987" i="12"/>
  <c r="AX987" i="12"/>
  <c r="BI986" i="12"/>
  <c r="BG986" i="12"/>
  <c r="BF986" i="12"/>
  <c r="BE986" i="12"/>
  <c r="BD986" i="12"/>
  <c r="BC986" i="12"/>
  <c r="BB986" i="12"/>
  <c r="BA986" i="12"/>
  <c r="AZ986" i="12"/>
  <c r="AY986" i="12"/>
  <c r="AX986" i="12"/>
  <c r="BI985" i="12"/>
  <c r="BG985" i="12"/>
  <c r="BF985" i="12"/>
  <c r="BE985" i="12"/>
  <c r="BD985" i="12"/>
  <c r="BC985" i="12"/>
  <c r="BB985" i="12"/>
  <c r="BA985" i="12"/>
  <c r="AZ985" i="12"/>
  <c r="AY985" i="12"/>
  <c r="AX985" i="12"/>
  <c r="BI984" i="12"/>
  <c r="BG984" i="12"/>
  <c r="BF984" i="12"/>
  <c r="BE984" i="12"/>
  <c r="BD984" i="12"/>
  <c r="BC984" i="12"/>
  <c r="BB984" i="12"/>
  <c r="BA984" i="12"/>
  <c r="AZ984" i="12"/>
  <c r="AY984" i="12"/>
  <c r="AX984" i="12"/>
  <c r="BI983" i="12"/>
  <c r="BG983" i="12"/>
  <c r="BF983" i="12"/>
  <c r="BE983" i="12"/>
  <c r="BD983" i="12"/>
  <c r="BC983" i="12"/>
  <c r="BB983" i="12"/>
  <c r="BA983" i="12"/>
  <c r="AZ983" i="12"/>
  <c r="AY983" i="12"/>
  <c r="AX983" i="12"/>
  <c r="BI982" i="12"/>
  <c r="BG982" i="12"/>
  <c r="BF982" i="12"/>
  <c r="BE982" i="12"/>
  <c r="BD982" i="12"/>
  <c r="BC982" i="12"/>
  <c r="BB982" i="12"/>
  <c r="BA982" i="12"/>
  <c r="AZ982" i="12"/>
  <c r="AY982" i="12"/>
  <c r="AX982" i="12"/>
  <c r="BI981" i="12"/>
  <c r="BG981" i="12"/>
  <c r="BF981" i="12"/>
  <c r="BE981" i="12"/>
  <c r="BD981" i="12"/>
  <c r="BC981" i="12"/>
  <c r="BB981" i="12"/>
  <c r="BA981" i="12"/>
  <c r="AZ981" i="12"/>
  <c r="AY981" i="12"/>
  <c r="AX981" i="12"/>
  <c r="BI980" i="12"/>
  <c r="BG980" i="12"/>
  <c r="BF980" i="12"/>
  <c r="BE980" i="12"/>
  <c r="BD980" i="12"/>
  <c r="BC980" i="12"/>
  <c r="BB980" i="12"/>
  <c r="BA980" i="12"/>
  <c r="AZ980" i="12"/>
  <c r="AY980" i="12"/>
  <c r="AX980" i="12"/>
  <c r="BI979" i="12"/>
  <c r="BG979" i="12"/>
  <c r="BF979" i="12"/>
  <c r="BE979" i="12"/>
  <c r="BD979" i="12"/>
  <c r="BC979" i="12"/>
  <c r="BB979" i="12"/>
  <c r="BA979" i="12"/>
  <c r="AZ979" i="12"/>
  <c r="AY979" i="12"/>
  <c r="AX979" i="12"/>
  <c r="BI978" i="12"/>
  <c r="BG978" i="12"/>
  <c r="BF978" i="12"/>
  <c r="BE978" i="12"/>
  <c r="BD978" i="12"/>
  <c r="BC978" i="12"/>
  <c r="BB978" i="12"/>
  <c r="BA978" i="12"/>
  <c r="AZ978" i="12"/>
  <c r="AY978" i="12"/>
  <c r="AX978" i="12"/>
  <c r="BI977" i="12"/>
  <c r="BG977" i="12"/>
  <c r="BF977" i="12"/>
  <c r="BE977" i="12"/>
  <c r="BD977" i="12"/>
  <c r="BC977" i="12"/>
  <c r="BB977" i="12"/>
  <c r="BA977" i="12"/>
  <c r="AZ977" i="12"/>
  <c r="AY977" i="12"/>
  <c r="AX977" i="12"/>
  <c r="BI976" i="12"/>
  <c r="BG976" i="12"/>
  <c r="BF976" i="12"/>
  <c r="BE976" i="12"/>
  <c r="BD976" i="12"/>
  <c r="BC976" i="12"/>
  <c r="BB976" i="12"/>
  <c r="BA976" i="12"/>
  <c r="AZ976" i="12"/>
  <c r="AY976" i="12"/>
  <c r="AX976" i="12"/>
  <c r="BI975" i="12"/>
  <c r="BG975" i="12"/>
  <c r="BF975" i="12"/>
  <c r="BE975" i="12"/>
  <c r="BD975" i="12"/>
  <c r="BC975" i="12"/>
  <c r="BB975" i="12"/>
  <c r="BA975" i="12"/>
  <c r="AZ975" i="12"/>
  <c r="AY975" i="12"/>
  <c r="AX975" i="12"/>
  <c r="BI974" i="12"/>
  <c r="BG974" i="12"/>
  <c r="BF974" i="12"/>
  <c r="BE974" i="12"/>
  <c r="BD974" i="12"/>
  <c r="BC974" i="12"/>
  <c r="BB974" i="12"/>
  <c r="BA974" i="12"/>
  <c r="AZ974" i="12"/>
  <c r="AY974" i="12"/>
  <c r="AX974" i="12"/>
  <c r="BI973" i="12"/>
  <c r="BG973" i="12"/>
  <c r="BF973" i="12"/>
  <c r="BE973" i="12"/>
  <c r="BD973" i="12"/>
  <c r="BC973" i="12"/>
  <c r="BB973" i="12"/>
  <c r="BA973" i="12"/>
  <c r="AZ973" i="12"/>
  <c r="AY973" i="12"/>
  <c r="AX973" i="12"/>
  <c r="BI972" i="12"/>
  <c r="BG972" i="12"/>
  <c r="BF972" i="12"/>
  <c r="BE972" i="12"/>
  <c r="BD972" i="12"/>
  <c r="BC972" i="12"/>
  <c r="BB972" i="12"/>
  <c r="BA972" i="12"/>
  <c r="AZ972" i="12"/>
  <c r="AY972" i="12"/>
  <c r="AX972" i="12"/>
  <c r="BI971" i="12"/>
  <c r="BG971" i="12"/>
  <c r="BF971" i="12"/>
  <c r="BE971" i="12"/>
  <c r="BD971" i="12"/>
  <c r="BC971" i="12"/>
  <c r="BB971" i="12"/>
  <c r="BA971" i="12"/>
  <c r="AZ971" i="12"/>
  <c r="AY971" i="12"/>
  <c r="AX971" i="12"/>
  <c r="BI970" i="12"/>
  <c r="BG970" i="12"/>
  <c r="BF970" i="12"/>
  <c r="BE970" i="12"/>
  <c r="BD970" i="12"/>
  <c r="BC970" i="12"/>
  <c r="BB970" i="12"/>
  <c r="BA970" i="12"/>
  <c r="AZ970" i="12"/>
  <c r="AY970" i="12"/>
  <c r="AX970" i="12"/>
  <c r="BI969" i="12"/>
  <c r="BG969" i="12"/>
  <c r="BF969" i="12"/>
  <c r="BE969" i="12"/>
  <c r="BD969" i="12"/>
  <c r="BC969" i="12"/>
  <c r="BB969" i="12"/>
  <c r="BA969" i="12"/>
  <c r="AZ969" i="12"/>
  <c r="AY969" i="12"/>
  <c r="AX969" i="12"/>
  <c r="BI968" i="12"/>
  <c r="BG968" i="12"/>
  <c r="BF968" i="12"/>
  <c r="BE968" i="12"/>
  <c r="BD968" i="12"/>
  <c r="BC968" i="12"/>
  <c r="BB968" i="12"/>
  <c r="BA968" i="12"/>
  <c r="AZ968" i="12"/>
  <c r="AY968" i="12"/>
  <c r="AX968" i="12"/>
  <c r="BI967" i="12"/>
  <c r="BG967" i="12"/>
  <c r="BF967" i="12"/>
  <c r="BE967" i="12"/>
  <c r="BD967" i="12"/>
  <c r="BC967" i="12"/>
  <c r="BB967" i="12"/>
  <c r="BA967" i="12"/>
  <c r="AZ967" i="12"/>
  <c r="AY967" i="12"/>
  <c r="AX967" i="12"/>
  <c r="BI966" i="12"/>
  <c r="BG966" i="12"/>
  <c r="BF966" i="12"/>
  <c r="BE966" i="12"/>
  <c r="BD966" i="12"/>
  <c r="BC966" i="12"/>
  <c r="BB966" i="12"/>
  <c r="BA966" i="12"/>
  <c r="AZ966" i="12"/>
  <c r="AY966" i="12"/>
  <c r="AX966" i="12"/>
  <c r="BI965" i="12"/>
  <c r="BG965" i="12"/>
  <c r="BF965" i="12"/>
  <c r="BE965" i="12"/>
  <c r="BD965" i="12"/>
  <c r="BC965" i="12"/>
  <c r="BB965" i="12"/>
  <c r="BA965" i="12"/>
  <c r="AZ965" i="12"/>
  <c r="AY965" i="12"/>
  <c r="AX965" i="12"/>
  <c r="BI964" i="12"/>
  <c r="BG964" i="12"/>
  <c r="BF964" i="12"/>
  <c r="BE964" i="12"/>
  <c r="BD964" i="12"/>
  <c r="BC964" i="12"/>
  <c r="BB964" i="12"/>
  <c r="BA964" i="12"/>
  <c r="AZ964" i="12"/>
  <c r="AY964" i="12"/>
  <c r="AX964" i="12"/>
  <c r="BI963" i="12"/>
  <c r="BG963" i="12"/>
  <c r="BF963" i="12"/>
  <c r="BE963" i="12"/>
  <c r="BD963" i="12"/>
  <c r="BC963" i="12"/>
  <c r="BB963" i="12"/>
  <c r="BA963" i="12"/>
  <c r="AZ963" i="12"/>
  <c r="AY963" i="12"/>
  <c r="AX963" i="12"/>
  <c r="BI962" i="12"/>
  <c r="BG962" i="12"/>
  <c r="BF962" i="12"/>
  <c r="BE962" i="12"/>
  <c r="BD962" i="12"/>
  <c r="BC962" i="12"/>
  <c r="BB962" i="12"/>
  <c r="BA962" i="12"/>
  <c r="AZ962" i="12"/>
  <c r="AY962" i="12"/>
  <c r="AX962" i="12"/>
  <c r="BI961" i="12"/>
  <c r="BG961" i="12"/>
  <c r="BF961" i="12"/>
  <c r="BE961" i="12"/>
  <c r="BD961" i="12"/>
  <c r="BC961" i="12"/>
  <c r="BB961" i="12"/>
  <c r="BA961" i="12"/>
  <c r="AZ961" i="12"/>
  <c r="AY961" i="12"/>
  <c r="AX961" i="12"/>
  <c r="BI960" i="12"/>
  <c r="BG960" i="12"/>
  <c r="BF960" i="12"/>
  <c r="BE960" i="12"/>
  <c r="BD960" i="12"/>
  <c r="BC960" i="12"/>
  <c r="BB960" i="12"/>
  <c r="BA960" i="12"/>
  <c r="AZ960" i="12"/>
  <c r="AY960" i="12"/>
  <c r="AX960" i="12"/>
  <c r="BI959" i="12"/>
  <c r="BG959" i="12"/>
  <c r="BF959" i="12"/>
  <c r="BE959" i="12"/>
  <c r="BD959" i="12"/>
  <c r="BC959" i="12"/>
  <c r="BB959" i="12"/>
  <c r="BA959" i="12"/>
  <c r="AZ959" i="12"/>
  <c r="AY959" i="12"/>
  <c r="AX959" i="12"/>
  <c r="BI958" i="12"/>
  <c r="BG958" i="12"/>
  <c r="BF958" i="12"/>
  <c r="BE958" i="12"/>
  <c r="BD958" i="12"/>
  <c r="BC958" i="12"/>
  <c r="BB958" i="12"/>
  <c r="BA958" i="12"/>
  <c r="AZ958" i="12"/>
  <c r="AY958" i="12"/>
  <c r="AX958" i="12"/>
  <c r="BI957" i="12"/>
  <c r="BG957" i="12"/>
  <c r="BF957" i="12"/>
  <c r="BE957" i="12"/>
  <c r="BD957" i="12"/>
  <c r="BC957" i="12"/>
  <c r="BB957" i="12"/>
  <c r="BA957" i="12"/>
  <c r="AZ957" i="12"/>
  <c r="AY957" i="12"/>
  <c r="AX957" i="12"/>
  <c r="BI956" i="12"/>
  <c r="BG956" i="12"/>
  <c r="BF956" i="12"/>
  <c r="BE956" i="12"/>
  <c r="BD956" i="12"/>
  <c r="BC956" i="12"/>
  <c r="BB956" i="12"/>
  <c r="BA956" i="12"/>
  <c r="AZ956" i="12"/>
  <c r="AY956" i="12"/>
  <c r="AX956" i="12"/>
  <c r="BI955" i="12"/>
  <c r="BG955" i="12"/>
  <c r="BF955" i="12"/>
  <c r="BE955" i="12"/>
  <c r="BD955" i="12"/>
  <c r="BC955" i="12"/>
  <c r="BB955" i="12"/>
  <c r="BA955" i="12"/>
  <c r="AZ955" i="12"/>
  <c r="AY955" i="12"/>
  <c r="AX955" i="12"/>
  <c r="BI954" i="12"/>
  <c r="BG954" i="12"/>
  <c r="BF954" i="12"/>
  <c r="BE954" i="12"/>
  <c r="BD954" i="12"/>
  <c r="BC954" i="12"/>
  <c r="BB954" i="12"/>
  <c r="BA954" i="12"/>
  <c r="AZ954" i="12"/>
  <c r="AY954" i="12"/>
  <c r="AX954" i="12"/>
  <c r="BI953" i="12"/>
  <c r="BG953" i="12"/>
  <c r="BF953" i="12"/>
  <c r="BE953" i="12"/>
  <c r="BD953" i="12"/>
  <c r="BC953" i="12"/>
  <c r="BB953" i="12"/>
  <c r="BA953" i="12"/>
  <c r="AZ953" i="12"/>
  <c r="AY953" i="12"/>
  <c r="AX953" i="12"/>
  <c r="BI952" i="12"/>
  <c r="BG952" i="12"/>
  <c r="BF952" i="12"/>
  <c r="BE952" i="12"/>
  <c r="BD952" i="12"/>
  <c r="BC952" i="12"/>
  <c r="BB952" i="12"/>
  <c r="BA952" i="12"/>
  <c r="AZ952" i="12"/>
  <c r="AY952" i="12"/>
  <c r="AX952" i="12"/>
  <c r="BI951" i="12"/>
  <c r="BG951" i="12"/>
  <c r="BF951" i="12"/>
  <c r="BE951" i="12"/>
  <c r="BD951" i="12"/>
  <c r="BC951" i="12"/>
  <c r="BB951" i="12"/>
  <c r="BA951" i="12"/>
  <c r="AZ951" i="12"/>
  <c r="AY951" i="12"/>
  <c r="AX951" i="12"/>
  <c r="BI950" i="12"/>
  <c r="BG950" i="12"/>
  <c r="BF950" i="12"/>
  <c r="BE950" i="12"/>
  <c r="BD950" i="12"/>
  <c r="BC950" i="12"/>
  <c r="BB950" i="12"/>
  <c r="BA950" i="12"/>
  <c r="AZ950" i="12"/>
  <c r="AY950" i="12"/>
  <c r="AX950" i="12"/>
  <c r="BI949" i="12"/>
  <c r="BG949" i="12"/>
  <c r="BF949" i="12"/>
  <c r="BE949" i="12"/>
  <c r="BD949" i="12"/>
  <c r="BC949" i="12"/>
  <c r="BB949" i="12"/>
  <c r="BA949" i="12"/>
  <c r="AZ949" i="12"/>
  <c r="AY949" i="12"/>
  <c r="AX949" i="12"/>
  <c r="BI948" i="12"/>
  <c r="BG948" i="12"/>
  <c r="BF948" i="12"/>
  <c r="BE948" i="12"/>
  <c r="BD948" i="12"/>
  <c r="BC948" i="12"/>
  <c r="BB948" i="12"/>
  <c r="BA948" i="12"/>
  <c r="AZ948" i="12"/>
  <c r="AY948" i="12"/>
  <c r="AX948" i="12"/>
  <c r="BI947" i="12"/>
  <c r="BG947" i="12"/>
  <c r="BF947" i="12"/>
  <c r="BE947" i="12"/>
  <c r="BD947" i="12"/>
  <c r="BC947" i="12"/>
  <c r="BB947" i="12"/>
  <c r="BA947" i="12"/>
  <c r="AZ947" i="12"/>
  <c r="AY947" i="12"/>
  <c r="AX947" i="12"/>
  <c r="BI946" i="12"/>
  <c r="BG946" i="12"/>
  <c r="BF946" i="12"/>
  <c r="BE946" i="12"/>
  <c r="BD946" i="12"/>
  <c r="BC946" i="12"/>
  <c r="BB946" i="12"/>
  <c r="BA946" i="12"/>
  <c r="AZ946" i="12"/>
  <c r="AY946" i="12"/>
  <c r="AX946" i="12"/>
  <c r="BI945" i="12"/>
  <c r="BG945" i="12"/>
  <c r="BF945" i="12"/>
  <c r="BE945" i="12"/>
  <c r="BD945" i="12"/>
  <c r="BC945" i="12"/>
  <c r="BB945" i="12"/>
  <c r="BA945" i="12"/>
  <c r="AZ945" i="12"/>
  <c r="AY945" i="12"/>
  <c r="AX945" i="12"/>
  <c r="BI944" i="12"/>
  <c r="BG944" i="12"/>
  <c r="BF944" i="12"/>
  <c r="BE944" i="12"/>
  <c r="BD944" i="12"/>
  <c r="BC944" i="12"/>
  <c r="BB944" i="12"/>
  <c r="BA944" i="12"/>
  <c r="AZ944" i="12"/>
  <c r="AY944" i="12"/>
  <c r="AX944" i="12"/>
  <c r="BI943" i="12"/>
  <c r="BG943" i="12"/>
  <c r="BF943" i="12"/>
  <c r="BE943" i="12"/>
  <c r="BD943" i="12"/>
  <c r="BC943" i="12"/>
  <c r="BB943" i="12"/>
  <c r="BA943" i="12"/>
  <c r="AZ943" i="12"/>
  <c r="AY943" i="12"/>
  <c r="AX943" i="12"/>
  <c r="BI942" i="12"/>
  <c r="BG942" i="12"/>
  <c r="BF942" i="12"/>
  <c r="BE942" i="12"/>
  <c r="BD942" i="12"/>
  <c r="BC942" i="12"/>
  <c r="BB942" i="12"/>
  <c r="BA942" i="12"/>
  <c r="AZ942" i="12"/>
  <c r="AY942" i="12"/>
  <c r="AX942" i="12"/>
  <c r="BI941" i="12"/>
  <c r="BG941" i="12"/>
  <c r="BF941" i="12"/>
  <c r="BE941" i="12"/>
  <c r="BD941" i="12"/>
  <c r="BC941" i="12"/>
  <c r="BB941" i="12"/>
  <c r="BA941" i="12"/>
  <c r="AZ941" i="12"/>
  <c r="AY941" i="12"/>
  <c r="AX941" i="12"/>
  <c r="BI940" i="12"/>
  <c r="BG940" i="12"/>
  <c r="BF940" i="12"/>
  <c r="BE940" i="12"/>
  <c r="BD940" i="12"/>
  <c r="BC940" i="12"/>
  <c r="BB940" i="12"/>
  <c r="BA940" i="12"/>
  <c r="AZ940" i="12"/>
  <c r="AY940" i="12"/>
  <c r="AX940" i="12"/>
  <c r="BI939" i="12"/>
  <c r="BG939" i="12"/>
  <c r="BF939" i="12"/>
  <c r="BE939" i="12"/>
  <c r="BD939" i="12"/>
  <c r="BC939" i="12"/>
  <c r="BB939" i="12"/>
  <c r="BA939" i="12"/>
  <c r="AZ939" i="12"/>
  <c r="AY939" i="12"/>
  <c r="AX939" i="12"/>
  <c r="BI938" i="12"/>
  <c r="BG938" i="12"/>
  <c r="BF938" i="12"/>
  <c r="BE938" i="12"/>
  <c r="BD938" i="12"/>
  <c r="BC938" i="12"/>
  <c r="BB938" i="12"/>
  <c r="BA938" i="12"/>
  <c r="AZ938" i="12"/>
  <c r="AY938" i="12"/>
  <c r="AX938" i="12"/>
  <c r="BI937" i="12"/>
  <c r="BG937" i="12"/>
  <c r="BF937" i="12"/>
  <c r="BE937" i="12"/>
  <c r="BD937" i="12"/>
  <c r="BC937" i="12"/>
  <c r="BB937" i="12"/>
  <c r="BA937" i="12"/>
  <c r="AZ937" i="12"/>
  <c r="AY937" i="12"/>
  <c r="AX937" i="12"/>
  <c r="BI936" i="12"/>
  <c r="BG936" i="12"/>
  <c r="BF936" i="12"/>
  <c r="BE936" i="12"/>
  <c r="BD936" i="12"/>
  <c r="BC936" i="12"/>
  <c r="BB936" i="12"/>
  <c r="BA936" i="12"/>
  <c r="AZ936" i="12"/>
  <c r="AY936" i="12"/>
  <c r="AX936" i="12"/>
  <c r="BI935" i="12"/>
  <c r="BG935" i="12"/>
  <c r="BF935" i="12"/>
  <c r="BE935" i="12"/>
  <c r="BD935" i="12"/>
  <c r="BC935" i="12"/>
  <c r="BB935" i="12"/>
  <c r="BA935" i="12"/>
  <c r="AZ935" i="12"/>
  <c r="AY935" i="12"/>
  <c r="AX935" i="12"/>
  <c r="BI934" i="12"/>
  <c r="BG934" i="12"/>
  <c r="BF934" i="12"/>
  <c r="BE934" i="12"/>
  <c r="BD934" i="12"/>
  <c r="BC934" i="12"/>
  <c r="BB934" i="12"/>
  <c r="BA934" i="12"/>
  <c r="AZ934" i="12"/>
  <c r="AY934" i="12"/>
  <c r="AX934" i="12"/>
  <c r="BI933" i="12"/>
  <c r="BG933" i="12"/>
  <c r="BF933" i="12"/>
  <c r="BE933" i="12"/>
  <c r="BD933" i="12"/>
  <c r="BC933" i="12"/>
  <c r="BB933" i="12"/>
  <c r="BA933" i="12"/>
  <c r="AZ933" i="12"/>
  <c r="AY933" i="12"/>
  <c r="AX933" i="12"/>
  <c r="BI932" i="12"/>
  <c r="BG932" i="12"/>
  <c r="BF932" i="12"/>
  <c r="BE932" i="12"/>
  <c r="BD932" i="12"/>
  <c r="BC932" i="12"/>
  <c r="BB932" i="12"/>
  <c r="BA932" i="12"/>
  <c r="AZ932" i="12"/>
  <c r="AY932" i="12"/>
  <c r="AX932" i="12"/>
  <c r="BI931" i="12"/>
  <c r="BG931" i="12"/>
  <c r="BF931" i="12"/>
  <c r="BE931" i="12"/>
  <c r="BD931" i="12"/>
  <c r="BC931" i="12"/>
  <c r="BB931" i="12"/>
  <c r="BA931" i="12"/>
  <c r="AZ931" i="12"/>
  <c r="AY931" i="12"/>
  <c r="AX931" i="12"/>
  <c r="BI930" i="12"/>
  <c r="BG930" i="12"/>
  <c r="BF930" i="12"/>
  <c r="BE930" i="12"/>
  <c r="BD930" i="12"/>
  <c r="BC930" i="12"/>
  <c r="BB930" i="12"/>
  <c r="BA930" i="12"/>
  <c r="AZ930" i="12"/>
  <c r="AY930" i="12"/>
  <c r="AX930" i="12"/>
  <c r="BI929" i="12"/>
  <c r="BG929" i="12"/>
  <c r="BF929" i="12"/>
  <c r="BE929" i="12"/>
  <c r="BD929" i="12"/>
  <c r="BC929" i="12"/>
  <c r="BB929" i="12"/>
  <c r="BA929" i="12"/>
  <c r="AZ929" i="12"/>
  <c r="AY929" i="12"/>
  <c r="AX929" i="12"/>
  <c r="BI928" i="12"/>
  <c r="BG928" i="12"/>
  <c r="BF928" i="12"/>
  <c r="BE928" i="12"/>
  <c r="BD928" i="12"/>
  <c r="BC928" i="12"/>
  <c r="BB928" i="12"/>
  <c r="BA928" i="12"/>
  <c r="AZ928" i="12"/>
  <c r="AY928" i="12"/>
  <c r="AX928" i="12"/>
  <c r="BI927" i="12"/>
  <c r="BG927" i="12"/>
  <c r="BF927" i="12"/>
  <c r="BE927" i="12"/>
  <c r="BD927" i="12"/>
  <c r="BC927" i="12"/>
  <c r="BB927" i="12"/>
  <c r="BA927" i="12"/>
  <c r="AZ927" i="12"/>
  <c r="AY927" i="12"/>
  <c r="AX927" i="12"/>
  <c r="BI926" i="12"/>
  <c r="BG926" i="12"/>
  <c r="BF926" i="12"/>
  <c r="BE926" i="12"/>
  <c r="BD926" i="12"/>
  <c r="BC926" i="12"/>
  <c r="BB926" i="12"/>
  <c r="BA926" i="12"/>
  <c r="AZ926" i="12"/>
  <c r="AY926" i="12"/>
  <c r="AX926" i="12"/>
  <c r="BI925" i="12"/>
  <c r="BG925" i="12"/>
  <c r="BF925" i="12"/>
  <c r="BE925" i="12"/>
  <c r="BD925" i="12"/>
  <c r="BC925" i="12"/>
  <c r="BB925" i="12"/>
  <c r="BA925" i="12"/>
  <c r="AZ925" i="12"/>
  <c r="AY925" i="12"/>
  <c r="AX925" i="12"/>
  <c r="BI924" i="12"/>
  <c r="BG924" i="12"/>
  <c r="BF924" i="12"/>
  <c r="BE924" i="12"/>
  <c r="BD924" i="12"/>
  <c r="BC924" i="12"/>
  <c r="BB924" i="12"/>
  <c r="BA924" i="12"/>
  <c r="AZ924" i="12"/>
  <c r="AY924" i="12"/>
  <c r="AX924" i="12"/>
  <c r="BI923" i="12"/>
  <c r="BG923" i="12"/>
  <c r="BF923" i="12"/>
  <c r="BE923" i="12"/>
  <c r="BD923" i="12"/>
  <c r="BC923" i="12"/>
  <c r="BB923" i="12"/>
  <c r="BA923" i="12"/>
  <c r="AZ923" i="12"/>
  <c r="AY923" i="12"/>
  <c r="AX923" i="12"/>
  <c r="BI922" i="12"/>
  <c r="BG922" i="12"/>
  <c r="BF922" i="12"/>
  <c r="BE922" i="12"/>
  <c r="BD922" i="12"/>
  <c r="BC922" i="12"/>
  <c r="BB922" i="12"/>
  <c r="BA922" i="12"/>
  <c r="AZ922" i="12"/>
  <c r="AY922" i="12"/>
  <c r="AX922" i="12"/>
  <c r="BI921" i="12"/>
  <c r="BG921" i="12"/>
  <c r="BF921" i="12"/>
  <c r="BE921" i="12"/>
  <c r="BD921" i="12"/>
  <c r="BC921" i="12"/>
  <c r="BB921" i="12"/>
  <c r="BA921" i="12"/>
  <c r="AZ921" i="12"/>
  <c r="AY921" i="12"/>
  <c r="AX921" i="12"/>
  <c r="BI920" i="12"/>
  <c r="BG920" i="12"/>
  <c r="BF920" i="12"/>
  <c r="BE920" i="12"/>
  <c r="BD920" i="12"/>
  <c r="BC920" i="12"/>
  <c r="BB920" i="12"/>
  <c r="BA920" i="12"/>
  <c r="AZ920" i="12"/>
  <c r="AY920" i="12"/>
  <c r="AX920" i="12"/>
  <c r="BI919" i="12"/>
  <c r="BG919" i="12"/>
  <c r="BF919" i="12"/>
  <c r="BE919" i="12"/>
  <c r="BD919" i="12"/>
  <c r="BC919" i="12"/>
  <c r="BB919" i="12"/>
  <c r="BA919" i="12"/>
  <c r="AZ919" i="12"/>
  <c r="AY919" i="12"/>
  <c r="AX919" i="12"/>
  <c r="BI918" i="12"/>
  <c r="BG918" i="12"/>
  <c r="BF918" i="12"/>
  <c r="BE918" i="12"/>
  <c r="BD918" i="12"/>
  <c r="BC918" i="12"/>
  <c r="BB918" i="12"/>
  <c r="BA918" i="12"/>
  <c r="AZ918" i="12"/>
  <c r="AY918" i="12"/>
  <c r="AX918" i="12"/>
  <c r="BI917" i="12"/>
  <c r="BG917" i="12"/>
  <c r="BF917" i="12"/>
  <c r="BE917" i="12"/>
  <c r="BD917" i="12"/>
  <c r="BC917" i="12"/>
  <c r="BB917" i="12"/>
  <c r="BA917" i="12"/>
  <c r="AZ917" i="12"/>
  <c r="AY917" i="12"/>
  <c r="AX917" i="12"/>
  <c r="BI916" i="12"/>
  <c r="BG916" i="12"/>
  <c r="BF916" i="12"/>
  <c r="BE916" i="12"/>
  <c r="BD916" i="12"/>
  <c r="BC916" i="12"/>
  <c r="BB916" i="12"/>
  <c r="BA916" i="12"/>
  <c r="AZ916" i="12"/>
  <c r="AY916" i="12"/>
  <c r="AX916" i="12"/>
  <c r="BI915" i="12"/>
  <c r="BG915" i="12"/>
  <c r="BF915" i="12"/>
  <c r="BE915" i="12"/>
  <c r="BD915" i="12"/>
  <c r="BC915" i="12"/>
  <c r="BB915" i="12"/>
  <c r="BA915" i="12"/>
  <c r="AZ915" i="12"/>
  <c r="AY915" i="12"/>
  <c r="AX915" i="12"/>
  <c r="BI914" i="12"/>
  <c r="BG914" i="12"/>
  <c r="BF914" i="12"/>
  <c r="BE914" i="12"/>
  <c r="BD914" i="12"/>
  <c r="BC914" i="12"/>
  <c r="BB914" i="12"/>
  <c r="BA914" i="12"/>
  <c r="AZ914" i="12"/>
  <c r="AY914" i="12"/>
  <c r="AX914" i="12"/>
  <c r="BI913" i="12"/>
  <c r="BG913" i="12"/>
  <c r="BF913" i="12"/>
  <c r="BE913" i="12"/>
  <c r="BD913" i="12"/>
  <c r="BC913" i="12"/>
  <c r="BB913" i="12"/>
  <c r="BA913" i="12"/>
  <c r="AZ913" i="12"/>
  <c r="AY913" i="12"/>
  <c r="AX913" i="12"/>
  <c r="BI912" i="12"/>
  <c r="BG912" i="12"/>
  <c r="BF912" i="12"/>
  <c r="BE912" i="12"/>
  <c r="BD912" i="12"/>
  <c r="BC912" i="12"/>
  <c r="BB912" i="12"/>
  <c r="BA912" i="12"/>
  <c r="AZ912" i="12"/>
  <c r="AY912" i="12"/>
  <c r="AX912" i="12"/>
  <c r="BI911" i="12"/>
  <c r="BG911" i="12"/>
  <c r="BF911" i="12"/>
  <c r="BE911" i="12"/>
  <c r="BD911" i="12"/>
  <c r="BC911" i="12"/>
  <c r="BB911" i="12"/>
  <c r="BA911" i="12"/>
  <c r="AZ911" i="12"/>
  <c r="AY911" i="12"/>
  <c r="AX911" i="12"/>
  <c r="BI910" i="12"/>
  <c r="BG910" i="12"/>
  <c r="BF910" i="12"/>
  <c r="BE910" i="12"/>
  <c r="BD910" i="12"/>
  <c r="BC910" i="12"/>
  <c r="BB910" i="12"/>
  <c r="BA910" i="12"/>
  <c r="AZ910" i="12"/>
  <c r="AY910" i="12"/>
  <c r="AX910" i="12"/>
  <c r="BI909" i="12"/>
  <c r="BG909" i="12"/>
  <c r="BF909" i="12"/>
  <c r="BE909" i="12"/>
  <c r="BD909" i="12"/>
  <c r="BC909" i="12"/>
  <c r="BB909" i="12"/>
  <c r="BA909" i="12"/>
  <c r="AZ909" i="12"/>
  <c r="AY909" i="12"/>
  <c r="AX909" i="12"/>
  <c r="BI908" i="12"/>
  <c r="BG908" i="12"/>
  <c r="BF908" i="12"/>
  <c r="BE908" i="12"/>
  <c r="BD908" i="12"/>
  <c r="BC908" i="12"/>
  <c r="BB908" i="12"/>
  <c r="BA908" i="12"/>
  <c r="AZ908" i="12"/>
  <c r="AY908" i="12"/>
  <c r="AX908" i="12"/>
  <c r="BI907" i="12"/>
  <c r="BG907" i="12"/>
  <c r="BF907" i="12"/>
  <c r="BE907" i="12"/>
  <c r="BD907" i="12"/>
  <c r="BC907" i="12"/>
  <c r="BB907" i="12"/>
  <c r="BA907" i="12"/>
  <c r="AZ907" i="12"/>
  <c r="AY907" i="12"/>
  <c r="AX907" i="12"/>
  <c r="BI906" i="12"/>
  <c r="BG906" i="12"/>
  <c r="BF906" i="12"/>
  <c r="BE906" i="12"/>
  <c r="BD906" i="12"/>
  <c r="BC906" i="12"/>
  <c r="BB906" i="12"/>
  <c r="BA906" i="12"/>
  <c r="AZ906" i="12"/>
  <c r="AY906" i="12"/>
  <c r="AX906" i="12"/>
  <c r="BI905" i="12"/>
  <c r="BG905" i="12"/>
  <c r="BF905" i="12"/>
  <c r="BE905" i="12"/>
  <c r="BD905" i="12"/>
  <c r="BC905" i="12"/>
  <c r="BB905" i="12"/>
  <c r="BA905" i="12"/>
  <c r="AZ905" i="12"/>
  <c r="AY905" i="12"/>
  <c r="AX905" i="12"/>
  <c r="BI904" i="12"/>
  <c r="BG904" i="12"/>
  <c r="BF904" i="12"/>
  <c r="BE904" i="12"/>
  <c r="BD904" i="12"/>
  <c r="BC904" i="12"/>
  <c r="BB904" i="12"/>
  <c r="BA904" i="12"/>
  <c r="AZ904" i="12"/>
  <c r="AY904" i="12"/>
  <c r="AX904" i="12"/>
  <c r="BI903" i="12"/>
  <c r="BG903" i="12"/>
  <c r="BF903" i="12"/>
  <c r="BE903" i="12"/>
  <c r="BD903" i="12"/>
  <c r="BC903" i="12"/>
  <c r="BB903" i="12"/>
  <c r="BA903" i="12"/>
  <c r="AZ903" i="12"/>
  <c r="AY903" i="12"/>
  <c r="AX903" i="12"/>
  <c r="BI902" i="12"/>
  <c r="BG902" i="12"/>
  <c r="BF902" i="12"/>
  <c r="BE902" i="12"/>
  <c r="BD902" i="12"/>
  <c r="BC902" i="12"/>
  <c r="BB902" i="12"/>
  <c r="BA902" i="12"/>
  <c r="AZ902" i="12"/>
  <c r="AY902" i="12"/>
  <c r="AX902" i="12"/>
  <c r="BI901" i="12"/>
  <c r="BG901" i="12"/>
  <c r="BF901" i="12"/>
  <c r="BE901" i="12"/>
  <c r="BD901" i="12"/>
  <c r="BC901" i="12"/>
  <c r="BB901" i="12"/>
  <c r="BA901" i="12"/>
  <c r="AZ901" i="12"/>
  <c r="AY901" i="12"/>
  <c r="AX901" i="12"/>
  <c r="BI900" i="12"/>
  <c r="BG900" i="12"/>
  <c r="BF900" i="12"/>
  <c r="BE900" i="12"/>
  <c r="BD900" i="12"/>
  <c r="BC900" i="12"/>
  <c r="BB900" i="12"/>
  <c r="BA900" i="12"/>
  <c r="AZ900" i="12"/>
  <c r="AY900" i="12"/>
  <c r="AX900" i="12"/>
  <c r="BI899" i="12"/>
  <c r="BG899" i="12"/>
  <c r="BF899" i="12"/>
  <c r="BE899" i="12"/>
  <c r="BD899" i="12"/>
  <c r="BC899" i="12"/>
  <c r="BB899" i="12"/>
  <c r="BA899" i="12"/>
  <c r="AZ899" i="12"/>
  <c r="AY899" i="12"/>
  <c r="AX899" i="12"/>
  <c r="BI898" i="12"/>
  <c r="BG898" i="12"/>
  <c r="BF898" i="12"/>
  <c r="BE898" i="12"/>
  <c r="BD898" i="12"/>
  <c r="BC898" i="12"/>
  <c r="BB898" i="12"/>
  <c r="BA898" i="12"/>
  <c r="AZ898" i="12"/>
  <c r="AY898" i="12"/>
  <c r="AX898" i="12"/>
  <c r="BI897" i="12"/>
  <c r="BG897" i="12"/>
  <c r="BF897" i="12"/>
  <c r="BE897" i="12"/>
  <c r="BD897" i="12"/>
  <c r="BC897" i="12"/>
  <c r="BB897" i="12"/>
  <c r="BA897" i="12"/>
  <c r="AZ897" i="12"/>
  <c r="AY897" i="12"/>
  <c r="AX897" i="12"/>
  <c r="BI896" i="12"/>
  <c r="BG896" i="12"/>
  <c r="BF896" i="12"/>
  <c r="BE896" i="12"/>
  <c r="BD896" i="12"/>
  <c r="BC896" i="12"/>
  <c r="BB896" i="12"/>
  <c r="BA896" i="12"/>
  <c r="AZ896" i="12"/>
  <c r="AY896" i="12"/>
  <c r="AX896" i="12"/>
  <c r="BI895" i="12"/>
  <c r="BG895" i="12"/>
  <c r="BF895" i="12"/>
  <c r="BE895" i="12"/>
  <c r="BD895" i="12"/>
  <c r="BC895" i="12"/>
  <c r="BB895" i="12"/>
  <c r="BA895" i="12"/>
  <c r="AZ895" i="12"/>
  <c r="AY895" i="12"/>
  <c r="AX895" i="12"/>
  <c r="BI894" i="12"/>
  <c r="BG894" i="12"/>
  <c r="BF894" i="12"/>
  <c r="BE894" i="12"/>
  <c r="BD894" i="12"/>
  <c r="BC894" i="12"/>
  <c r="BB894" i="12"/>
  <c r="BA894" i="12"/>
  <c r="AZ894" i="12"/>
  <c r="AY894" i="12"/>
  <c r="AX894" i="12"/>
  <c r="BI893" i="12"/>
  <c r="BG893" i="12"/>
  <c r="BF893" i="12"/>
  <c r="BE893" i="12"/>
  <c r="BD893" i="12"/>
  <c r="BC893" i="12"/>
  <c r="BB893" i="12"/>
  <c r="BA893" i="12"/>
  <c r="AZ893" i="12"/>
  <c r="AY893" i="12"/>
  <c r="AX893" i="12"/>
  <c r="BI892" i="12"/>
  <c r="BG892" i="12"/>
  <c r="BF892" i="12"/>
  <c r="BE892" i="12"/>
  <c r="BD892" i="12"/>
  <c r="BC892" i="12"/>
  <c r="BB892" i="12"/>
  <c r="BA892" i="12"/>
  <c r="AZ892" i="12"/>
  <c r="AY892" i="12"/>
  <c r="AX892" i="12"/>
  <c r="BI891" i="12"/>
  <c r="BG891" i="12"/>
  <c r="BF891" i="12"/>
  <c r="BE891" i="12"/>
  <c r="BD891" i="12"/>
  <c r="BC891" i="12"/>
  <c r="BB891" i="12"/>
  <c r="BA891" i="12"/>
  <c r="AZ891" i="12"/>
  <c r="AY891" i="12"/>
  <c r="AX891" i="12"/>
  <c r="BI890" i="12"/>
  <c r="BG890" i="12"/>
  <c r="BF890" i="12"/>
  <c r="BE890" i="12"/>
  <c r="BD890" i="12"/>
  <c r="BC890" i="12"/>
  <c r="BB890" i="12"/>
  <c r="BA890" i="12"/>
  <c r="AZ890" i="12"/>
  <c r="AY890" i="12"/>
  <c r="AX890" i="12"/>
  <c r="BI889" i="12"/>
  <c r="BG889" i="12"/>
  <c r="BF889" i="12"/>
  <c r="BE889" i="12"/>
  <c r="BD889" i="12"/>
  <c r="BC889" i="12"/>
  <c r="BB889" i="12"/>
  <c r="BA889" i="12"/>
  <c r="AZ889" i="12"/>
  <c r="AY889" i="12"/>
  <c r="AX889" i="12"/>
  <c r="BI888" i="12"/>
  <c r="BG888" i="12"/>
  <c r="BF888" i="12"/>
  <c r="BE888" i="12"/>
  <c r="BD888" i="12"/>
  <c r="BC888" i="12"/>
  <c r="BB888" i="12"/>
  <c r="BA888" i="12"/>
  <c r="AZ888" i="12"/>
  <c r="AY888" i="12"/>
  <c r="AX888" i="12"/>
  <c r="BI887" i="12"/>
  <c r="BG887" i="12"/>
  <c r="BF887" i="12"/>
  <c r="BE887" i="12"/>
  <c r="BD887" i="12"/>
  <c r="BC887" i="12"/>
  <c r="BB887" i="12"/>
  <c r="BA887" i="12"/>
  <c r="AZ887" i="12"/>
  <c r="AY887" i="12"/>
  <c r="AX887" i="12"/>
  <c r="BI886" i="12"/>
  <c r="BG886" i="12"/>
  <c r="BF886" i="12"/>
  <c r="BE886" i="12"/>
  <c r="BD886" i="12"/>
  <c r="BC886" i="12"/>
  <c r="BB886" i="12"/>
  <c r="BA886" i="12"/>
  <c r="AZ886" i="12"/>
  <c r="AY886" i="12"/>
  <c r="AX886" i="12"/>
  <c r="BI885" i="12"/>
  <c r="BG885" i="12"/>
  <c r="BF885" i="12"/>
  <c r="BE885" i="12"/>
  <c r="BD885" i="12"/>
  <c r="BC885" i="12"/>
  <c r="BB885" i="12"/>
  <c r="BA885" i="12"/>
  <c r="AZ885" i="12"/>
  <c r="AY885" i="12"/>
  <c r="AX885" i="12"/>
  <c r="BI884" i="12"/>
  <c r="BG884" i="12"/>
  <c r="BF884" i="12"/>
  <c r="BE884" i="12"/>
  <c r="BD884" i="12"/>
  <c r="BC884" i="12"/>
  <c r="BB884" i="12"/>
  <c r="BA884" i="12"/>
  <c r="AZ884" i="12"/>
  <c r="AY884" i="12"/>
  <c r="AX884" i="12"/>
  <c r="BI883" i="12"/>
  <c r="BG883" i="12"/>
  <c r="BF883" i="12"/>
  <c r="BE883" i="12"/>
  <c r="BD883" i="12"/>
  <c r="BC883" i="12"/>
  <c r="BB883" i="12"/>
  <c r="BA883" i="12"/>
  <c r="AZ883" i="12"/>
  <c r="AY883" i="12"/>
  <c r="AX883" i="12"/>
  <c r="BI882" i="12"/>
  <c r="BG882" i="12"/>
  <c r="BF882" i="12"/>
  <c r="BE882" i="12"/>
  <c r="BD882" i="12"/>
  <c r="BC882" i="12"/>
  <c r="BB882" i="12"/>
  <c r="BA882" i="12"/>
  <c r="AZ882" i="12"/>
  <c r="AY882" i="12"/>
  <c r="AX882" i="12"/>
  <c r="BI881" i="12"/>
  <c r="BG881" i="12"/>
  <c r="BF881" i="12"/>
  <c r="BE881" i="12"/>
  <c r="BD881" i="12"/>
  <c r="BC881" i="12"/>
  <c r="BB881" i="12"/>
  <c r="BA881" i="12"/>
  <c r="AZ881" i="12"/>
  <c r="AY881" i="12"/>
  <c r="AX881" i="12"/>
  <c r="BI880" i="12"/>
  <c r="BG880" i="12"/>
  <c r="BF880" i="12"/>
  <c r="BE880" i="12"/>
  <c r="BD880" i="12"/>
  <c r="BC880" i="12"/>
  <c r="BB880" i="12"/>
  <c r="BA880" i="12"/>
  <c r="AZ880" i="12"/>
  <c r="AY880" i="12"/>
  <c r="AX880" i="12"/>
  <c r="BI879" i="12"/>
  <c r="BG879" i="12"/>
  <c r="BF879" i="12"/>
  <c r="BE879" i="12"/>
  <c r="BD879" i="12"/>
  <c r="BC879" i="12"/>
  <c r="BB879" i="12"/>
  <c r="BA879" i="12"/>
  <c r="AZ879" i="12"/>
  <c r="AY879" i="12"/>
  <c r="AX879" i="12"/>
  <c r="BI878" i="12"/>
  <c r="BG878" i="12"/>
  <c r="BF878" i="12"/>
  <c r="BE878" i="12"/>
  <c r="BD878" i="12"/>
  <c r="BC878" i="12"/>
  <c r="BB878" i="12"/>
  <c r="BA878" i="12"/>
  <c r="AZ878" i="12"/>
  <c r="AY878" i="12"/>
  <c r="AX878" i="12"/>
  <c r="BI877" i="12"/>
  <c r="BG877" i="12"/>
  <c r="BF877" i="12"/>
  <c r="BE877" i="12"/>
  <c r="BD877" i="12"/>
  <c r="BC877" i="12"/>
  <c r="BB877" i="12"/>
  <c r="BA877" i="12"/>
  <c r="AZ877" i="12"/>
  <c r="AY877" i="12"/>
  <c r="AX877" i="12"/>
  <c r="BI876" i="12"/>
  <c r="BG876" i="12"/>
  <c r="BF876" i="12"/>
  <c r="BE876" i="12"/>
  <c r="BD876" i="12"/>
  <c r="BC876" i="12"/>
  <c r="BB876" i="12"/>
  <c r="BA876" i="12"/>
  <c r="AZ876" i="12"/>
  <c r="AY876" i="12"/>
  <c r="AX876" i="12"/>
  <c r="BI875" i="12"/>
  <c r="BG875" i="12"/>
  <c r="BF875" i="12"/>
  <c r="BE875" i="12"/>
  <c r="BD875" i="12"/>
  <c r="BC875" i="12"/>
  <c r="BB875" i="12"/>
  <c r="BA875" i="12"/>
  <c r="AZ875" i="12"/>
  <c r="AY875" i="12"/>
  <c r="AX875" i="12"/>
  <c r="BI874" i="12"/>
  <c r="BG874" i="12"/>
  <c r="BF874" i="12"/>
  <c r="BE874" i="12"/>
  <c r="BD874" i="12"/>
  <c r="BC874" i="12"/>
  <c r="BB874" i="12"/>
  <c r="BA874" i="12"/>
  <c r="AZ874" i="12"/>
  <c r="AY874" i="12"/>
  <c r="AX874" i="12"/>
  <c r="BI873" i="12"/>
  <c r="BG873" i="12"/>
  <c r="BF873" i="12"/>
  <c r="BE873" i="12"/>
  <c r="BD873" i="12"/>
  <c r="BC873" i="12"/>
  <c r="BB873" i="12"/>
  <c r="BA873" i="12"/>
  <c r="AZ873" i="12"/>
  <c r="AY873" i="12"/>
  <c r="AX873" i="12"/>
  <c r="BI872" i="12"/>
  <c r="BG872" i="12"/>
  <c r="BF872" i="12"/>
  <c r="BE872" i="12"/>
  <c r="BD872" i="12"/>
  <c r="BC872" i="12"/>
  <c r="BB872" i="12"/>
  <c r="BA872" i="12"/>
  <c r="AZ872" i="12"/>
  <c r="AY872" i="12"/>
  <c r="AX872" i="12"/>
  <c r="BI871" i="12"/>
  <c r="BG871" i="12"/>
  <c r="BF871" i="12"/>
  <c r="BE871" i="12"/>
  <c r="BD871" i="12"/>
  <c r="BC871" i="12"/>
  <c r="BB871" i="12"/>
  <c r="BA871" i="12"/>
  <c r="AZ871" i="12"/>
  <c r="AY871" i="12"/>
  <c r="AX871" i="12"/>
  <c r="BI870" i="12"/>
  <c r="BG870" i="12"/>
  <c r="BF870" i="12"/>
  <c r="BE870" i="12"/>
  <c r="BD870" i="12"/>
  <c r="BC870" i="12"/>
  <c r="BB870" i="12"/>
  <c r="BA870" i="12"/>
  <c r="AZ870" i="12"/>
  <c r="AY870" i="12"/>
  <c r="AX870" i="12"/>
  <c r="BI869" i="12"/>
  <c r="BG869" i="12"/>
  <c r="BF869" i="12"/>
  <c r="BE869" i="12"/>
  <c r="BD869" i="12"/>
  <c r="BC869" i="12"/>
  <c r="BB869" i="12"/>
  <c r="BA869" i="12"/>
  <c r="AZ869" i="12"/>
  <c r="AY869" i="12"/>
  <c r="AX869" i="12"/>
  <c r="BI868" i="12"/>
  <c r="BG868" i="12"/>
  <c r="BF868" i="12"/>
  <c r="BE868" i="12"/>
  <c r="BD868" i="12"/>
  <c r="BC868" i="12"/>
  <c r="BB868" i="12"/>
  <c r="BA868" i="12"/>
  <c r="AZ868" i="12"/>
  <c r="AY868" i="12"/>
  <c r="AX868" i="12"/>
  <c r="BI867" i="12"/>
  <c r="BG867" i="12"/>
  <c r="BF867" i="12"/>
  <c r="BE867" i="12"/>
  <c r="BD867" i="12"/>
  <c r="BC867" i="12"/>
  <c r="BB867" i="12"/>
  <c r="BA867" i="12"/>
  <c r="AZ867" i="12"/>
  <c r="AY867" i="12"/>
  <c r="AX867" i="12"/>
  <c r="BI866" i="12"/>
  <c r="BG866" i="12"/>
  <c r="BF866" i="12"/>
  <c r="BE866" i="12"/>
  <c r="BD866" i="12"/>
  <c r="BC866" i="12"/>
  <c r="BB866" i="12"/>
  <c r="BA866" i="12"/>
  <c r="AZ866" i="12"/>
  <c r="AY866" i="12"/>
  <c r="AX866" i="12"/>
  <c r="BI865" i="12"/>
  <c r="BG865" i="12"/>
  <c r="BF865" i="12"/>
  <c r="BE865" i="12"/>
  <c r="BD865" i="12"/>
  <c r="BC865" i="12"/>
  <c r="BB865" i="12"/>
  <c r="BA865" i="12"/>
  <c r="AZ865" i="12"/>
  <c r="AY865" i="12"/>
  <c r="AX865" i="12"/>
  <c r="BI864" i="12"/>
  <c r="BG864" i="12"/>
  <c r="BF864" i="12"/>
  <c r="BE864" i="12"/>
  <c r="BD864" i="12"/>
  <c r="BC864" i="12"/>
  <c r="BB864" i="12"/>
  <c r="BA864" i="12"/>
  <c r="AZ864" i="12"/>
  <c r="AY864" i="12"/>
  <c r="AX864" i="12"/>
  <c r="BI863" i="12"/>
  <c r="BG863" i="12"/>
  <c r="BF863" i="12"/>
  <c r="BE863" i="12"/>
  <c r="BD863" i="12"/>
  <c r="BC863" i="12"/>
  <c r="BB863" i="12"/>
  <c r="BA863" i="12"/>
  <c r="AZ863" i="12"/>
  <c r="AY863" i="12"/>
  <c r="AX863" i="12"/>
  <c r="BI862" i="12"/>
  <c r="BG862" i="12"/>
  <c r="BF862" i="12"/>
  <c r="BE862" i="12"/>
  <c r="BD862" i="12"/>
  <c r="BC862" i="12"/>
  <c r="BB862" i="12"/>
  <c r="BA862" i="12"/>
  <c r="AZ862" i="12"/>
  <c r="AY862" i="12"/>
  <c r="AX862" i="12"/>
  <c r="BI861" i="12"/>
  <c r="BG861" i="12"/>
  <c r="BF861" i="12"/>
  <c r="BE861" i="12"/>
  <c r="BD861" i="12"/>
  <c r="BC861" i="12"/>
  <c r="BB861" i="12"/>
  <c r="BA861" i="12"/>
  <c r="AZ861" i="12"/>
  <c r="AY861" i="12"/>
  <c r="AX861" i="12"/>
  <c r="BI860" i="12"/>
  <c r="BG860" i="12"/>
  <c r="BF860" i="12"/>
  <c r="BE860" i="12"/>
  <c r="BD860" i="12"/>
  <c r="BC860" i="12"/>
  <c r="BB860" i="12"/>
  <c r="BA860" i="12"/>
  <c r="AZ860" i="12"/>
  <c r="AY860" i="12"/>
  <c r="AX860" i="12"/>
  <c r="BI859" i="12"/>
  <c r="BG859" i="12"/>
  <c r="BF859" i="12"/>
  <c r="BE859" i="12"/>
  <c r="BD859" i="12"/>
  <c r="BC859" i="12"/>
  <c r="BB859" i="12"/>
  <c r="BA859" i="12"/>
  <c r="AZ859" i="12"/>
  <c r="AY859" i="12"/>
  <c r="AX859" i="12"/>
  <c r="BI858" i="12"/>
  <c r="BG858" i="12"/>
  <c r="BF858" i="12"/>
  <c r="BE858" i="12"/>
  <c r="BD858" i="12"/>
  <c r="BC858" i="12"/>
  <c r="BB858" i="12"/>
  <c r="BA858" i="12"/>
  <c r="AZ858" i="12"/>
  <c r="AY858" i="12"/>
  <c r="AX858" i="12"/>
  <c r="BI857" i="12"/>
  <c r="BG857" i="12"/>
  <c r="BF857" i="12"/>
  <c r="BE857" i="12"/>
  <c r="BD857" i="12"/>
  <c r="BC857" i="12"/>
  <c r="BB857" i="12"/>
  <c r="BA857" i="12"/>
  <c r="AZ857" i="12"/>
  <c r="AY857" i="12"/>
  <c r="AX857" i="12"/>
  <c r="BI856" i="12"/>
  <c r="BG856" i="12"/>
  <c r="BF856" i="12"/>
  <c r="BE856" i="12"/>
  <c r="BD856" i="12"/>
  <c r="BC856" i="12"/>
  <c r="BB856" i="12"/>
  <c r="BA856" i="12"/>
  <c r="AZ856" i="12"/>
  <c r="AY856" i="12"/>
  <c r="AX856" i="12"/>
  <c r="BI855" i="12"/>
  <c r="BG855" i="12"/>
  <c r="BF855" i="12"/>
  <c r="BE855" i="12"/>
  <c r="BD855" i="12"/>
  <c r="BC855" i="12"/>
  <c r="BB855" i="12"/>
  <c r="BA855" i="12"/>
  <c r="AZ855" i="12"/>
  <c r="AY855" i="12"/>
  <c r="AX855" i="12"/>
  <c r="BI854" i="12"/>
  <c r="BG854" i="12"/>
  <c r="BF854" i="12"/>
  <c r="BE854" i="12"/>
  <c r="BD854" i="12"/>
  <c r="BC854" i="12"/>
  <c r="BB854" i="12"/>
  <c r="BA854" i="12"/>
  <c r="AZ854" i="12"/>
  <c r="AY854" i="12"/>
  <c r="AX854" i="12"/>
  <c r="BI853" i="12"/>
  <c r="BG853" i="12"/>
  <c r="BF853" i="12"/>
  <c r="BE853" i="12"/>
  <c r="BD853" i="12"/>
  <c r="BC853" i="12"/>
  <c r="BB853" i="12"/>
  <c r="BA853" i="12"/>
  <c r="AZ853" i="12"/>
  <c r="AY853" i="12"/>
  <c r="AX853" i="12"/>
  <c r="BI852" i="12"/>
  <c r="BG852" i="12"/>
  <c r="BF852" i="12"/>
  <c r="BE852" i="12"/>
  <c r="BD852" i="12"/>
  <c r="BC852" i="12"/>
  <c r="BB852" i="12"/>
  <c r="BA852" i="12"/>
  <c r="AZ852" i="12"/>
  <c r="AY852" i="12"/>
  <c r="AX852" i="12"/>
  <c r="BI851" i="12"/>
  <c r="BG851" i="12"/>
  <c r="BF851" i="12"/>
  <c r="BE851" i="12"/>
  <c r="BD851" i="12"/>
  <c r="BC851" i="12"/>
  <c r="BB851" i="12"/>
  <c r="BA851" i="12"/>
  <c r="AZ851" i="12"/>
  <c r="AY851" i="12"/>
  <c r="AX851" i="12"/>
  <c r="BI850" i="12"/>
  <c r="BG850" i="12"/>
  <c r="BF850" i="12"/>
  <c r="BE850" i="12"/>
  <c r="BD850" i="12"/>
  <c r="BC850" i="12"/>
  <c r="BB850" i="12"/>
  <c r="BA850" i="12"/>
  <c r="AZ850" i="12"/>
  <c r="AY850" i="12"/>
  <c r="AX850" i="12"/>
  <c r="BI849" i="12"/>
  <c r="BG849" i="12"/>
  <c r="BF849" i="12"/>
  <c r="BE849" i="12"/>
  <c r="BD849" i="12"/>
  <c r="BC849" i="12"/>
  <c r="BB849" i="12"/>
  <c r="BA849" i="12"/>
  <c r="AZ849" i="12"/>
  <c r="AY849" i="12"/>
  <c r="AX849" i="12"/>
  <c r="BI848" i="12"/>
  <c r="BG848" i="12"/>
  <c r="BF848" i="12"/>
  <c r="BE848" i="12"/>
  <c r="BD848" i="12"/>
  <c r="BC848" i="12"/>
  <c r="BB848" i="12"/>
  <c r="BA848" i="12"/>
  <c r="AZ848" i="12"/>
  <c r="AY848" i="12"/>
  <c r="AX848" i="12"/>
  <c r="BI847" i="12"/>
  <c r="BG847" i="12"/>
  <c r="BF847" i="12"/>
  <c r="BE847" i="12"/>
  <c r="BD847" i="12"/>
  <c r="BC847" i="12"/>
  <c r="BB847" i="12"/>
  <c r="BA847" i="12"/>
  <c r="AZ847" i="12"/>
  <c r="AY847" i="12"/>
  <c r="AX847" i="12"/>
  <c r="BI846" i="12"/>
  <c r="BG846" i="12"/>
  <c r="BF846" i="12"/>
  <c r="BE846" i="12"/>
  <c r="BD846" i="12"/>
  <c r="BC846" i="12"/>
  <c r="BB846" i="12"/>
  <c r="BA846" i="12"/>
  <c r="AZ846" i="12"/>
  <c r="AY846" i="12"/>
  <c r="AX846" i="12"/>
  <c r="BI845" i="12"/>
  <c r="BG845" i="12"/>
  <c r="BF845" i="12"/>
  <c r="BE845" i="12"/>
  <c r="BD845" i="12"/>
  <c r="BC845" i="12"/>
  <c r="BB845" i="12"/>
  <c r="BA845" i="12"/>
  <c r="AZ845" i="12"/>
  <c r="AY845" i="12"/>
  <c r="AX845" i="12"/>
  <c r="BI844" i="12"/>
  <c r="BG844" i="12"/>
  <c r="BF844" i="12"/>
  <c r="BE844" i="12"/>
  <c r="BD844" i="12"/>
  <c r="BC844" i="12"/>
  <c r="BB844" i="12"/>
  <c r="BA844" i="12"/>
  <c r="AZ844" i="12"/>
  <c r="AY844" i="12"/>
  <c r="AX844" i="12"/>
  <c r="BI843" i="12"/>
  <c r="BG843" i="12"/>
  <c r="BF843" i="12"/>
  <c r="BE843" i="12"/>
  <c r="BD843" i="12"/>
  <c r="BC843" i="12"/>
  <c r="BB843" i="12"/>
  <c r="BA843" i="12"/>
  <c r="AZ843" i="12"/>
  <c r="AY843" i="12"/>
  <c r="AX843" i="12"/>
  <c r="BI842" i="12"/>
  <c r="BG842" i="12"/>
  <c r="BF842" i="12"/>
  <c r="BE842" i="12"/>
  <c r="BD842" i="12"/>
  <c r="BC842" i="12"/>
  <c r="BB842" i="12"/>
  <c r="BA842" i="12"/>
  <c r="AZ842" i="12"/>
  <c r="AY842" i="12"/>
  <c r="AX842" i="12"/>
  <c r="BI841" i="12"/>
  <c r="BG841" i="12"/>
  <c r="BF841" i="12"/>
  <c r="BE841" i="12"/>
  <c r="BD841" i="12"/>
  <c r="BC841" i="12"/>
  <c r="BB841" i="12"/>
  <c r="BA841" i="12"/>
  <c r="AZ841" i="12"/>
  <c r="AY841" i="12"/>
  <c r="AX841" i="12"/>
  <c r="BI840" i="12"/>
  <c r="BG840" i="12"/>
  <c r="BF840" i="12"/>
  <c r="BE840" i="12"/>
  <c r="BD840" i="12"/>
  <c r="BC840" i="12"/>
  <c r="BB840" i="12"/>
  <c r="BA840" i="12"/>
  <c r="AZ840" i="12"/>
  <c r="AY840" i="12"/>
  <c r="AX840" i="12"/>
  <c r="BI839" i="12"/>
  <c r="BG839" i="12"/>
  <c r="BF839" i="12"/>
  <c r="BE839" i="12"/>
  <c r="BD839" i="12"/>
  <c r="BC839" i="12"/>
  <c r="BB839" i="12"/>
  <c r="BA839" i="12"/>
  <c r="AZ839" i="12"/>
  <c r="AY839" i="12"/>
  <c r="AX839" i="12"/>
  <c r="BI838" i="12"/>
  <c r="BG838" i="12"/>
  <c r="BF838" i="12"/>
  <c r="BE838" i="12"/>
  <c r="BD838" i="12"/>
  <c r="BC838" i="12"/>
  <c r="BB838" i="12"/>
  <c r="BA838" i="12"/>
  <c r="AZ838" i="12"/>
  <c r="AY838" i="12"/>
  <c r="AX838" i="12"/>
  <c r="BI837" i="12"/>
  <c r="BG837" i="12"/>
  <c r="BF837" i="12"/>
  <c r="BE837" i="12"/>
  <c r="BD837" i="12"/>
  <c r="BC837" i="12"/>
  <c r="BB837" i="12"/>
  <c r="BA837" i="12"/>
  <c r="AZ837" i="12"/>
  <c r="AY837" i="12"/>
  <c r="AX837" i="12"/>
  <c r="BI836" i="12"/>
  <c r="BG836" i="12"/>
  <c r="BF836" i="12"/>
  <c r="BE836" i="12"/>
  <c r="BD836" i="12"/>
  <c r="BC836" i="12"/>
  <c r="BB836" i="12"/>
  <c r="BA836" i="12"/>
  <c r="AZ836" i="12"/>
  <c r="AY836" i="12"/>
  <c r="AX836" i="12"/>
  <c r="BI835" i="12"/>
  <c r="BG835" i="12"/>
  <c r="BF835" i="12"/>
  <c r="BE835" i="12"/>
  <c r="BD835" i="12"/>
  <c r="BC835" i="12"/>
  <c r="BB835" i="12"/>
  <c r="BA835" i="12"/>
  <c r="AZ835" i="12"/>
  <c r="AY835" i="12"/>
  <c r="AX835" i="12"/>
  <c r="BI834" i="12"/>
  <c r="BG834" i="12"/>
  <c r="BF834" i="12"/>
  <c r="BE834" i="12"/>
  <c r="BD834" i="12"/>
  <c r="BC834" i="12"/>
  <c r="BB834" i="12"/>
  <c r="BA834" i="12"/>
  <c r="AZ834" i="12"/>
  <c r="AY834" i="12"/>
  <c r="AX834" i="12"/>
  <c r="BI833" i="12"/>
  <c r="BG833" i="12"/>
  <c r="BF833" i="12"/>
  <c r="BE833" i="12"/>
  <c r="BD833" i="12"/>
  <c r="BC833" i="12"/>
  <c r="BB833" i="12"/>
  <c r="BA833" i="12"/>
  <c r="AZ833" i="12"/>
  <c r="AY833" i="12"/>
  <c r="AX833" i="12"/>
  <c r="BI832" i="12"/>
  <c r="BG832" i="12"/>
  <c r="BF832" i="12"/>
  <c r="BE832" i="12"/>
  <c r="BD832" i="12"/>
  <c r="BC832" i="12"/>
  <c r="BB832" i="12"/>
  <c r="BA832" i="12"/>
  <c r="AZ832" i="12"/>
  <c r="AY832" i="12"/>
  <c r="AX832" i="12"/>
  <c r="BI831" i="12"/>
  <c r="BG831" i="12"/>
  <c r="BF831" i="12"/>
  <c r="BE831" i="12"/>
  <c r="BD831" i="12"/>
  <c r="BC831" i="12"/>
  <c r="BB831" i="12"/>
  <c r="BA831" i="12"/>
  <c r="AZ831" i="12"/>
  <c r="AY831" i="12"/>
  <c r="AX831" i="12"/>
  <c r="BI830" i="12"/>
  <c r="BG830" i="12"/>
  <c r="BF830" i="12"/>
  <c r="BE830" i="12"/>
  <c r="BD830" i="12"/>
  <c r="BC830" i="12"/>
  <c r="BB830" i="12"/>
  <c r="BA830" i="12"/>
  <c r="AZ830" i="12"/>
  <c r="AY830" i="12"/>
  <c r="AX830" i="12"/>
  <c r="BI829" i="12"/>
  <c r="BG829" i="12"/>
  <c r="BF829" i="12"/>
  <c r="BE829" i="12"/>
  <c r="BD829" i="12"/>
  <c r="BC829" i="12"/>
  <c r="BB829" i="12"/>
  <c r="BA829" i="12"/>
  <c r="AZ829" i="12"/>
  <c r="AY829" i="12"/>
  <c r="AX829" i="12"/>
  <c r="BI828" i="12"/>
  <c r="BG828" i="12"/>
  <c r="BF828" i="12"/>
  <c r="BE828" i="12"/>
  <c r="BD828" i="12"/>
  <c r="BC828" i="12"/>
  <c r="BB828" i="12"/>
  <c r="BA828" i="12"/>
  <c r="AZ828" i="12"/>
  <c r="AY828" i="12"/>
  <c r="AX828" i="12"/>
  <c r="BI827" i="12"/>
  <c r="BG827" i="12"/>
  <c r="BF827" i="12"/>
  <c r="BE827" i="12"/>
  <c r="BD827" i="12"/>
  <c r="BC827" i="12"/>
  <c r="BB827" i="12"/>
  <c r="BA827" i="12"/>
  <c r="AZ827" i="12"/>
  <c r="AY827" i="12"/>
  <c r="AX827" i="12"/>
  <c r="BI826" i="12"/>
  <c r="BG826" i="12"/>
  <c r="BF826" i="12"/>
  <c r="BE826" i="12"/>
  <c r="BD826" i="12"/>
  <c r="BC826" i="12"/>
  <c r="BB826" i="12"/>
  <c r="BA826" i="12"/>
  <c r="AZ826" i="12"/>
  <c r="AY826" i="12"/>
  <c r="AX826" i="12"/>
  <c r="BI825" i="12"/>
  <c r="BG825" i="12"/>
  <c r="BF825" i="12"/>
  <c r="BE825" i="12"/>
  <c r="BD825" i="12"/>
  <c r="BC825" i="12"/>
  <c r="BB825" i="12"/>
  <c r="BA825" i="12"/>
  <c r="AZ825" i="12"/>
  <c r="AY825" i="12"/>
  <c r="AX825" i="12"/>
  <c r="BI824" i="12"/>
  <c r="BG824" i="12"/>
  <c r="BF824" i="12"/>
  <c r="BE824" i="12"/>
  <c r="BD824" i="12"/>
  <c r="BC824" i="12"/>
  <c r="BB824" i="12"/>
  <c r="BA824" i="12"/>
  <c r="AZ824" i="12"/>
  <c r="AY824" i="12"/>
  <c r="AX824" i="12"/>
  <c r="BI823" i="12"/>
  <c r="BG823" i="12"/>
  <c r="BF823" i="12"/>
  <c r="BE823" i="12"/>
  <c r="BD823" i="12"/>
  <c r="BC823" i="12"/>
  <c r="BB823" i="12"/>
  <c r="BA823" i="12"/>
  <c r="AZ823" i="12"/>
  <c r="AY823" i="12"/>
  <c r="AX823" i="12"/>
  <c r="BI822" i="12"/>
  <c r="BG822" i="12"/>
  <c r="BF822" i="12"/>
  <c r="BE822" i="12"/>
  <c r="BD822" i="12"/>
  <c r="BC822" i="12"/>
  <c r="BB822" i="12"/>
  <c r="BA822" i="12"/>
  <c r="AZ822" i="12"/>
  <c r="AY822" i="12"/>
  <c r="AX822" i="12"/>
  <c r="BI821" i="12"/>
  <c r="BG821" i="12"/>
  <c r="BF821" i="12"/>
  <c r="BE821" i="12"/>
  <c r="BD821" i="12"/>
  <c r="BC821" i="12"/>
  <c r="BB821" i="12"/>
  <c r="BA821" i="12"/>
  <c r="AZ821" i="12"/>
  <c r="AY821" i="12"/>
  <c r="AX821" i="12"/>
  <c r="BI820" i="12"/>
  <c r="BG820" i="12"/>
  <c r="BF820" i="12"/>
  <c r="BE820" i="12"/>
  <c r="BD820" i="12"/>
  <c r="BC820" i="12"/>
  <c r="BB820" i="12"/>
  <c r="BA820" i="12"/>
  <c r="AZ820" i="12"/>
  <c r="AY820" i="12"/>
  <c r="AX820" i="12"/>
  <c r="BI819" i="12"/>
  <c r="BG819" i="12"/>
  <c r="BF819" i="12"/>
  <c r="BE819" i="12"/>
  <c r="BD819" i="12"/>
  <c r="BC819" i="12"/>
  <c r="BB819" i="12"/>
  <c r="BA819" i="12"/>
  <c r="AZ819" i="12"/>
  <c r="AY819" i="12"/>
  <c r="AX819" i="12"/>
  <c r="BI818" i="12"/>
  <c r="BG818" i="12"/>
  <c r="BF818" i="12"/>
  <c r="BE818" i="12"/>
  <c r="BD818" i="12"/>
  <c r="BC818" i="12"/>
  <c r="BB818" i="12"/>
  <c r="BA818" i="12"/>
  <c r="AZ818" i="12"/>
  <c r="AY818" i="12"/>
  <c r="AX818" i="12"/>
  <c r="BI817" i="12"/>
  <c r="BG817" i="12"/>
  <c r="BF817" i="12"/>
  <c r="BE817" i="12"/>
  <c r="BD817" i="12"/>
  <c r="BC817" i="12"/>
  <c r="BB817" i="12"/>
  <c r="BA817" i="12"/>
  <c r="AZ817" i="12"/>
  <c r="AY817" i="12"/>
  <c r="AX817" i="12"/>
  <c r="BI816" i="12"/>
  <c r="BG816" i="12"/>
  <c r="BF816" i="12"/>
  <c r="BE816" i="12"/>
  <c r="BD816" i="12"/>
  <c r="BC816" i="12"/>
  <c r="BB816" i="12"/>
  <c r="BA816" i="12"/>
  <c r="AZ816" i="12"/>
  <c r="AY816" i="12"/>
  <c r="AX816" i="12"/>
  <c r="BI815" i="12"/>
  <c r="BG815" i="12"/>
  <c r="BF815" i="12"/>
  <c r="BE815" i="12"/>
  <c r="BD815" i="12"/>
  <c r="BC815" i="12"/>
  <c r="BB815" i="12"/>
  <c r="BA815" i="12"/>
  <c r="AZ815" i="12"/>
  <c r="AY815" i="12"/>
  <c r="AX815" i="12"/>
  <c r="BI814" i="12"/>
  <c r="BG814" i="12"/>
  <c r="BF814" i="12"/>
  <c r="BE814" i="12"/>
  <c r="BD814" i="12"/>
  <c r="BC814" i="12"/>
  <c r="BB814" i="12"/>
  <c r="BA814" i="12"/>
  <c r="AZ814" i="12"/>
  <c r="AY814" i="12"/>
  <c r="AX814" i="12"/>
  <c r="BI813" i="12"/>
  <c r="BG813" i="12"/>
  <c r="BF813" i="12"/>
  <c r="BE813" i="12"/>
  <c r="BD813" i="12"/>
  <c r="BC813" i="12"/>
  <c r="BB813" i="12"/>
  <c r="BA813" i="12"/>
  <c r="AZ813" i="12"/>
  <c r="AY813" i="12"/>
  <c r="AX813" i="12"/>
  <c r="BI812" i="12"/>
  <c r="BG812" i="12"/>
  <c r="BF812" i="12"/>
  <c r="BE812" i="12"/>
  <c r="BD812" i="12"/>
  <c r="BC812" i="12"/>
  <c r="BB812" i="12"/>
  <c r="BA812" i="12"/>
  <c r="AZ812" i="12"/>
  <c r="AY812" i="12"/>
  <c r="AX812" i="12"/>
  <c r="BI811" i="12"/>
  <c r="BG811" i="12"/>
  <c r="BF811" i="12"/>
  <c r="BE811" i="12"/>
  <c r="BD811" i="12"/>
  <c r="BC811" i="12"/>
  <c r="BB811" i="12"/>
  <c r="BA811" i="12"/>
  <c r="AZ811" i="12"/>
  <c r="AY811" i="12"/>
  <c r="AX811" i="12"/>
  <c r="BI810" i="12"/>
  <c r="BG810" i="12"/>
  <c r="BF810" i="12"/>
  <c r="BE810" i="12"/>
  <c r="BD810" i="12"/>
  <c r="BC810" i="12"/>
  <c r="BB810" i="12"/>
  <c r="BA810" i="12"/>
  <c r="AZ810" i="12"/>
  <c r="AY810" i="12"/>
  <c r="AX810" i="12"/>
  <c r="BI809" i="12"/>
  <c r="BG809" i="12"/>
  <c r="BF809" i="12"/>
  <c r="BE809" i="12"/>
  <c r="BD809" i="12"/>
  <c r="BC809" i="12"/>
  <c r="BB809" i="12"/>
  <c r="BA809" i="12"/>
  <c r="AZ809" i="12"/>
  <c r="AY809" i="12"/>
  <c r="AX809" i="12"/>
  <c r="BI808" i="12"/>
  <c r="BG808" i="12"/>
  <c r="BF808" i="12"/>
  <c r="BE808" i="12"/>
  <c r="BD808" i="12"/>
  <c r="BC808" i="12"/>
  <c r="BB808" i="12"/>
  <c r="BA808" i="12"/>
  <c r="AZ808" i="12"/>
  <c r="AY808" i="12"/>
  <c r="AX808" i="12"/>
  <c r="BI807" i="12"/>
  <c r="BG807" i="12"/>
  <c r="BF807" i="12"/>
  <c r="BE807" i="12"/>
  <c r="BD807" i="12"/>
  <c r="BC807" i="12"/>
  <c r="BB807" i="12"/>
  <c r="BA807" i="12"/>
  <c r="AZ807" i="12"/>
  <c r="AY807" i="12"/>
  <c r="AX807" i="12"/>
  <c r="BI806" i="12"/>
  <c r="BG806" i="12"/>
  <c r="BF806" i="12"/>
  <c r="BE806" i="12"/>
  <c r="BD806" i="12"/>
  <c r="BC806" i="12"/>
  <c r="BB806" i="12"/>
  <c r="BA806" i="12"/>
  <c r="AZ806" i="12"/>
  <c r="AY806" i="12"/>
  <c r="AX806" i="12"/>
  <c r="BI805" i="12"/>
  <c r="BG805" i="12"/>
  <c r="BF805" i="12"/>
  <c r="BE805" i="12"/>
  <c r="BD805" i="12"/>
  <c r="BC805" i="12"/>
  <c r="BB805" i="12"/>
  <c r="BA805" i="12"/>
  <c r="AZ805" i="12"/>
  <c r="AY805" i="12"/>
  <c r="AX805" i="12"/>
  <c r="BI804" i="12"/>
  <c r="BG804" i="12"/>
  <c r="BF804" i="12"/>
  <c r="BE804" i="12"/>
  <c r="BD804" i="12"/>
  <c r="BC804" i="12"/>
  <c r="BB804" i="12"/>
  <c r="BA804" i="12"/>
  <c r="AZ804" i="12"/>
  <c r="AY804" i="12"/>
  <c r="AX804" i="12"/>
  <c r="BI803" i="12"/>
  <c r="BG803" i="12"/>
  <c r="BF803" i="12"/>
  <c r="BE803" i="12"/>
  <c r="BD803" i="12"/>
  <c r="BC803" i="12"/>
  <c r="BB803" i="12"/>
  <c r="BA803" i="12"/>
  <c r="AZ803" i="12"/>
  <c r="AY803" i="12"/>
  <c r="AX803" i="12"/>
  <c r="BI802" i="12"/>
  <c r="BG802" i="12"/>
  <c r="BF802" i="12"/>
  <c r="BE802" i="12"/>
  <c r="BD802" i="12"/>
  <c r="BC802" i="12"/>
  <c r="BB802" i="12"/>
  <c r="BA802" i="12"/>
  <c r="AZ802" i="12"/>
  <c r="AY802" i="12"/>
  <c r="AX802" i="12"/>
  <c r="BI801" i="12"/>
  <c r="BG801" i="12"/>
  <c r="BF801" i="12"/>
  <c r="BE801" i="12"/>
  <c r="BD801" i="12"/>
  <c r="BC801" i="12"/>
  <c r="BB801" i="12"/>
  <c r="BA801" i="12"/>
  <c r="AZ801" i="12"/>
  <c r="AY801" i="12"/>
  <c r="AX801" i="12"/>
  <c r="BI800" i="12"/>
  <c r="BG800" i="12"/>
  <c r="BF800" i="12"/>
  <c r="BE800" i="12"/>
  <c r="BD800" i="12"/>
  <c r="BC800" i="12"/>
  <c r="BB800" i="12"/>
  <c r="BA800" i="12"/>
  <c r="AZ800" i="12"/>
  <c r="AY800" i="12"/>
  <c r="AX800" i="12"/>
  <c r="BI799" i="12"/>
  <c r="BG799" i="12"/>
  <c r="BF799" i="12"/>
  <c r="BE799" i="12"/>
  <c r="BD799" i="12"/>
  <c r="BC799" i="12"/>
  <c r="BB799" i="12"/>
  <c r="BA799" i="12"/>
  <c r="AZ799" i="12"/>
  <c r="AY799" i="12"/>
  <c r="AX799" i="12"/>
  <c r="BI798" i="12"/>
  <c r="BG798" i="12"/>
  <c r="BF798" i="12"/>
  <c r="BE798" i="12"/>
  <c r="BD798" i="12"/>
  <c r="BC798" i="12"/>
  <c r="BB798" i="12"/>
  <c r="BA798" i="12"/>
  <c r="AZ798" i="12"/>
  <c r="AY798" i="12"/>
  <c r="AX798" i="12"/>
  <c r="BI797" i="12"/>
  <c r="BG797" i="12"/>
  <c r="BF797" i="12"/>
  <c r="BE797" i="12"/>
  <c r="BD797" i="12"/>
  <c r="BC797" i="12"/>
  <c r="BB797" i="12"/>
  <c r="BA797" i="12"/>
  <c r="AZ797" i="12"/>
  <c r="AY797" i="12"/>
  <c r="AX797" i="12"/>
  <c r="BI796" i="12"/>
  <c r="BG796" i="12"/>
  <c r="BF796" i="12"/>
  <c r="BE796" i="12"/>
  <c r="BD796" i="12"/>
  <c r="BC796" i="12"/>
  <c r="BB796" i="12"/>
  <c r="BA796" i="12"/>
  <c r="AZ796" i="12"/>
  <c r="AY796" i="12"/>
  <c r="AX796" i="12"/>
  <c r="BI795" i="12"/>
  <c r="BG795" i="12"/>
  <c r="BF795" i="12"/>
  <c r="BE795" i="12"/>
  <c r="BD795" i="12"/>
  <c r="BC795" i="12"/>
  <c r="BB795" i="12"/>
  <c r="BA795" i="12"/>
  <c r="AZ795" i="12"/>
  <c r="AY795" i="12"/>
  <c r="AX795" i="12"/>
  <c r="BI794" i="12"/>
  <c r="BG794" i="12"/>
  <c r="BF794" i="12"/>
  <c r="BE794" i="12"/>
  <c r="BD794" i="12"/>
  <c r="BC794" i="12"/>
  <c r="BB794" i="12"/>
  <c r="BA794" i="12"/>
  <c r="AZ794" i="12"/>
  <c r="AY794" i="12"/>
  <c r="AX794" i="12"/>
  <c r="BI793" i="12"/>
  <c r="BG793" i="12"/>
  <c r="BF793" i="12"/>
  <c r="BE793" i="12"/>
  <c r="BD793" i="12"/>
  <c r="BC793" i="12"/>
  <c r="BB793" i="12"/>
  <c r="BA793" i="12"/>
  <c r="AZ793" i="12"/>
  <c r="AY793" i="12"/>
  <c r="AX793" i="12"/>
  <c r="BI792" i="12"/>
  <c r="BG792" i="12"/>
  <c r="BF792" i="12"/>
  <c r="BE792" i="12"/>
  <c r="BD792" i="12"/>
  <c r="BC792" i="12"/>
  <c r="BB792" i="12"/>
  <c r="BA792" i="12"/>
  <c r="AZ792" i="12"/>
  <c r="AY792" i="12"/>
  <c r="AX792" i="12"/>
  <c r="BI791" i="12"/>
  <c r="BG791" i="12"/>
  <c r="BF791" i="12"/>
  <c r="BE791" i="12"/>
  <c r="BD791" i="12"/>
  <c r="BC791" i="12"/>
  <c r="BB791" i="12"/>
  <c r="BA791" i="12"/>
  <c r="AZ791" i="12"/>
  <c r="AY791" i="12"/>
  <c r="AX791" i="12"/>
  <c r="BI790" i="12"/>
  <c r="BG790" i="12"/>
  <c r="BF790" i="12"/>
  <c r="BE790" i="12"/>
  <c r="BD790" i="12"/>
  <c r="BC790" i="12"/>
  <c r="BB790" i="12"/>
  <c r="BA790" i="12"/>
  <c r="AZ790" i="12"/>
  <c r="AY790" i="12"/>
  <c r="AX790" i="12"/>
  <c r="BI789" i="12"/>
  <c r="BG789" i="12"/>
  <c r="BF789" i="12"/>
  <c r="BE789" i="12"/>
  <c r="BD789" i="12"/>
  <c r="BC789" i="12"/>
  <c r="BB789" i="12"/>
  <c r="BA789" i="12"/>
  <c r="AZ789" i="12"/>
  <c r="AY789" i="12"/>
  <c r="AX789" i="12"/>
  <c r="BI788" i="12"/>
  <c r="BG788" i="12"/>
  <c r="BF788" i="12"/>
  <c r="BE788" i="12"/>
  <c r="BD788" i="12"/>
  <c r="BC788" i="12"/>
  <c r="BB788" i="12"/>
  <c r="BA788" i="12"/>
  <c r="AZ788" i="12"/>
  <c r="AY788" i="12"/>
  <c r="AX788" i="12"/>
  <c r="BI787" i="12"/>
  <c r="BG787" i="12"/>
  <c r="BF787" i="12"/>
  <c r="BE787" i="12"/>
  <c r="BD787" i="12"/>
  <c r="BC787" i="12"/>
  <c r="BB787" i="12"/>
  <c r="BA787" i="12"/>
  <c r="AZ787" i="12"/>
  <c r="AY787" i="12"/>
  <c r="AX787" i="12"/>
  <c r="BI786" i="12"/>
  <c r="BG786" i="12"/>
  <c r="BF786" i="12"/>
  <c r="BE786" i="12"/>
  <c r="BD786" i="12"/>
  <c r="BC786" i="12"/>
  <c r="BB786" i="12"/>
  <c r="BA786" i="12"/>
  <c r="AZ786" i="12"/>
  <c r="AY786" i="12"/>
  <c r="AX786" i="12"/>
  <c r="BI785" i="12"/>
  <c r="BG785" i="12"/>
  <c r="BF785" i="12"/>
  <c r="BE785" i="12"/>
  <c r="BD785" i="12"/>
  <c r="BC785" i="12"/>
  <c r="BB785" i="12"/>
  <c r="BA785" i="12"/>
  <c r="AZ785" i="12"/>
  <c r="AY785" i="12"/>
  <c r="AX785" i="12"/>
  <c r="BI784" i="12"/>
  <c r="BG784" i="12"/>
  <c r="BF784" i="12"/>
  <c r="BE784" i="12"/>
  <c r="BD784" i="12"/>
  <c r="BC784" i="12"/>
  <c r="BB784" i="12"/>
  <c r="BA784" i="12"/>
  <c r="AZ784" i="12"/>
  <c r="AY784" i="12"/>
  <c r="AX784" i="12"/>
  <c r="BI783" i="12"/>
  <c r="BG783" i="12"/>
  <c r="BF783" i="12"/>
  <c r="BE783" i="12"/>
  <c r="BD783" i="12"/>
  <c r="BC783" i="12"/>
  <c r="BB783" i="12"/>
  <c r="BA783" i="12"/>
  <c r="AZ783" i="12"/>
  <c r="AY783" i="12"/>
  <c r="AX783" i="12"/>
  <c r="BI782" i="12"/>
  <c r="BG782" i="12"/>
  <c r="BF782" i="12"/>
  <c r="BE782" i="12"/>
  <c r="BD782" i="12"/>
  <c r="BC782" i="12"/>
  <c r="BB782" i="12"/>
  <c r="BA782" i="12"/>
  <c r="AZ782" i="12"/>
  <c r="AY782" i="12"/>
  <c r="AX782" i="12"/>
  <c r="BI781" i="12"/>
  <c r="BG781" i="12"/>
  <c r="BF781" i="12"/>
  <c r="BE781" i="12"/>
  <c r="BD781" i="12"/>
  <c r="BC781" i="12"/>
  <c r="BB781" i="12"/>
  <c r="BA781" i="12"/>
  <c r="AZ781" i="12"/>
  <c r="AY781" i="12"/>
  <c r="AX781" i="12"/>
  <c r="BI780" i="12"/>
  <c r="BG780" i="12"/>
  <c r="BF780" i="12"/>
  <c r="BE780" i="12"/>
  <c r="BD780" i="12"/>
  <c r="BC780" i="12"/>
  <c r="BB780" i="12"/>
  <c r="BA780" i="12"/>
  <c r="AZ780" i="12"/>
  <c r="AY780" i="12"/>
  <c r="AX780" i="12"/>
  <c r="BI779" i="12"/>
  <c r="BG779" i="12"/>
  <c r="BF779" i="12"/>
  <c r="BE779" i="12"/>
  <c r="BD779" i="12"/>
  <c r="BC779" i="12"/>
  <c r="BB779" i="12"/>
  <c r="BA779" i="12"/>
  <c r="AZ779" i="12"/>
  <c r="AY779" i="12"/>
  <c r="AX779" i="12"/>
  <c r="BI778" i="12"/>
  <c r="BG778" i="12"/>
  <c r="BF778" i="12"/>
  <c r="BE778" i="12"/>
  <c r="BD778" i="12"/>
  <c r="BC778" i="12"/>
  <c r="BB778" i="12"/>
  <c r="BA778" i="12"/>
  <c r="AZ778" i="12"/>
  <c r="AY778" i="12"/>
  <c r="AX778" i="12"/>
  <c r="BI777" i="12"/>
  <c r="BG777" i="12"/>
  <c r="BF777" i="12"/>
  <c r="BE777" i="12"/>
  <c r="BD777" i="12"/>
  <c r="BC777" i="12"/>
  <c r="BB777" i="12"/>
  <c r="BA777" i="12"/>
  <c r="AZ777" i="12"/>
  <c r="AY777" i="12"/>
  <c r="AX777" i="12"/>
  <c r="BI776" i="12"/>
  <c r="BG776" i="12"/>
  <c r="BF776" i="12"/>
  <c r="BE776" i="12"/>
  <c r="BD776" i="12"/>
  <c r="BC776" i="12"/>
  <c r="BB776" i="12"/>
  <c r="BA776" i="12"/>
  <c r="AZ776" i="12"/>
  <c r="AY776" i="12"/>
  <c r="AX776" i="12"/>
  <c r="BI775" i="12"/>
  <c r="BG775" i="12"/>
  <c r="BF775" i="12"/>
  <c r="BE775" i="12"/>
  <c r="BD775" i="12"/>
  <c r="BC775" i="12"/>
  <c r="BB775" i="12"/>
  <c r="BA775" i="12"/>
  <c r="AZ775" i="12"/>
  <c r="AY775" i="12"/>
  <c r="AX775" i="12"/>
  <c r="BI774" i="12"/>
  <c r="BG774" i="12"/>
  <c r="BF774" i="12"/>
  <c r="BE774" i="12"/>
  <c r="BD774" i="12"/>
  <c r="BC774" i="12"/>
  <c r="BB774" i="12"/>
  <c r="BA774" i="12"/>
  <c r="AZ774" i="12"/>
  <c r="AY774" i="12"/>
  <c r="AX774" i="12"/>
  <c r="BI773" i="12"/>
  <c r="BG773" i="12"/>
  <c r="BF773" i="12"/>
  <c r="BE773" i="12"/>
  <c r="BD773" i="12"/>
  <c r="BC773" i="12"/>
  <c r="BB773" i="12"/>
  <c r="BA773" i="12"/>
  <c r="AZ773" i="12"/>
  <c r="AY773" i="12"/>
  <c r="AX773" i="12"/>
  <c r="BI772" i="12"/>
  <c r="BG772" i="12"/>
  <c r="BF772" i="12"/>
  <c r="BE772" i="12"/>
  <c r="BD772" i="12"/>
  <c r="BC772" i="12"/>
  <c r="BB772" i="12"/>
  <c r="BA772" i="12"/>
  <c r="AZ772" i="12"/>
  <c r="AY772" i="12"/>
  <c r="AX772" i="12"/>
  <c r="BI771" i="12"/>
  <c r="BG771" i="12"/>
  <c r="BF771" i="12"/>
  <c r="BE771" i="12"/>
  <c r="BD771" i="12"/>
  <c r="BC771" i="12"/>
  <c r="BB771" i="12"/>
  <c r="BA771" i="12"/>
  <c r="AZ771" i="12"/>
  <c r="AY771" i="12"/>
  <c r="AX771" i="12"/>
  <c r="BI770" i="12"/>
  <c r="BG770" i="12"/>
  <c r="BF770" i="12"/>
  <c r="BE770" i="12"/>
  <c r="BD770" i="12"/>
  <c r="BC770" i="12"/>
  <c r="BB770" i="12"/>
  <c r="BA770" i="12"/>
  <c r="AZ770" i="12"/>
  <c r="AY770" i="12"/>
  <c r="AX770" i="12"/>
  <c r="BI769" i="12"/>
  <c r="BG769" i="12"/>
  <c r="BF769" i="12"/>
  <c r="BE769" i="12"/>
  <c r="BD769" i="12"/>
  <c r="BC769" i="12"/>
  <c r="BB769" i="12"/>
  <c r="BA769" i="12"/>
  <c r="AZ769" i="12"/>
  <c r="AY769" i="12"/>
  <c r="AX769" i="12"/>
  <c r="BI768" i="12"/>
  <c r="BG768" i="12"/>
  <c r="BF768" i="12"/>
  <c r="BE768" i="12"/>
  <c r="BD768" i="12"/>
  <c r="BC768" i="12"/>
  <c r="BB768" i="12"/>
  <c r="BA768" i="12"/>
  <c r="AZ768" i="12"/>
  <c r="AY768" i="12"/>
  <c r="AX768" i="12"/>
  <c r="BI767" i="12"/>
  <c r="BG767" i="12"/>
  <c r="BF767" i="12"/>
  <c r="BE767" i="12"/>
  <c r="BD767" i="12"/>
  <c r="BC767" i="12"/>
  <c r="BB767" i="12"/>
  <c r="BA767" i="12"/>
  <c r="AZ767" i="12"/>
  <c r="AY767" i="12"/>
  <c r="AX767" i="12"/>
  <c r="BI766" i="12"/>
  <c r="BG766" i="12"/>
  <c r="BF766" i="12"/>
  <c r="BE766" i="12"/>
  <c r="BD766" i="12"/>
  <c r="BC766" i="12"/>
  <c r="BB766" i="12"/>
  <c r="BA766" i="12"/>
  <c r="AZ766" i="12"/>
  <c r="AY766" i="12"/>
  <c r="AX766" i="12"/>
  <c r="BI765" i="12"/>
  <c r="BG765" i="12"/>
  <c r="BF765" i="12"/>
  <c r="BE765" i="12"/>
  <c r="BD765" i="12"/>
  <c r="BC765" i="12"/>
  <c r="BB765" i="12"/>
  <c r="BA765" i="12"/>
  <c r="AZ765" i="12"/>
  <c r="AY765" i="12"/>
  <c r="AX765" i="12"/>
  <c r="BI764" i="12"/>
  <c r="BG764" i="12"/>
  <c r="BF764" i="12"/>
  <c r="BE764" i="12"/>
  <c r="BD764" i="12"/>
  <c r="BC764" i="12"/>
  <c r="BB764" i="12"/>
  <c r="BA764" i="12"/>
  <c r="AZ764" i="12"/>
  <c r="AY764" i="12"/>
  <c r="AX764" i="12"/>
  <c r="BI763" i="12"/>
  <c r="BG763" i="12"/>
  <c r="BF763" i="12"/>
  <c r="BE763" i="12"/>
  <c r="BD763" i="12"/>
  <c r="BC763" i="12"/>
  <c r="BB763" i="12"/>
  <c r="BA763" i="12"/>
  <c r="AZ763" i="12"/>
  <c r="AY763" i="12"/>
  <c r="AX763" i="12"/>
  <c r="BI762" i="12"/>
  <c r="BG762" i="12"/>
  <c r="BF762" i="12"/>
  <c r="BE762" i="12"/>
  <c r="BD762" i="12"/>
  <c r="BC762" i="12"/>
  <c r="BB762" i="12"/>
  <c r="BA762" i="12"/>
  <c r="AZ762" i="12"/>
  <c r="AY762" i="12"/>
  <c r="AX762" i="12"/>
  <c r="BI761" i="12"/>
  <c r="BG761" i="12"/>
  <c r="BF761" i="12"/>
  <c r="BE761" i="12"/>
  <c r="BD761" i="12"/>
  <c r="BC761" i="12"/>
  <c r="BB761" i="12"/>
  <c r="BA761" i="12"/>
  <c r="AZ761" i="12"/>
  <c r="AY761" i="12"/>
  <c r="AX761" i="12"/>
  <c r="BI760" i="12"/>
  <c r="BG760" i="12"/>
  <c r="BF760" i="12"/>
  <c r="BE760" i="12"/>
  <c r="BD760" i="12"/>
  <c r="BC760" i="12"/>
  <c r="BB760" i="12"/>
  <c r="BA760" i="12"/>
  <c r="AZ760" i="12"/>
  <c r="AY760" i="12"/>
  <c r="AX760" i="12"/>
  <c r="BI759" i="12"/>
  <c r="BG759" i="12"/>
  <c r="BF759" i="12"/>
  <c r="BE759" i="12"/>
  <c r="BD759" i="12"/>
  <c r="BC759" i="12"/>
  <c r="BB759" i="12"/>
  <c r="BA759" i="12"/>
  <c r="AZ759" i="12"/>
  <c r="AY759" i="12"/>
  <c r="AX759" i="12"/>
  <c r="BI758" i="12"/>
  <c r="BG758" i="12"/>
  <c r="BF758" i="12"/>
  <c r="BE758" i="12"/>
  <c r="BD758" i="12"/>
  <c r="BC758" i="12"/>
  <c r="BB758" i="12"/>
  <c r="BA758" i="12"/>
  <c r="AZ758" i="12"/>
  <c r="AY758" i="12"/>
  <c r="AX758" i="12"/>
  <c r="BI757" i="12"/>
  <c r="BG757" i="12"/>
  <c r="BF757" i="12"/>
  <c r="BE757" i="12"/>
  <c r="BD757" i="12"/>
  <c r="BC757" i="12"/>
  <c r="BB757" i="12"/>
  <c r="BA757" i="12"/>
  <c r="AZ757" i="12"/>
  <c r="AY757" i="12"/>
  <c r="AX757" i="12"/>
  <c r="BI756" i="12"/>
  <c r="BG756" i="12"/>
  <c r="BF756" i="12"/>
  <c r="BE756" i="12"/>
  <c r="BD756" i="12"/>
  <c r="BC756" i="12"/>
  <c r="BB756" i="12"/>
  <c r="BA756" i="12"/>
  <c r="AZ756" i="12"/>
  <c r="AY756" i="12"/>
  <c r="AX756" i="12"/>
  <c r="BI755" i="12"/>
  <c r="BG755" i="12"/>
  <c r="BF755" i="12"/>
  <c r="BE755" i="12"/>
  <c r="BD755" i="12"/>
  <c r="BC755" i="12"/>
  <c r="BB755" i="12"/>
  <c r="BA755" i="12"/>
  <c r="AZ755" i="12"/>
  <c r="AY755" i="12"/>
  <c r="AX755" i="12"/>
  <c r="BI754" i="12"/>
  <c r="BG754" i="12"/>
  <c r="BF754" i="12"/>
  <c r="BE754" i="12"/>
  <c r="BD754" i="12"/>
  <c r="BC754" i="12"/>
  <c r="BB754" i="12"/>
  <c r="BA754" i="12"/>
  <c r="AZ754" i="12"/>
  <c r="AY754" i="12"/>
  <c r="AX754" i="12"/>
  <c r="BI753" i="12"/>
  <c r="BG753" i="12"/>
  <c r="BF753" i="12"/>
  <c r="BE753" i="12"/>
  <c r="BD753" i="12"/>
  <c r="BC753" i="12"/>
  <c r="BB753" i="12"/>
  <c r="BA753" i="12"/>
  <c r="AZ753" i="12"/>
  <c r="AY753" i="12"/>
  <c r="AX753" i="12"/>
  <c r="BI752" i="12"/>
  <c r="BG752" i="12"/>
  <c r="BF752" i="12"/>
  <c r="BE752" i="12"/>
  <c r="BD752" i="12"/>
  <c r="BC752" i="12"/>
  <c r="BB752" i="12"/>
  <c r="BA752" i="12"/>
  <c r="AZ752" i="12"/>
  <c r="AY752" i="12"/>
  <c r="AX752" i="12"/>
  <c r="BI751" i="12"/>
  <c r="BG751" i="12"/>
  <c r="BF751" i="12"/>
  <c r="BE751" i="12"/>
  <c r="BD751" i="12"/>
  <c r="BC751" i="12"/>
  <c r="BB751" i="12"/>
  <c r="BA751" i="12"/>
  <c r="AZ751" i="12"/>
  <c r="AY751" i="12"/>
  <c r="AX751" i="12"/>
  <c r="BI750" i="12"/>
  <c r="BG750" i="12"/>
  <c r="BF750" i="12"/>
  <c r="BE750" i="12"/>
  <c r="BD750" i="12"/>
  <c r="BC750" i="12"/>
  <c r="BB750" i="12"/>
  <c r="BA750" i="12"/>
  <c r="AZ750" i="12"/>
  <c r="AY750" i="12"/>
  <c r="AX750" i="12"/>
  <c r="BI749" i="12"/>
  <c r="BG749" i="12"/>
  <c r="BF749" i="12"/>
  <c r="BE749" i="12"/>
  <c r="BD749" i="12"/>
  <c r="BC749" i="12"/>
  <c r="BB749" i="12"/>
  <c r="BA749" i="12"/>
  <c r="AZ749" i="12"/>
  <c r="AY749" i="12"/>
  <c r="AX749" i="12"/>
  <c r="BI748" i="12"/>
  <c r="BG748" i="12"/>
  <c r="BF748" i="12"/>
  <c r="BE748" i="12"/>
  <c r="BD748" i="12"/>
  <c r="BC748" i="12"/>
  <c r="BB748" i="12"/>
  <c r="BA748" i="12"/>
  <c r="AZ748" i="12"/>
  <c r="AY748" i="12"/>
  <c r="AX748" i="12"/>
  <c r="BI747" i="12"/>
  <c r="BG747" i="12"/>
  <c r="BF747" i="12"/>
  <c r="BE747" i="12"/>
  <c r="BD747" i="12"/>
  <c r="BC747" i="12"/>
  <c r="BB747" i="12"/>
  <c r="BA747" i="12"/>
  <c r="AZ747" i="12"/>
  <c r="AY747" i="12"/>
  <c r="AX747" i="12"/>
  <c r="BI746" i="12"/>
  <c r="BG746" i="12"/>
  <c r="BF746" i="12"/>
  <c r="BE746" i="12"/>
  <c r="BD746" i="12"/>
  <c r="BC746" i="12"/>
  <c r="BB746" i="12"/>
  <c r="BA746" i="12"/>
  <c r="AZ746" i="12"/>
  <c r="AY746" i="12"/>
  <c r="AX746" i="12"/>
  <c r="BI745" i="12"/>
  <c r="BG745" i="12"/>
  <c r="BF745" i="12"/>
  <c r="BE745" i="12"/>
  <c r="BD745" i="12"/>
  <c r="BC745" i="12"/>
  <c r="BB745" i="12"/>
  <c r="BA745" i="12"/>
  <c r="AZ745" i="12"/>
  <c r="AY745" i="12"/>
  <c r="AX745" i="12"/>
  <c r="BI744" i="12"/>
  <c r="BG744" i="12"/>
  <c r="BF744" i="12"/>
  <c r="BE744" i="12"/>
  <c r="BD744" i="12"/>
  <c r="BC744" i="12"/>
  <c r="BB744" i="12"/>
  <c r="BA744" i="12"/>
  <c r="AZ744" i="12"/>
  <c r="AY744" i="12"/>
  <c r="AX744" i="12"/>
  <c r="BI743" i="12"/>
  <c r="BG743" i="12"/>
  <c r="BF743" i="12"/>
  <c r="BE743" i="12"/>
  <c r="BD743" i="12"/>
  <c r="BC743" i="12"/>
  <c r="BB743" i="12"/>
  <c r="BA743" i="12"/>
  <c r="AZ743" i="12"/>
  <c r="AY743" i="12"/>
  <c r="AX743" i="12"/>
  <c r="BI742" i="12"/>
  <c r="BG742" i="12"/>
  <c r="BF742" i="12"/>
  <c r="BE742" i="12"/>
  <c r="BD742" i="12"/>
  <c r="BC742" i="12"/>
  <c r="BB742" i="12"/>
  <c r="BA742" i="12"/>
  <c r="AZ742" i="12"/>
  <c r="AY742" i="12"/>
  <c r="AX742" i="12"/>
  <c r="BI741" i="12"/>
  <c r="BG741" i="12"/>
  <c r="BF741" i="12"/>
  <c r="BE741" i="12"/>
  <c r="BD741" i="12"/>
  <c r="BC741" i="12"/>
  <c r="BB741" i="12"/>
  <c r="BA741" i="12"/>
  <c r="AZ741" i="12"/>
  <c r="AY741" i="12"/>
  <c r="AX741" i="12"/>
  <c r="BI740" i="12"/>
  <c r="BG740" i="12"/>
  <c r="BF740" i="12"/>
  <c r="BE740" i="12"/>
  <c r="BD740" i="12"/>
  <c r="BC740" i="12"/>
  <c r="BB740" i="12"/>
  <c r="BA740" i="12"/>
  <c r="AZ740" i="12"/>
  <c r="AY740" i="12"/>
  <c r="AX740" i="12"/>
  <c r="BI739" i="12"/>
  <c r="BG739" i="12"/>
  <c r="BF739" i="12"/>
  <c r="BE739" i="12"/>
  <c r="BD739" i="12"/>
  <c r="BC739" i="12"/>
  <c r="BB739" i="12"/>
  <c r="BA739" i="12"/>
  <c r="AZ739" i="12"/>
  <c r="AY739" i="12"/>
  <c r="AX739" i="12"/>
  <c r="BI738" i="12"/>
  <c r="BG738" i="12"/>
  <c r="BF738" i="12"/>
  <c r="BE738" i="12"/>
  <c r="BD738" i="12"/>
  <c r="BC738" i="12"/>
  <c r="BB738" i="12"/>
  <c r="BA738" i="12"/>
  <c r="AZ738" i="12"/>
  <c r="AY738" i="12"/>
  <c r="AX738" i="12"/>
  <c r="BI737" i="12"/>
  <c r="BG737" i="12"/>
  <c r="BF737" i="12"/>
  <c r="BE737" i="12"/>
  <c r="BD737" i="12"/>
  <c r="BC737" i="12"/>
  <c r="BB737" i="12"/>
  <c r="BA737" i="12"/>
  <c r="AZ737" i="12"/>
  <c r="AY737" i="12"/>
  <c r="AX737" i="12"/>
  <c r="BI736" i="12"/>
  <c r="BG736" i="12"/>
  <c r="BF736" i="12"/>
  <c r="BE736" i="12"/>
  <c r="BD736" i="12"/>
  <c r="BC736" i="12"/>
  <c r="BB736" i="12"/>
  <c r="BA736" i="12"/>
  <c r="AZ736" i="12"/>
  <c r="AY736" i="12"/>
  <c r="AX736" i="12"/>
  <c r="BI735" i="12"/>
  <c r="BG735" i="12"/>
  <c r="BF735" i="12"/>
  <c r="BE735" i="12"/>
  <c r="BD735" i="12"/>
  <c r="BC735" i="12"/>
  <c r="BB735" i="12"/>
  <c r="BA735" i="12"/>
  <c r="AZ735" i="12"/>
  <c r="AY735" i="12"/>
  <c r="AX735" i="12"/>
  <c r="BI734" i="12"/>
  <c r="BG734" i="12"/>
  <c r="BF734" i="12"/>
  <c r="BE734" i="12"/>
  <c r="BD734" i="12"/>
  <c r="BC734" i="12"/>
  <c r="BB734" i="12"/>
  <c r="BA734" i="12"/>
  <c r="AZ734" i="12"/>
  <c r="AY734" i="12"/>
  <c r="AX734" i="12"/>
  <c r="BI733" i="12"/>
  <c r="BG733" i="12"/>
  <c r="BF733" i="12"/>
  <c r="BE733" i="12"/>
  <c r="BD733" i="12"/>
  <c r="BC733" i="12"/>
  <c r="BB733" i="12"/>
  <c r="BA733" i="12"/>
  <c r="AZ733" i="12"/>
  <c r="AY733" i="12"/>
  <c r="AX733" i="12"/>
  <c r="BI732" i="12"/>
  <c r="BG732" i="12"/>
  <c r="BF732" i="12"/>
  <c r="BE732" i="12"/>
  <c r="BD732" i="12"/>
  <c r="BC732" i="12"/>
  <c r="BB732" i="12"/>
  <c r="BA732" i="12"/>
  <c r="AZ732" i="12"/>
  <c r="AY732" i="12"/>
  <c r="AX732" i="12"/>
  <c r="BI731" i="12"/>
  <c r="BG731" i="12"/>
  <c r="BF731" i="12"/>
  <c r="BE731" i="12"/>
  <c r="BD731" i="12"/>
  <c r="BC731" i="12"/>
  <c r="BB731" i="12"/>
  <c r="BA731" i="12"/>
  <c r="AZ731" i="12"/>
  <c r="AY731" i="12"/>
  <c r="AX731" i="12"/>
  <c r="BI730" i="12"/>
  <c r="BG730" i="12"/>
  <c r="BF730" i="12"/>
  <c r="BE730" i="12"/>
  <c r="BD730" i="12"/>
  <c r="BC730" i="12"/>
  <c r="BB730" i="12"/>
  <c r="BA730" i="12"/>
  <c r="AZ730" i="12"/>
  <c r="AY730" i="12"/>
  <c r="AX730" i="12"/>
  <c r="BI729" i="12"/>
  <c r="BG729" i="12"/>
  <c r="BF729" i="12"/>
  <c r="BE729" i="12"/>
  <c r="BD729" i="12"/>
  <c r="BC729" i="12"/>
  <c r="BB729" i="12"/>
  <c r="BA729" i="12"/>
  <c r="AZ729" i="12"/>
  <c r="AY729" i="12"/>
  <c r="AX729" i="12"/>
  <c r="BI728" i="12"/>
  <c r="BG728" i="12"/>
  <c r="BF728" i="12"/>
  <c r="BE728" i="12"/>
  <c r="BD728" i="12"/>
  <c r="BC728" i="12"/>
  <c r="BB728" i="12"/>
  <c r="BA728" i="12"/>
  <c r="AZ728" i="12"/>
  <c r="AY728" i="12"/>
  <c r="AX728" i="12"/>
  <c r="BI727" i="12"/>
  <c r="BG727" i="12"/>
  <c r="BF727" i="12"/>
  <c r="BE727" i="12"/>
  <c r="BD727" i="12"/>
  <c r="BC727" i="12"/>
  <c r="BB727" i="12"/>
  <c r="BA727" i="12"/>
  <c r="AZ727" i="12"/>
  <c r="AY727" i="12"/>
  <c r="AX727" i="12"/>
  <c r="BI726" i="12"/>
  <c r="BG726" i="12"/>
  <c r="BF726" i="12"/>
  <c r="BE726" i="12"/>
  <c r="BD726" i="12"/>
  <c r="BC726" i="12"/>
  <c r="BB726" i="12"/>
  <c r="BA726" i="12"/>
  <c r="AZ726" i="12"/>
  <c r="AY726" i="12"/>
  <c r="AX726" i="12"/>
  <c r="BI725" i="12"/>
  <c r="BG725" i="12"/>
  <c r="BF725" i="12"/>
  <c r="BE725" i="12"/>
  <c r="BD725" i="12"/>
  <c r="BC725" i="12"/>
  <c r="BB725" i="12"/>
  <c r="BA725" i="12"/>
  <c r="AZ725" i="12"/>
  <c r="AY725" i="12"/>
  <c r="AX725" i="12"/>
  <c r="BI724" i="12"/>
  <c r="BG724" i="12"/>
  <c r="BF724" i="12"/>
  <c r="BE724" i="12"/>
  <c r="BD724" i="12"/>
  <c r="BC724" i="12"/>
  <c r="BB724" i="12"/>
  <c r="BA724" i="12"/>
  <c r="AZ724" i="12"/>
  <c r="AY724" i="12"/>
  <c r="AX724" i="12"/>
  <c r="BI723" i="12"/>
  <c r="BG723" i="12"/>
  <c r="BF723" i="12"/>
  <c r="BE723" i="12"/>
  <c r="BD723" i="12"/>
  <c r="BC723" i="12"/>
  <c r="BB723" i="12"/>
  <c r="BA723" i="12"/>
  <c r="AZ723" i="12"/>
  <c r="AY723" i="12"/>
  <c r="AX723" i="12"/>
  <c r="BI722" i="12"/>
  <c r="BG722" i="12"/>
  <c r="BF722" i="12"/>
  <c r="BE722" i="12"/>
  <c r="BD722" i="12"/>
  <c r="BC722" i="12"/>
  <c r="BB722" i="12"/>
  <c r="BA722" i="12"/>
  <c r="AZ722" i="12"/>
  <c r="AY722" i="12"/>
  <c r="AX722" i="12"/>
  <c r="BI721" i="12"/>
  <c r="BG721" i="12"/>
  <c r="BF721" i="12"/>
  <c r="BE721" i="12"/>
  <c r="BD721" i="12"/>
  <c r="BC721" i="12"/>
  <c r="BB721" i="12"/>
  <c r="BA721" i="12"/>
  <c r="AZ721" i="12"/>
  <c r="AY721" i="12"/>
  <c r="AX721" i="12"/>
  <c r="BI720" i="12"/>
  <c r="BG720" i="12"/>
  <c r="BF720" i="12"/>
  <c r="BE720" i="12"/>
  <c r="BD720" i="12"/>
  <c r="BC720" i="12"/>
  <c r="BB720" i="12"/>
  <c r="BA720" i="12"/>
  <c r="AZ720" i="12"/>
  <c r="AY720" i="12"/>
  <c r="AX720" i="12"/>
  <c r="BI719" i="12"/>
  <c r="BG719" i="12"/>
  <c r="BF719" i="12"/>
  <c r="BE719" i="12"/>
  <c r="BD719" i="12"/>
  <c r="BC719" i="12"/>
  <c r="BB719" i="12"/>
  <c r="BA719" i="12"/>
  <c r="AZ719" i="12"/>
  <c r="AY719" i="12"/>
  <c r="AX719" i="12"/>
  <c r="BI718" i="12"/>
  <c r="BG718" i="12"/>
  <c r="BF718" i="12"/>
  <c r="BE718" i="12"/>
  <c r="BD718" i="12"/>
  <c r="BC718" i="12"/>
  <c r="BB718" i="12"/>
  <c r="BA718" i="12"/>
  <c r="AZ718" i="12"/>
  <c r="AY718" i="12"/>
  <c r="AX718" i="12"/>
  <c r="BI717" i="12"/>
  <c r="BG717" i="12"/>
  <c r="BF717" i="12"/>
  <c r="BE717" i="12"/>
  <c r="BD717" i="12"/>
  <c r="BC717" i="12"/>
  <c r="BB717" i="12"/>
  <c r="BA717" i="12"/>
  <c r="AZ717" i="12"/>
  <c r="AY717" i="12"/>
  <c r="AX717" i="12"/>
  <c r="BI716" i="12"/>
  <c r="BG716" i="12"/>
  <c r="BF716" i="12"/>
  <c r="BE716" i="12"/>
  <c r="BD716" i="12"/>
  <c r="BC716" i="12"/>
  <c r="BB716" i="12"/>
  <c r="BA716" i="12"/>
  <c r="AZ716" i="12"/>
  <c r="AY716" i="12"/>
  <c r="AX716" i="12"/>
  <c r="BI715" i="12"/>
  <c r="BG715" i="12"/>
  <c r="BF715" i="12"/>
  <c r="BE715" i="12"/>
  <c r="BD715" i="12"/>
  <c r="BC715" i="12"/>
  <c r="BB715" i="12"/>
  <c r="BA715" i="12"/>
  <c r="AZ715" i="12"/>
  <c r="AY715" i="12"/>
  <c r="AX715" i="12"/>
  <c r="BI714" i="12"/>
  <c r="BG714" i="12"/>
  <c r="BF714" i="12"/>
  <c r="BE714" i="12"/>
  <c r="BD714" i="12"/>
  <c r="BC714" i="12"/>
  <c r="BB714" i="12"/>
  <c r="BA714" i="12"/>
  <c r="AZ714" i="12"/>
  <c r="AY714" i="12"/>
  <c r="AX714" i="12"/>
  <c r="BI713" i="12"/>
  <c r="BG713" i="12"/>
  <c r="BF713" i="12"/>
  <c r="BE713" i="12"/>
  <c r="BD713" i="12"/>
  <c r="BC713" i="12"/>
  <c r="BB713" i="12"/>
  <c r="BA713" i="12"/>
  <c r="AZ713" i="12"/>
  <c r="AY713" i="12"/>
  <c r="AX713" i="12"/>
  <c r="BI712" i="12"/>
  <c r="BG712" i="12"/>
  <c r="BF712" i="12"/>
  <c r="BE712" i="12"/>
  <c r="BD712" i="12"/>
  <c r="BC712" i="12"/>
  <c r="BB712" i="12"/>
  <c r="BA712" i="12"/>
  <c r="AZ712" i="12"/>
  <c r="AY712" i="12"/>
  <c r="AX712" i="12"/>
  <c r="BI711" i="12"/>
  <c r="BG711" i="12"/>
  <c r="BF711" i="12"/>
  <c r="BE711" i="12"/>
  <c r="BD711" i="12"/>
  <c r="BC711" i="12"/>
  <c r="BB711" i="12"/>
  <c r="BA711" i="12"/>
  <c r="AZ711" i="12"/>
  <c r="AY711" i="12"/>
  <c r="AX711" i="12"/>
  <c r="BI710" i="12"/>
  <c r="BG710" i="12"/>
  <c r="BF710" i="12"/>
  <c r="BE710" i="12"/>
  <c r="BD710" i="12"/>
  <c r="BC710" i="12"/>
  <c r="BB710" i="12"/>
  <c r="BA710" i="12"/>
  <c r="AZ710" i="12"/>
  <c r="AY710" i="12"/>
  <c r="AX710" i="12"/>
  <c r="BI709" i="12"/>
  <c r="BG709" i="12"/>
  <c r="BF709" i="12"/>
  <c r="BE709" i="12"/>
  <c r="BD709" i="12"/>
  <c r="BC709" i="12"/>
  <c r="BB709" i="12"/>
  <c r="BA709" i="12"/>
  <c r="AZ709" i="12"/>
  <c r="AY709" i="12"/>
  <c r="AX709" i="12"/>
  <c r="BI708" i="12"/>
  <c r="BG708" i="12"/>
  <c r="BF708" i="12"/>
  <c r="BE708" i="12"/>
  <c r="BD708" i="12"/>
  <c r="BC708" i="12"/>
  <c r="BB708" i="12"/>
  <c r="BA708" i="12"/>
  <c r="AZ708" i="12"/>
  <c r="AY708" i="12"/>
  <c r="AX708" i="12"/>
  <c r="BI707" i="12"/>
  <c r="BG707" i="12"/>
  <c r="BF707" i="12"/>
  <c r="BE707" i="12"/>
  <c r="BD707" i="12"/>
  <c r="BC707" i="12"/>
  <c r="BB707" i="12"/>
  <c r="BA707" i="12"/>
  <c r="AZ707" i="12"/>
  <c r="AY707" i="12"/>
  <c r="AX707" i="12"/>
  <c r="BI706" i="12"/>
  <c r="BG706" i="12"/>
  <c r="BF706" i="12"/>
  <c r="BE706" i="12"/>
  <c r="BD706" i="12"/>
  <c r="BC706" i="12"/>
  <c r="BB706" i="12"/>
  <c r="BA706" i="12"/>
  <c r="AZ706" i="12"/>
  <c r="AY706" i="12"/>
  <c r="AX706" i="12"/>
  <c r="BI705" i="12"/>
  <c r="BG705" i="12"/>
  <c r="BF705" i="12"/>
  <c r="BE705" i="12"/>
  <c r="BD705" i="12"/>
  <c r="BC705" i="12"/>
  <c r="BB705" i="12"/>
  <c r="BA705" i="12"/>
  <c r="AZ705" i="12"/>
  <c r="AY705" i="12"/>
  <c r="AX705" i="12"/>
  <c r="BI704" i="12"/>
  <c r="BG704" i="12"/>
  <c r="BF704" i="12"/>
  <c r="BE704" i="12"/>
  <c r="BD704" i="12"/>
  <c r="BC704" i="12"/>
  <c r="BB704" i="12"/>
  <c r="BA704" i="12"/>
  <c r="AZ704" i="12"/>
  <c r="AY704" i="12"/>
  <c r="AX704" i="12"/>
  <c r="BI703" i="12"/>
  <c r="BG703" i="12"/>
  <c r="BF703" i="12"/>
  <c r="BE703" i="12"/>
  <c r="BD703" i="12"/>
  <c r="BC703" i="12"/>
  <c r="BB703" i="12"/>
  <c r="BA703" i="12"/>
  <c r="AZ703" i="12"/>
  <c r="AY703" i="12"/>
  <c r="AX703" i="12"/>
  <c r="BI702" i="12"/>
  <c r="BG702" i="12"/>
  <c r="BF702" i="12"/>
  <c r="BE702" i="12"/>
  <c r="BD702" i="12"/>
  <c r="BC702" i="12"/>
  <c r="BB702" i="12"/>
  <c r="BA702" i="12"/>
  <c r="AZ702" i="12"/>
  <c r="AY702" i="12"/>
  <c r="AX702" i="12"/>
  <c r="BI701" i="12"/>
  <c r="BG701" i="12"/>
  <c r="BF701" i="12"/>
  <c r="BE701" i="12"/>
  <c r="BD701" i="12"/>
  <c r="BC701" i="12"/>
  <c r="BB701" i="12"/>
  <c r="BA701" i="12"/>
  <c r="AZ701" i="12"/>
  <c r="AY701" i="12"/>
  <c r="AX701" i="12"/>
  <c r="BI700" i="12"/>
  <c r="BG700" i="12"/>
  <c r="BF700" i="12"/>
  <c r="BE700" i="12"/>
  <c r="BD700" i="12"/>
  <c r="BC700" i="12"/>
  <c r="BB700" i="12"/>
  <c r="BA700" i="12"/>
  <c r="AZ700" i="12"/>
  <c r="AY700" i="12"/>
  <c r="AX700" i="12"/>
  <c r="BI699" i="12"/>
  <c r="BG699" i="12"/>
  <c r="BF699" i="12"/>
  <c r="BE699" i="12"/>
  <c r="BD699" i="12"/>
  <c r="BC699" i="12"/>
  <c r="BB699" i="12"/>
  <c r="BA699" i="12"/>
  <c r="AZ699" i="12"/>
  <c r="AY699" i="12"/>
  <c r="AX699" i="12"/>
  <c r="BI698" i="12"/>
  <c r="BG698" i="12"/>
  <c r="BF698" i="12"/>
  <c r="BE698" i="12"/>
  <c r="BD698" i="12"/>
  <c r="BC698" i="12"/>
  <c r="BB698" i="12"/>
  <c r="BA698" i="12"/>
  <c r="AZ698" i="12"/>
  <c r="AY698" i="12"/>
  <c r="AX698" i="12"/>
  <c r="BI697" i="12"/>
  <c r="BG697" i="12"/>
  <c r="BF697" i="12"/>
  <c r="BE697" i="12"/>
  <c r="BD697" i="12"/>
  <c r="BC697" i="12"/>
  <c r="BB697" i="12"/>
  <c r="BA697" i="12"/>
  <c r="AZ697" i="12"/>
  <c r="AY697" i="12"/>
  <c r="AX697" i="12"/>
  <c r="BI696" i="12"/>
  <c r="BG696" i="12"/>
  <c r="BF696" i="12"/>
  <c r="BE696" i="12"/>
  <c r="BD696" i="12"/>
  <c r="BC696" i="12"/>
  <c r="BB696" i="12"/>
  <c r="BA696" i="12"/>
  <c r="AZ696" i="12"/>
  <c r="AY696" i="12"/>
  <c r="AX696" i="12"/>
  <c r="BI695" i="12"/>
  <c r="BG695" i="12"/>
  <c r="BF695" i="12"/>
  <c r="BE695" i="12"/>
  <c r="BD695" i="12"/>
  <c r="BC695" i="12"/>
  <c r="BB695" i="12"/>
  <c r="BA695" i="12"/>
  <c r="AZ695" i="12"/>
  <c r="AY695" i="12"/>
  <c r="AX695" i="12"/>
  <c r="BI694" i="12"/>
  <c r="BG694" i="12"/>
  <c r="BF694" i="12"/>
  <c r="BE694" i="12"/>
  <c r="BD694" i="12"/>
  <c r="BC694" i="12"/>
  <c r="BB694" i="12"/>
  <c r="BA694" i="12"/>
  <c r="AZ694" i="12"/>
  <c r="AY694" i="12"/>
  <c r="AX694" i="12"/>
  <c r="BI693" i="12"/>
  <c r="BG693" i="12"/>
  <c r="BF693" i="12"/>
  <c r="BE693" i="12"/>
  <c r="BD693" i="12"/>
  <c r="BC693" i="12"/>
  <c r="BB693" i="12"/>
  <c r="BA693" i="12"/>
  <c r="AZ693" i="12"/>
  <c r="AY693" i="12"/>
  <c r="AX693" i="12"/>
  <c r="BI692" i="12"/>
  <c r="BG692" i="12"/>
  <c r="BF692" i="12"/>
  <c r="BE692" i="12"/>
  <c r="BD692" i="12"/>
  <c r="BC692" i="12"/>
  <c r="BB692" i="12"/>
  <c r="BA692" i="12"/>
  <c r="AZ692" i="12"/>
  <c r="AY692" i="12"/>
  <c r="AX692" i="12"/>
  <c r="BI691" i="12"/>
  <c r="BG691" i="12"/>
  <c r="BF691" i="12"/>
  <c r="BE691" i="12"/>
  <c r="BD691" i="12"/>
  <c r="BC691" i="12"/>
  <c r="BB691" i="12"/>
  <c r="BA691" i="12"/>
  <c r="AZ691" i="12"/>
  <c r="AY691" i="12"/>
  <c r="AX691" i="12"/>
  <c r="BI690" i="12"/>
  <c r="BG690" i="12"/>
  <c r="BF690" i="12"/>
  <c r="BE690" i="12"/>
  <c r="BD690" i="12"/>
  <c r="BC690" i="12"/>
  <c r="BB690" i="12"/>
  <c r="BA690" i="12"/>
  <c r="AZ690" i="12"/>
  <c r="AY690" i="12"/>
  <c r="AX690" i="12"/>
  <c r="BI689" i="12"/>
  <c r="BG689" i="12"/>
  <c r="BF689" i="12"/>
  <c r="BE689" i="12"/>
  <c r="BD689" i="12"/>
  <c r="BC689" i="12"/>
  <c r="BB689" i="12"/>
  <c r="BA689" i="12"/>
  <c r="AZ689" i="12"/>
  <c r="AY689" i="12"/>
  <c r="AX689" i="12"/>
  <c r="BI688" i="12"/>
  <c r="BG688" i="12"/>
  <c r="BF688" i="12"/>
  <c r="BE688" i="12"/>
  <c r="BD688" i="12"/>
  <c r="BC688" i="12"/>
  <c r="BB688" i="12"/>
  <c r="BA688" i="12"/>
  <c r="AZ688" i="12"/>
  <c r="AY688" i="12"/>
  <c r="AX688" i="12"/>
  <c r="BI687" i="12"/>
  <c r="BG687" i="12"/>
  <c r="BF687" i="12"/>
  <c r="BE687" i="12"/>
  <c r="BD687" i="12"/>
  <c r="BC687" i="12"/>
  <c r="BB687" i="12"/>
  <c r="BA687" i="12"/>
  <c r="AZ687" i="12"/>
  <c r="AY687" i="12"/>
  <c r="AX687" i="12"/>
  <c r="BI686" i="12"/>
  <c r="BG686" i="12"/>
  <c r="BF686" i="12"/>
  <c r="BE686" i="12"/>
  <c r="BD686" i="12"/>
  <c r="BC686" i="12"/>
  <c r="BB686" i="12"/>
  <c r="BA686" i="12"/>
  <c r="AZ686" i="12"/>
  <c r="AY686" i="12"/>
  <c r="AX686" i="12"/>
  <c r="BI685" i="12"/>
  <c r="BG685" i="12"/>
  <c r="BF685" i="12"/>
  <c r="BE685" i="12"/>
  <c r="BD685" i="12"/>
  <c r="BC685" i="12"/>
  <c r="BB685" i="12"/>
  <c r="BA685" i="12"/>
  <c r="AZ685" i="12"/>
  <c r="AY685" i="12"/>
  <c r="AX685" i="12"/>
  <c r="BI684" i="12"/>
  <c r="BG684" i="12"/>
  <c r="BF684" i="12"/>
  <c r="BE684" i="12"/>
  <c r="BD684" i="12"/>
  <c r="BC684" i="12"/>
  <c r="BB684" i="12"/>
  <c r="BA684" i="12"/>
  <c r="AZ684" i="12"/>
  <c r="AY684" i="12"/>
  <c r="AX684" i="12"/>
  <c r="BI683" i="12"/>
  <c r="BG683" i="12"/>
  <c r="BF683" i="12"/>
  <c r="BE683" i="12"/>
  <c r="BD683" i="12"/>
  <c r="BC683" i="12"/>
  <c r="BB683" i="12"/>
  <c r="BA683" i="12"/>
  <c r="AZ683" i="12"/>
  <c r="AY683" i="12"/>
  <c r="AX683" i="12"/>
  <c r="BI682" i="12"/>
  <c r="BG682" i="12"/>
  <c r="BF682" i="12"/>
  <c r="BE682" i="12"/>
  <c r="BD682" i="12"/>
  <c r="BC682" i="12"/>
  <c r="BB682" i="12"/>
  <c r="BA682" i="12"/>
  <c r="AZ682" i="12"/>
  <c r="AY682" i="12"/>
  <c r="AX682" i="12"/>
  <c r="BI681" i="12"/>
  <c r="BG681" i="12"/>
  <c r="BF681" i="12"/>
  <c r="BE681" i="12"/>
  <c r="BD681" i="12"/>
  <c r="BC681" i="12"/>
  <c r="BB681" i="12"/>
  <c r="BA681" i="12"/>
  <c r="AZ681" i="12"/>
  <c r="AY681" i="12"/>
  <c r="AX681" i="12"/>
  <c r="BI680" i="12"/>
  <c r="BG680" i="12"/>
  <c r="BF680" i="12"/>
  <c r="BE680" i="12"/>
  <c r="BD680" i="12"/>
  <c r="BC680" i="12"/>
  <c r="BB680" i="12"/>
  <c r="BA680" i="12"/>
  <c r="AZ680" i="12"/>
  <c r="AY680" i="12"/>
  <c r="AX680" i="12"/>
  <c r="BI679" i="12"/>
  <c r="BG679" i="12"/>
  <c r="BF679" i="12"/>
  <c r="BE679" i="12"/>
  <c r="BD679" i="12"/>
  <c r="BC679" i="12"/>
  <c r="BB679" i="12"/>
  <c r="BA679" i="12"/>
  <c r="AZ679" i="12"/>
  <c r="AY679" i="12"/>
  <c r="AX679" i="12"/>
  <c r="BI678" i="12"/>
  <c r="BG678" i="12"/>
  <c r="BF678" i="12"/>
  <c r="BE678" i="12"/>
  <c r="BD678" i="12"/>
  <c r="BC678" i="12"/>
  <c r="BB678" i="12"/>
  <c r="BA678" i="12"/>
  <c r="AZ678" i="12"/>
  <c r="AY678" i="12"/>
  <c r="AX678" i="12"/>
  <c r="BI677" i="12"/>
  <c r="BG677" i="12"/>
  <c r="BF677" i="12"/>
  <c r="BE677" i="12"/>
  <c r="BD677" i="12"/>
  <c r="BC677" i="12"/>
  <c r="BB677" i="12"/>
  <c r="BA677" i="12"/>
  <c r="AZ677" i="12"/>
  <c r="AY677" i="12"/>
  <c r="AX677" i="12"/>
  <c r="BI676" i="12"/>
  <c r="BG676" i="12"/>
  <c r="BF676" i="12"/>
  <c r="BE676" i="12"/>
  <c r="BD676" i="12"/>
  <c r="BC676" i="12"/>
  <c r="BB676" i="12"/>
  <c r="BA676" i="12"/>
  <c r="AZ676" i="12"/>
  <c r="AY676" i="12"/>
  <c r="AX676" i="12"/>
  <c r="BI675" i="12"/>
  <c r="BG675" i="12"/>
  <c r="BF675" i="12"/>
  <c r="BE675" i="12"/>
  <c r="BD675" i="12"/>
  <c r="BC675" i="12"/>
  <c r="BB675" i="12"/>
  <c r="BA675" i="12"/>
  <c r="AZ675" i="12"/>
  <c r="AY675" i="12"/>
  <c r="AX675" i="12"/>
  <c r="BI674" i="12"/>
  <c r="BG674" i="12"/>
  <c r="BF674" i="12"/>
  <c r="BE674" i="12"/>
  <c r="BD674" i="12"/>
  <c r="BC674" i="12"/>
  <c r="BB674" i="12"/>
  <c r="BA674" i="12"/>
  <c r="AZ674" i="12"/>
  <c r="AY674" i="12"/>
  <c r="AX674" i="12"/>
  <c r="BI673" i="12"/>
  <c r="BG673" i="12"/>
  <c r="BF673" i="12"/>
  <c r="BE673" i="12"/>
  <c r="BD673" i="12"/>
  <c r="BC673" i="12"/>
  <c r="BB673" i="12"/>
  <c r="BA673" i="12"/>
  <c r="AZ673" i="12"/>
  <c r="AY673" i="12"/>
  <c r="AX673" i="12"/>
  <c r="BI672" i="12"/>
  <c r="BG672" i="12"/>
  <c r="BF672" i="12"/>
  <c r="BE672" i="12"/>
  <c r="BD672" i="12"/>
  <c r="BC672" i="12"/>
  <c r="BB672" i="12"/>
  <c r="BA672" i="12"/>
  <c r="AZ672" i="12"/>
  <c r="AY672" i="12"/>
  <c r="AX672" i="12"/>
  <c r="BI671" i="12"/>
  <c r="BG671" i="12"/>
  <c r="BF671" i="12"/>
  <c r="BE671" i="12"/>
  <c r="BD671" i="12"/>
  <c r="BC671" i="12"/>
  <c r="BB671" i="12"/>
  <c r="BA671" i="12"/>
  <c r="AZ671" i="12"/>
  <c r="AY671" i="12"/>
  <c r="AX671" i="12"/>
  <c r="BI670" i="12"/>
  <c r="BG670" i="12"/>
  <c r="BF670" i="12"/>
  <c r="BE670" i="12"/>
  <c r="BD670" i="12"/>
  <c r="BC670" i="12"/>
  <c r="BB670" i="12"/>
  <c r="BA670" i="12"/>
  <c r="AZ670" i="12"/>
  <c r="AY670" i="12"/>
  <c r="AX670" i="12"/>
  <c r="BI669" i="12"/>
  <c r="BG669" i="12"/>
  <c r="BF669" i="12"/>
  <c r="BE669" i="12"/>
  <c r="BD669" i="12"/>
  <c r="BC669" i="12"/>
  <c r="BB669" i="12"/>
  <c r="BA669" i="12"/>
  <c r="AZ669" i="12"/>
  <c r="AY669" i="12"/>
  <c r="AX669" i="12"/>
  <c r="BI668" i="12"/>
  <c r="BG668" i="12"/>
  <c r="BF668" i="12"/>
  <c r="BE668" i="12"/>
  <c r="BD668" i="12"/>
  <c r="BC668" i="12"/>
  <c r="BB668" i="12"/>
  <c r="BA668" i="12"/>
  <c r="AZ668" i="12"/>
  <c r="AY668" i="12"/>
  <c r="AX668" i="12"/>
  <c r="BI667" i="12"/>
  <c r="BG667" i="12"/>
  <c r="BF667" i="12"/>
  <c r="BE667" i="12"/>
  <c r="BD667" i="12"/>
  <c r="BC667" i="12"/>
  <c r="BB667" i="12"/>
  <c r="BA667" i="12"/>
  <c r="AZ667" i="12"/>
  <c r="AY667" i="12"/>
  <c r="AX667" i="12"/>
  <c r="BI666" i="12"/>
  <c r="BG666" i="12"/>
  <c r="BF666" i="12"/>
  <c r="BE666" i="12"/>
  <c r="BD666" i="12"/>
  <c r="BC666" i="12"/>
  <c r="BB666" i="12"/>
  <c r="BA666" i="12"/>
  <c r="AZ666" i="12"/>
  <c r="AY666" i="12"/>
  <c r="AX666" i="12"/>
  <c r="BI665" i="12"/>
  <c r="BG665" i="12"/>
  <c r="BF665" i="12"/>
  <c r="BE665" i="12"/>
  <c r="BD665" i="12"/>
  <c r="BC665" i="12"/>
  <c r="BB665" i="12"/>
  <c r="BA665" i="12"/>
  <c r="AZ665" i="12"/>
  <c r="AY665" i="12"/>
  <c r="AX665" i="12"/>
  <c r="BI664" i="12"/>
  <c r="BG664" i="12"/>
  <c r="BF664" i="12"/>
  <c r="BE664" i="12"/>
  <c r="BD664" i="12"/>
  <c r="BC664" i="12"/>
  <c r="BB664" i="12"/>
  <c r="BA664" i="12"/>
  <c r="AZ664" i="12"/>
  <c r="AY664" i="12"/>
  <c r="AX664" i="12"/>
  <c r="BI663" i="12"/>
  <c r="BG663" i="12"/>
  <c r="BF663" i="12"/>
  <c r="BE663" i="12"/>
  <c r="BD663" i="12"/>
  <c r="BC663" i="12"/>
  <c r="BB663" i="12"/>
  <c r="BA663" i="12"/>
  <c r="AZ663" i="12"/>
  <c r="AY663" i="12"/>
  <c r="AX663" i="12"/>
  <c r="BI662" i="12"/>
  <c r="BG662" i="12"/>
  <c r="BF662" i="12"/>
  <c r="BE662" i="12"/>
  <c r="BD662" i="12"/>
  <c r="BC662" i="12"/>
  <c r="BB662" i="12"/>
  <c r="BA662" i="12"/>
  <c r="AZ662" i="12"/>
  <c r="AY662" i="12"/>
  <c r="AX662" i="12"/>
  <c r="BI661" i="12"/>
  <c r="BG661" i="12"/>
  <c r="BF661" i="12"/>
  <c r="BE661" i="12"/>
  <c r="BD661" i="12"/>
  <c r="BC661" i="12"/>
  <c r="BB661" i="12"/>
  <c r="BA661" i="12"/>
  <c r="AZ661" i="12"/>
  <c r="AY661" i="12"/>
  <c r="AX661" i="12"/>
  <c r="BI660" i="12"/>
  <c r="BG660" i="12"/>
  <c r="BF660" i="12"/>
  <c r="BE660" i="12"/>
  <c r="BD660" i="12"/>
  <c r="BC660" i="12"/>
  <c r="BB660" i="12"/>
  <c r="BA660" i="12"/>
  <c r="AZ660" i="12"/>
  <c r="AY660" i="12"/>
  <c r="AX660" i="12"/>
  <c r="BI659" i="12"/>
  <c r="BG659" i="12"/>
  <c r="BF659" i="12"/>
  <c r="BE659" i="12"/>
  <c r="BD659" i="12"/>
  <c r="BC659" i="12"/>
  <c r="BB659" i="12"/>
  <c r="BA659" i="12"/>
  <c r="AZ659" i="12"/>
  <c r="AY659" i="12"/>
  <c r="AX659" i="12"/>
  <c r="BI658" i="12"/>
  <c r="BG658" i="12"/>
  <c r="BF658" i="12"/>
  <c r="BE658" i="12"/>
  <c r="BD658" i="12"/>
  <c r="BC658" i="12"/>
  <c r="BB658" i="12"/>
  <c r="BA658" i="12"/>
  <c r="AZ658" i="12"/>
  <c r="AY658" i="12"/>
  <c r="AX658" i="12"/>
  <c r="BI657" i="12"/>
  <c r="BG657" i="12"/>
  <c r="BF657" i="12"/>
  <c r="BE657" i="12"/>
  <c r="BD657" i="12"/>
  <c r="BC657" i="12"/>
  <c r="BB657" i="12"/>
  <c r="BA657" i="12"/>
  <c r="AZ657" i="12"/>
  <c r="AY657" i="12"/>
  <c r="AX657" i="12"/>
  <c r="BI656" i="12"/>
  <c r="BG656" i="12"/>
  <c r="BF656" i="12"/>
  <c r="BE656" i="12"/>
  <c r="BD656" i="12"/>
  <c r="BC656" i="12"/>
  <c r="BB656" i="12"/>
  <c r="BA656" i="12"/>
  <c r="AZ656" i="12"/>
  <c r="AY656" i="12"/>
  <c r="AX656" i="12"/>
  <c r="BI655" i="12"/>
  <c r="BG655" i="12"/>
  <c r="BF655" i="12"/>
  <c r="BE655" i="12"/>
  <c r="BD655" i="12"/>
  <c r="BC655" i="12"/>
  <c r="BB655" i="12"/>
  <c r="BA655" i="12"/>
  <c r="AZ655" i="12"/>
  <c r="AY655" i="12"/>
  <c r="AX655" i="12"/>
  <c r="BI654" i="12"/>
  <c r="BG654" i="12"/>
  <c r="BF654" i="12"/>
  <c r="BE654" i="12"/>
  <c r="BD654" i="12"/>
  <c r="BC654" i="12"/>
  <c r="BB654" i="12"/>
  <c r="BA654" i="12"/>
  <c r="AZ654" i="12"/>
  <c r="AY654" i="12"/>
  <c r="AX654" i="12"/>
  <c r="BI653" i="12"/>
  <c r="BG653" i="12"/>
  <c r="BF653" i="12"/>
  <c r="BE653" i="12"/>
  <c r="BD653" i="12"/>
  <c r="BC653" i="12"/>
  <c r="BB653" i="12"/>
  <c r="BA653" i="12"/>
  <c r="AZ653" i="12"/>
  <c r="AY653" i="12"/>
  <c r="AX653" i="12"/>
  <c r="BI652" i="12"/>
  <c r="BG652" i="12"/>
  <c r="BF652" i="12"/>
  <c r="BE652" i="12"/>
  <c r="BD652" i="12"/>
  <c r="BC652" i="12"/>
  <c r="BB652" i="12"/>
  <c r="BA652" i="12"/>
  <c r="AZ652" i="12"/>
  <c r="AY652" i="12"/>
  <c r="AX652" i="12"/>
  <c r="BI651" i="12"/>
  <c r="BG651" i="12"/>
  <c r="BF651" i="12"/>
  <c r="BE651" i="12"/>
  <c r="BD651" i="12"/>
  <c r="BC651" i="12"/>
  <c r="BB651" i="12"/>
  <c r="BA651" i="12"/>
  <c r="AZ651" i="12"/>
  <c r="AY651" i="12"/>
  <c r="AX651" i="12"/>
  <c r="BI650" i="12"/>
  <c r="BG650" i="12"/>
  <c r="BF650" i="12"/>
  <c r="BE650" i="12"/>
  <c r="BD650" i="12"/>
  <c r="BC650" i="12"/>
  <c r="BB650" i="12"/>
  <c r="BA650" i="12"/>
  <c r="AZ650" i="12"/>
  <c r="AY650" i="12"/>
  <c r="AX650" i="12"/>
  <c r="BI649" i="12"/>
  <c r="BG649" i="12"/>
  <c r="BF649" i="12"/>
  <c r="BE649" i="12"/>
  <c r="BD649" i="12"/>
  <c r="BC649" i="12"/>
  <c r="BB649" i="12"/>
  <c r="BA649" i="12"/>
  <c r="AZ649" i="12"/>
  <c r="AY649" i="12"/>
  <c r="AX649" i="12"/>
  <c r="BI648" i="12"/>
  <c r="BG648" i="12"/>
  <c r="BF648" i="12"/>
  <c r="BE648" i="12"/>
  <c r="BD648" i="12"/>
  <c r="BC648" i="12"/>
  <c r="BB648" i="12"/>
  <c r="BA648" i="12"/>
  <c r="AZ648" i="12"/>
  <c r="AY648" i="12"/>
  <c r="AX648" i="12"/>
  <c r="BI647" i="12"/>
  <c r="BG647" i="12"/>
  <c r="BF647" i="12"/>
  <c r="BE647" i="12"/>
  <c r="BD647" i="12"/>
  <c r="BC647" i="12"/>
  <c r="BB647" i="12"/>
  <c r="BA647" i="12"/>
  <c r="AZ647" i="12"/>
  <c r="AY647" i="12"/>
  <c r="AX647" i="12"/>
  <c r="BI646" i="12"/>
  <c r="BG646" i="12"/>
  <c r="BF646" i="12"/>
  <c r="BE646" i="12"/>
  <c r="BD646" i="12"/>
  <c r="BC646" i="12"/>
  <c r="BB646" i="12"/>
  <c r="BA646" i="12"/>
  <c r="AZ646" i="12"/>
  <c r="AY646" i="12"/>
  <c r="AX646" i="12"/>
  <c r="BI645" i="12"/>
  <c r="BG645" i="12"/>
  <c r="BF645" i="12"/>
  <c r="BE645" i="12"/>
  <c r="BD645" i="12"/>
  <c r="BC645" i="12"/>
  <c r="BB645" i="12"/>
  <c r="BA645" i="12"/>
  <c r="AZ645" i="12"/>
  <c r="AY645" i="12"/>
  <c r="AX645" i="12"/>
  <c r="BI644" i="12"/>
  <c r="BG644" i="12"/>
  <c r="BF644" i="12"/>
  <c r="BE644" i="12"/>
  <c r="BD644" i="12"/>
  <c r="BC644" i="12"/>
  <c r="BB644" i="12"/>
  <c r="BA644" i="12"/>
  <c r="AZ644" i="12"/>
  <c r="AY644" i="12"/>
  <c r="AX644" i="12"/>
  <c r="BI643" i="12"/>
  <c r="BG643" i="12"/>
  <c r="BF643" i="12"/>
  <c r="BE643" i="12"/>
  <c r="BD643" i="12"/>
  <c r="BC643" i="12"/>
  <c r="BB643" i="12"/>
  <c r="BA643" i="12"/>
  <c r="AZ643" i="12"/>
  <c r="AY643" i="12"/>
  <c r="AX643" i="12"/>
  <c r="BI642" i="12"/>
  <c r="BG642" i="12"/>
  <c r="BF642" i="12"/>
  <c r="BE642" i="12"/>
  <c r="BD642" i="12"/>
  <c r="BC642" i="12"/>
  <c r="BB642" i="12"/>
  <c r="BA642" i="12"/>
  <c r="AZ642" i="12"/>
  <c r="AY642" i="12"/>
  <c r="AX642" i="12"/>
  <c r="BI641" i="12"/>
  <c r="BG641" i="12"/>
  <c r="BF641" i="12"/>
  <c r="BE641" i="12"/>
  <c r="BD641" i="12"/>
  <c r="BC641" i="12"/>
  <c r="BB641" i="12"/>
  <c r="BA641" i="12"/>
  <c r="AZ641" i="12"/>
  <c r="AY641" i="12"/>
  <c r="AX641" i="12"/>
  <c r="BI640" i="12"/>
  <c r="BG640" i="12"/>
  <c r="BF640" i="12"/>
  <c r="BE640" i="12"/>
  <c r="BD640" i="12"/>
  <c r="BC640" i="12"/>
  <c r="BB640" i="12"/>
  <c r="BA640" i="12"/>
  <c r="AZ640" i="12"/>
  <c r="AY640" i="12"/>
  <c r="AX640" i="12"/>
  <c r="BI639" i="12"/>
  <c r="BG639" i="12"/>
  <c r="BF639" i="12"/>
  <c r="BE639" i="12"/>
  <c r="BD639" i="12"/>
  <c r="BC639" i="12"/>
  <c r="BB639" i="12"/>
  <c r="BA639" i="12"/>
  <c r="AZ639" i="12"/>
  <c r="AY639" i="12"/>
  <c r="AX639" i="12"/>
  <c r="BI638" i="12"/>
  <c r="BG638" i="12"/>
  <c r="BF638" i="12"/>
  <c r="BE638" i="12"/>
  <c r="BD638" i="12"/>
  <c r="BC638" i="12"/>
  <c r="BB638" i="12"/>
  <c r="BA638" i="12"/>
  <c r="AZ638" i="12"/>
  <c r="AY638" i="12"/>
  <c r="AX638" i="12"/>
  <c r="BI637" i="12"/>
  <c r="BG637" i="12"/>
  <c r="BF637" i="12"/>
  <c r="BE637" i="12"/>
  <c r="BD637" i="12"/>
  <c r="BC637" i="12"/>
  <c r="BB637" i="12"/>
  <c r="BA637" i="12"/>
  <c r="AZ637" i="12"/>
  <c r="AY637" i="12"/>
  <c r="AX637" i="12"/>
  <c r="BI636" i="12"/>
  <c r="BG636" i="12"/>
  <c r="BF636" i="12"/>
  <c r="BE636" i="12"/>
  <c r="BD636" i="12"/>
  <c r="BC636" i="12"/>
  <c r="BB636" i="12"/>
  <c r="BA636" i="12"/>
  <c r="AZ636" i="12"/>
  <c r="AY636" i="12"/>
  <c r="AX636" i="12"/>
  <c r="BI635" i="12"/>
  <c r="BG635" i="12"/>
  <c r="BF635" i="12"/>
  <c r="BE635" i="12"/>
  <c r="BD635" i="12"/>
  <c r="BC635" i="12"/>
  <c r="BB635" i="12"/>
  <c r="BA635" i="12"/>
  <c r="AZ635" i="12"/>
  <c r="AY635" i="12"/>
  <c r="AX635" i="12"/>
  <c r="BI634" i="12"/>
  <c r="BG634" i="12"/>
  <c r="BF634" i="12"/>
  <c r="BE634" i="12"/>
  <c r="BD634" i="12"/>
  <c r="BC634" i="12"/>
  <c r="BB634" i="12"/>
  <c r="BA634" i="12"/>
  <c r="AZ634" i="12"/>
  <c r="AY634" i="12"/>
  <c r="AX634" i="12"/>
  <c r="BI633" i="12"/>
  <c r="BG633" i="12"/>
  <c r="BF633" i="12"/>
  <c r="BE633" i="12"/>
  <c r="BD633" i="12"/>
  <c r="BC633" i="12"/>
  <c r="BB633" i="12"/>
  <c r="BA633" i="12"/>
  <c r="AZ633" i="12"/>
  <c r="AY633" i="12"/>
  <c r="AX633" i="12"/>
  <c r="BI632" i="12"/>
  <c r="BG632" i="12"/>
  <c r="BF632" i="12"/>
  <c r="BE632" i="12"/>
  <c r="BD632" i="12"/>
  <c r="BC632" i="12"/>
  <c r="BB632" i="12"/>
  <c r="BA632" i="12"/>
  <c r="AZ632" i="12"/>
  <c r="AY632" i="12"/>
  <c r="AX632" i="12"/>
  <c r="BI631" i="12"/>
  <c r="BG631" i="12"/>
  <c r="BF631" i="12"/>
  <c r="BE631" i="12"/>
  <c r="BD631" i="12"/>
  <c r="BC631" i="12"/>
  <c r="BB631" i="12"/>
  <c r="BA631" i="12"/>
  <c r="AZ631" i="12"/>
  <c r="AY631" i="12"/>
  <c r="AX631" i="12"/>
  <c r="BI630" i="12"/>
  <c r="BG630" i="12"/>
  <c r="BF630" i="12"/>
  <c r="BE630" i="12"/>
  <c r="BD630" i="12"/>
  <c r="BC630" i="12"/>
  <c r="BB630" i="12"/>
  <c r="BA630" i="12"/>
  <c r="AZ630" i="12"/>
  <c r="AY630" i="12"/>
  <c r="AX630" i="12"/>
  <c r="BI629" i="12"/>
  <c r="BG629" i="12"/>
  <c r="BF629" i="12"/>
  <c r="BE629" i="12"/>
  <c r="BD629" i="12"/>
  <c r="BC629" i="12"/>
  <c r="BB629" i="12"/>
  <c r="BA629" i="12"/>
  <c r="AZ629" i="12"/>
  <c r="AY629" i="12"/>
  <c r="AX629" i="12"/>
  <c r="BI628" i="12"/>
  <c r="BG628" i="12"/>
  <c r="BF628" i="12"/>
  <c r="BE628" i="12"/>
  <c r="BD628" i="12"/>
  <c r="BC628" i="12"/>
  <c r="BB628" i="12"/>
  <c r="BA628" i="12"/>
  <c r="AZ628" i="12"/>
  <c r="AY628" i="12"/>
  <c r="AX628" i="12"/>
  <c r="BI627" i="12"/>
  <c r="BG627" i="12"/>
  <c r="BF627" i="12"/>
  <c r="BE627" i="12"/>
  <c r="BD627" i="12"/>
  <c r="BC627" i="12"/>
  <c r="BB627" i="12"/>
  <c r="BA627" i="12"/>
  <c r="AZ627" i="12"/>
  <c r="AY627" i="12"/>
  <c r="AX627" i="12"/>
  <c r="BI626" i="12"/>
  <c r="BG626" i="12"/>
  <c r="BF626" i="12"/>
  <c r="BE626" i="12"/>
  <c r="BD626" i="12"/>
  <c r="BC626" i="12"/>
  <c r="BB626" i="12"/>
  <c r="BA626" i="12"/>
  <c r="AZ626" i="12"/>
  <c r="AY626" i="12"/>
  <c r="AX626" i="12"/>
  <c r="BI625" i="12"/>
  <c r="BG625" i="12"/>
  <c r="BF625" i="12"/>
  <c r="BE625" i="12"/>
  <c r="BD625" i="12"/>
  <c r="BC625" i="12"/>
  <c r="BB625" i="12"/>
  <c r="BA625" i="12"/>
  <c r="AZ625" i="12"/>
  <c r="AY625" i="12"/>
  <c r="AX625" i="12"/>
  <c r="BI624" i="12"/>
  <c r="BG624" i="12"/>
  <c r="BF624" i="12"/>
  <c r="BE624" i="12"/>
  <c r="BD624" i="12"/>
  <c r="BC624" i="12"/>
  <c r="BB624" i="12"/>
  <c r="BA624" i="12"/>
  <c r="AZ624" i="12"/>
  <c r="AY624" i="12"/>
  <c r="AX624" i="12"/>
  <c r="BI623" i="12"/>
  <c r="BG623" i="12"/>
  <c r="BF623" i="12"/>
  <c r="BE623" i="12"/>
  <c r="BD623" i="12"/>
  <c r="BC623" i="12"/>
  <c r="BB623" i="12"/>
  <c r="BA623" i="12"/>
  <c r="AZ623" i="12"/>
  <c r="AY623" i="12"/>
  <c r="AX623" i="12"/>
  <c r="BI622" i="12"/>
  <c r="BG622" i="12"/>
  <c r="BF622" i="12"/>
  <c r="BE622" i="12"/>
  <c r="BD622" i="12"/>
  <c r="BC622" i="12"/>
  <c r="BB622" i="12"/>
  <c r="BA622" i="12"/>
  <c r="AZ622" i="12"/>
  <c r="AY622" i="12"/>
  <c r="AX622" i="12"/>
  <c r="BI621" i="12"/>
  <c r="BG621" i="12"/>
  <c r="BF621" i="12"/>
  <c r="BE621" i="12"/>
  <c r="BD621" i="12"/>
  <c r="BC621" i="12"/>
  <c r="BB621" i="12"/>
  <c r="BA621" i="12"/>
  <c r="AZ621" i="12"/>
  <c r="AY621" i="12"/>
  <c r="AX621" i="12"/>
  <c r="BI620" i="12"/>
  <c r="BG620" i="12"/>
  <c r="BF620" i="12"/>
  <c r="BE620" i="12"/>
  <c r="BD620" i="12"/>
  <c r="BC620" i="12"/>
  <c r="BB620" i="12"/>
  <c r="BA620" i="12"/>
  <c r="AZ620" i="12"/>
  <c r="AY620" i="12"/>
  <c r="AX620" i="12"/>
  <c r="BI619" i="12"/>
  <c r="BG619" i="12"/>
  <c r="BF619" i="12"/>
  <c r="BE619" i="12"/>
  <c r="BD619" i="12"/>
  <c r="BC619" i="12"/>
  <c r="BB619" i="12"/>
  <c r="BA619" i="12"/>
  <c r="AZ619" i="12"/>
  <c r="AY619" i="12"/>
  <c r="AX619" i="12"/>
  <c r="BI618" i="12"/>
  <c r="BG618" i="12"/>
  <c r="BF618" i="12"/>
  <c r="BE618" i="12"/>
  <c r="BD618" i="12"/>
  <c r="BC618" i="12"/>
  <c r="BB618" i="12"/>
  <c r="BA618" i="12"/>
  <c r="AZ618" i="12"/>
  <c r="AY618" i="12"/>
  <c r="AX618" i="12"/>
  <c r="BI617" i="12"/>
  <c r="BG617" i="12"/>
  <c r="BF617" i="12"/>
  <c r="BE617" i="12"/>
  <c r="BD617" i="12"/>
  <c r="BC617" i="12"/>
  <c r="BB617" i="12"/>
  <c r="BA617" i="12"/>
  <c r="AZ617" i="12"/>
  <c r="AY617" i="12"/>
  <c r="AX617" i="12"/>
  <c r="BI616" i="12"/>
  <c r="BG616" i="12"/>
  <c r="BF616" i="12"/>
  <c r="BE616" i="12"/>
  <c r="BD616" i="12"/>
  <c r="BC616" i="12"/>
  <c r="BB616" i="12"/>
  <c r="BA616" i="12"/>
  <c r="AZ616" i="12"/>
  <c r="AY616" i="12"/>
  <c r="AX616" i="12"/>
  <c r="BI615" i="12"/>
  <c r="BG615" i="12"/>
  <c r="BF615" i="12"/>
  <c r="BE615" i="12"/>
  <c r="BD615" i="12"/>
  <c r="BC615" i="12"/>
  <c r="BB615" i="12"/>
  <c r="BA615" i="12"/>
  <c r="AZ615" i="12"/>
  <c r="AY615" i="12"/>
  <c r="AX615" i="12"/>
  <c r="BI614" i="12"/>
  <c r="BG614" i="12"/>
  <c r="BF614" i="12"/>
  <c r="BE614" i="12"/>
  <c r="BD614" i="12"/>
  <c r="BC614" i="12"/>
  <c r="BB614" i="12"/>
  <c r="BA614" i="12"/>
  <c r="AZ614" i="12"/>
  <c r="AY614" i="12"/>
  <c r="AX614" i="12"/>
  <c r="BI613" i="12"/>
  <c r="BG613" i="12"/>
  <c r="BF613" i="12"/>
  <c r="BE613" i="12"/>
  <c r="BD613" i="12"/>
  <c r="BC613" i="12"/>
  <c r="BB613" i="12"/>
  <c r="BA613" i="12"/>
  <c r="AZ613" i="12"/>
  <c r="AY613" i="12"/>
  <c r="AX613" i="12"/>
  <c r="BI612" i="12"/>
  <c r="BG612" i="12"/>
  <c r="BF612" i="12"/>
  <c r="BE612" i="12"/>
  <c r="BD612" i="12"/>
  <c r="BC612" i="12"/>
  <c r="BB612" i="12"/>
  <c r="BA612" i="12"/>
  <c r="AZ612" i="12"/>
  <c r="AY612" i="12"/>
  <c r="AX612" i="12"/>
  <c r="BI611" i="12"/>
  <c r="BG611" i="12"/>
  <c r="BF611" i="12"/>
  <c r="BE611" i="12"/>
  <c r="BD611" i="12"/>
  <c r="BC611" i="12"/>
  <c r="BB611" i="12"/>
  <c r="BA611" i="12"/>
  <c r="AZ611" i="12"/>
  <c r="AY611" i="12"/>
  <c r="AX611" i="12"/>
  <c r="BI610" i="12"/>
  <c r="BG610" i="12"/>
  <c r="BF610" i="12"/>
  <c r="BE610" i="12"/>
  <c r="BD610" i="12"/>
  <c r="BC610" i="12"/>
  <c r="BB610" i="12"/>
  <c r="BA610" i="12"/>
  <c r="AZ610" i="12"/>
  <c r="AY610" i="12"/>
  <c r="AX610" i="12"/>
  <c r="BI609" i="12"/>
  <c r="BG609" i="12"/>
  <c r="BF609" i="12"/>
  <c r="BE609" i="12"/>
  <c r="BD609" i="12"/>
  <c r="BC609" i="12"/>
  <c r="BB609" i="12"/>
  <c r="BA609" i="12"/>
  <c r="AZ609" i="12"/>
  <c r="AY609" i="12"/>
  <c r="AX609" i="12"/>
  <c r="BI608" i="12"/>
  <c r="BG608" i="12"/>
  <c r="BF608" i="12"/>
  <c r="BE608" i="12"/>
  <c r="BD608" i="12"/>
  <c r="BC608" i="12"/>
  <c r="BB608" i="12"/>
  <c r="BA608" i="12"/>
  <c r="AZ608" i="12"/>
  <c r="AY608" i="12"/>
  <c r="AX608" i="12"/>
  <c r="BI607" i="12"/>
  <c r="BG607" i="12"/>
  <c r="BF607" i="12"/>
  <c r="BE607" i="12"/>
  <c r="BD607" i="12"/>
  <c r="BC607" i="12"/>
  <c r="BB607" i="12"/>
  <c r="BA607" i="12"/>
  <c r="AZ607" i="12"/>
  <c r="AY607" i="12"/>
  <c r="AX607" i="12"/>
  <c r="BI606" i="12"/>
  <c r="BG606" i="12"/>
  <c r="BF606" i="12"/>
  <c r="BE606" i="12"/>
  <c r="BD606" i="12"/>
  <c r="BC606" i="12"/>
  <c r="BB606" i="12"/>
  <c r="BA606" i="12"/>
  <c r="AZ606" i="12"/>
  <c r="AY606" i="12"/>
  <c r="AX606" i="12"/>
  <c r="BI605" i="12"/>
  <c r="BG605" i="12"/>
  <c r="BF605" i="12"/>
  <c r="BE605" i="12"/>
  <c r="BD605" i="12"/>
  <c r="BC605" i="12"/>
  <c r="BB605" i="12"/>
  <c r="BA605" i="12"/>
  <c r="AZ605" i="12"/>
  <c r="AY605" i="12"/>
  <c r="AX605" i="12"/>
  <c r="BI604" i="12"/>
  <c r="BG604" i="12"/>
  <c r="BF604" i="12"/>
  <c r="BE604" i="12"/>
  <c r="BD604" i="12"/>
  <c r="BC604" i="12"/>
  <c r="BB604" i="12"/>
  <c r="BA604" i="12"/>
  <c r="AZ604" i="12"/>
  <c r="AY604" i="12"/>
  <c r="AX604" i="12"/>
  <c r="BI603" i="12"/>
  <c r="BG603" i="12"/>
  <c r="BF603" i="12"/>
  <c r="BE603" i="12"/>
  <c r="BD603" i="12"/>
  <c r="BC603" i="12"/>
  <c r="BB603" i="12"/>
  <c r="BA603" i="12"/>
  <c r="AZ603" i="12"/>
  <c r="AY603" i="12"/>
  <c r="AX603" i="12"/>
  <c r="BI602" i="12"/>
  <c r="BG602" i="12"/>
  <c r="BF602" i="12"/>
  <c r="BE602" i="12"/>
  <c r="BD602" i="12"/>
  <c r="BC602" i="12"/>
  <c r="BB602" i="12"/>
  <c r="BA602" i="12"/>
  <c r="AZ602" i="12"/>
  <c r="AY602" i="12"/>
  <c r="AX602" i="12"/>
  <c r="BI601" i="12"/>
  <c r="BG601" i="12"/>
  <c r="BF601" i="12"/>
  <c r="BE601" i="12"/>
  <c r="BD601" i="12"/>
  <c r="BC601" i="12"/>
  <c r="BB601" i="12"/>
  <c r="BA601" i="12"/>
  <c r="AZ601" i="12"/>
  <c r="AY601" i="12"/>
  <c r="AX601" i="12"/>
  <c r="BI600" i="12"/>
  <c r="BG600" i="12"/>
  <c r="BF600" i="12"/>
  <c r="BE600" i="12"/>
  <c r="BD600" i="12"/>
  <c r="BC600" i="12"/>
  <c r="BB600" i="12"/>
  <c r="BA600" i="12"/>
  <c r="AZ600" i="12"/>
  <c r="AY600" i="12"/>
  <c r="AX600" i="12"/>
  <c r="BI599" i="12"/>
  <c r="BG599" i="12"/>
  <c r="BF599" i="12"/>
  <c r="BE599" i="12"/>
  <c r="BD599" i="12"/>
  <c r="BC599" i="12"/>
  <c r="BB599" i="12"/>
  <c r="BA599" i="12"/>
  <c r="AZ599" i="12"/>
  <c r="AY599" i="12"/>
  <c r="AX599" i="12"/>
  <c r="BI598" i="12"/>
  <c r="BG598" i="12"/>
  <c r="BF598" i="12"/>
  <c r="BE598" i="12"/>
  <c r="BD598" i="12"/>
  <c r="BC598" i="12"/>
  <c r="BB598" i="12"/>
  <c r="BA598" i="12"/>
  <c r="AZ598" i="12"/>
  <c r="AY598" i="12"/>
  <c r="AX598" i="12"/>
  <c r="BI597" i="12"/>
  <c r="BG597" i="12"/>
  <c r="BF597" i="12"/>
  <c r="BE597" i="12"/>
  <c r="BD597" i="12"/>
  <c r="BC597" i="12"/>
  <c r="BB597" i="12"/>
  <c r="BA597" i="12"/>
  <c r="AZ597" i="12"/>
  <c r="AY597" i="12"/>
  <c r="AX597" i="12"/>
  <c r="BI596" i="12"/>
  <c r="BG596" i="12"/>
  <c r="BF596" i="12"/>
  <c r="BE596" i="12"/>
  <c r="BD596" i="12"/>
  <c r="BC596" i="12"/>
  <c r="BB596" i="12"/>
  <c r="BA596" i="12"/>
  <c r="AZ596" i="12"/>
  <c r="AY596" i="12"/>
  <c r="AX596" i="12"/>
  <c r="BI595" i="12"/>
  <c r="BG595" i="12"/>
  <c r="BF595" i="12"/>
  <c r="BE595" i="12"/>
  <c r="BD595" i="12"/>
  <c r="BC595" i="12"/>
  <c r="BB595" i="12"/>
  <c r="BA595" i="12"/>
  <c r="AZ595" i="12"/>
  <c r="AY595" i="12"/>
  <c r="AX595" i="12"/>
  <c r="BI594" i="12"/>
  <c r="BG594" i="12"/>
  <c r="BF594" i="12"/>
  <c r="BE594" i="12"/>
  <c r="BD594" i="12"/>
  <c r="BC594" i="12"/>
  <c r="BB594" i="12"/>
  <c r="BA594" i="12"/>
  <c r="AZ594" i="12"/>
  <c r="AY594" i="12"/>
  <c r="AX594" i="12"/>
  <c r="BI593" i="12"/>
  <c r="BG593" i="12"/>
  <c r="BF593" i="12"/>
  <c r="BE593" i="12"/>
  <c r="BD593" i="12"/>
  <c r="BC593" i="12"/>
  <c r="BB593" i="12"/>
  <c r="BA593" i="12"/>
  <c r="AZ593" i="12"/>
  <c r="AY593" i="12"/>
  <c r="AX593" i="12"/>
  <c r="BI592" i="12"/>
  <c r="BG592" i="12"/>
  <c r="BF592" i="12"/>
  <c r="BE592" i="12"/>
  <c r="BD592" i="12"/>
  <c r="BC592" i="12"/>
  <c r="BB592" i="12"/>
  <c r="BA592" i="12"/>
  <c r="AZ592" i="12"/>
  <c r="AY592" i="12"/>
  <c r="AX592" i="12"/>
  <c r="BI591" i="12"/>
  <c r="BG591" i="12"/>
  <c r="BF591" i="12"/>
  <c r="BE591" i="12"/>
  <c r="BD591" i="12"/>
  <c r="BC591" i="12"/>
  <c r="BB591" i="12"/>
  <c r="BA591" i="12"/>
  <c r="AZ591" i="12"/>
  <c r="AY591" i="12"/>
  <c r="AX591" i="12"/>
  <c r="BI590" i="12"/>
  <c r="BG590" i="12"/>
  <c r="BF590" i="12"/>
  <c r="BE590" i="12"/>
  <c r="BD590" i="12"/>
  <c r="BC590" i="12"/>
  <c r="BB590" i="12"/>
  <c r="BA590" i="12"/>
  <c r="AZ590" i="12"/>
  <c r="AY590" i="12"/>
  <c r="AX590" i="12"/>
  <c r="BI589" i="12"/>
  <c r="BG589" i="12"/>
  <c r="BF589" i="12"/>
  <c r="BE589" i="12"/>
  <c r="BD589" i="12"/>
  <c r="BC589" i="12"/>
  <c r="BB589" i="12"/>
  <c r="BA589" i="12"/>
  <c r="AZ589" i="12"/>
  <c r="AY589" i="12"/>
  <c r="AX589" i="12"/>
  <c r="BI588" i="12"/>
  <c r="BG588" i="12"/>
  <c r="BF588" i="12"/>
  <c r="BE588" i="12"/>
  <c r="BD588" i="12"/>
  <c r="BC588" i="12"/>
  <c r="BB588" i="12"/>
  <c r="BA588" i="12"/>
  <c r="AZ588" i="12"/>
  <c r="AY588" i="12"/>
  <c r="AX588" i="12"/>
  <c r="BI587" i="12"/>
  <c r="BG587" i="12"/>
  <c r="BF587" i="12"/>
  <c r="BE587" i="12"/>
  <c r="BD587" i="12"/>
  <c r="BC587" i="12"/>
  <c r="BB587" i="12"/>
  <c r="BA587" i="12"/>
  <c r="AZ587" i="12"/>
  <c r="AY587" i="12"/>
  <c r="AX587" i="12"/>
  <c r="BI586" i="12"/>
  <c r="BG586" i="12"/>
  <c r="BF586" i="12"/>
  <c r="BE586" i="12"/>
  <c r="BD586" i="12"/>
  <c r="BC586" i="12"/>
  <c r="BB586" i="12"/>
  <c r="BA586" i="12"/>
  <c r="AZ586" i="12"/>
  <c r="AY586" i="12"/>
  <c r="AX586" i="12"/>
  <c r="BI585" i="12"/>
  <c r="BG585" i="12"/>
  <c r="BF585" i="12"/>
  <c r="BE585" i="12"/>
  <c r="BD585" i="12"/>
  <c r="BC585" i="12"/>
  <c r="BB585" i="12"/>
  <c r="BA585" i="12"/>
  <c r="AZ585" i="12"/>
  <c r="AY585" i="12"/>
  <c r="AX585" i="12"/>
  <c r="BI584" i="12"/>
  <c r="BG584" i="12"/>
  <c r="BF584" i="12"/>
  <c r="BE584" i="12"/>
  <c r="BD584" i="12"/>
  <c r="BC584" i="12"/>
  <c r="BB584" i="12"/>
  <c r="BA584" i="12"/>
  <c r="AZ584" i="12"/>
  <c r="AY584" i="12"/>
  <c r="AX584" i="12"/>
  <c r="BI583" i="12"/>
  <c r="BG583" i="12"/>
  <c r="BF583" i="12"/>
  <c r="BE583" i="12"/>
  <c r="BD583" i="12"/>
  <c r="BC583" i="12"/>
  <c r="BB583" i="12"/>
  <c r="BA583" i="12"/>
  <c r="AZ583" i="12"/>
  <c r="AY583" i="12"/>
  <c r="AX583" i="12"/>
  <c r="BI582" i="12"/>
  <c r="BG582" i="12"/>
  <c r="BF582" i="12"/>
  <c r="BE582" i="12"/>
  <c r="BD582" i="12"/>
  <c r="BC582" i="12"/>
  <c r="BB582" i="12"/>
  <c r="BA582" i="12"/>
  <c r="AZ582" i="12"/>
  <c r="AY582" i="12"/>
  <c r="AX582" i="12"/>
  <c r="BI581" i="12"/>
  <c r="BG581" i="12"/>
  <c r="BF581" i="12"/>
  <c r="BE581" i="12"/>
  <c r="BD581" i="12"/>
  <c r="BC581" i="12"/>
  <c r="BB581" i="12"/>
  <c r="BA581" i="12"/>
  <c r="AZ581" i="12"/>
  <c r="AY581" i="12"/>
  <c r="AX581" i="12"/>
  <c r="BI580" i="12"/>
  <c r="BG580" i="12"/>
  <c r="BF580" i="12"/>
  <c r="BE580" i="12"/>
  <c r="BD580" i="12"/>
  <c r="BC580" i="12"/>
  <c r="BB580" i="12"/>
  <c r="BA580" i="12"/>
  <c r="AZ580" i="12"/>
  <c r="AY580" i="12"/>
  <c r="AX580" i="12"/>
  <c r="BI579" i="12"/>
  <c r="BG579" i="12"/>
  <c r="BF579" i="12"/>
  <c r="BE579" i="12"/>
  <c r="BD579" i="12"/>
  <c r="BC579" i="12"/>
  <c r="BB579" i="12"/>
  <c r="BA579" i="12"/>
  <c r="AZ579" i="12"/>
  <c r="AY579" i="12"/>
  <c r="AX579" i="12"/>
  <c r="BI578" i="12"/>
  <c r="BG578" i="12"/>
  <c r="BF578" i="12"/>
  <c r="BE578" i="12"/>
  <c r="BD578" i="12"/>
  <c r="BC578" i="12"/>
  <c r="BB578" i="12"/>
  <c r="BA578" i="12"/>
  <c r="AZ578" i="12"/>
  <c r="AY578" i="12"/>
  <c r="AX578" i="12"/>
  <c r="BI577" i="12"/>
  <c r="BG577" i="12"/>
  <c r="BF577" i="12"/>
  <c r="BE577" i="12"/>
  <c r="BD577" i="12"/>
  <c r="BC577" i="12"/>
  <c r="BB577" i="12"/>
  <c r="BA577" i="12"/>
  <c r="AZ577" i="12"/>
  <c r="AY577" i="12"/>
  <c r="AX577" i="12"/>
  <c r="BI576" i="12"/>
  <c r="BG576" i="12"/>
  <c r="BF576" i="12"/>
  <c r="BE576" i="12"/>
  <c r="BD576" i="12"/>
  <c r="BC576" i="12"/>
  <c r="BB576" i="12"/>
  <c r="BA576" i="12"/>
  <c r="AZ576" i="12"/>
  <c r="AY576" i="12"/>
  <c r="AX576" i="12"/>
  <c r="BI575" i="12"/>
  <c r="BG575" i="12"/>
  <c r="BF575" i="12"/>
  <c r="BE575" i="12"/>
  <c r="BD575" i="12"/>
  <c r="BC575" i="12"/>
  <c r="BB575" i="12"/>
  <c r="BA575" i="12"/>
  <c r="AZ575" i="12"/>
  <c r="AY575" i="12"/>
  <c r="AX575" i="12"/>
  <c r="BI574" i="12"/>
  <c r="BG574" i="12"/>
  <c r="BF574" i="12"/>
  <c r="BE574" i="12"/>
  <c r="BD574" i="12"/>
  <c r="BC574" i="12"/>
  <c r="BB574" i="12"/>
  <c r="BA574" i="12"/>
  <c r="AZ574" i="12"/>
  <c r="AY574" i="12"/>
  <c r="AX574" i="12"/>
  <c r="BI573" i="12"/>
  <c r="BG573" i="12"/>
  <c r="BF573" i="12"/>
  <c r="BE573" i="12"/>
  <c r="BD573" i="12"/>
  <c r="BC573" i="12"/>
  <c r="BB573" i="12"/>
  <c r="BA573" i="12"/>
  <c r="AZ573" i="12"/>
  <c r="AY573" i="12"/>
  <c r="AX573" i="12"/>
  <c r="BI572" i="12"/>
  <c r="BG572" i="12"/>
  <c r="BF572" i="12"/>
  <c r="BE572" i="12"/>
  <c r="BD572" i="12"/>
  <c r="BC572" i="12"/>
  <c r="BB572" i="12"/>
  <c r="BA572" i="12"/>
  <c r="AZ572" i="12"/>
  <c r="AY572" i="12"/>
  <c r="AX572" i="12"/>
  <c r="BI571" i="12"/>
  <c r="BG571" i="12"/>
  <c r="BF571" i="12"/>
  <c r="BE571" i="12"/>
  <c r="BD571" i="12"/>
  <c r="BC571" i="12"/>
  <c r="BB571" i="12"/>
  <c r="BA571" i="12"/>
  <c r="AZ571" i="12"/>
  <c r="AY571" i="12"/>
  <c r="AX571" i="12"/>
  <c r="BI570" i="12"/>
  <c r="BG570" i="12"/>
  <c r="BF570" i="12"/>
  <c r="BE570" i="12"/>
  <c r="BD570" i="12"/>
  <c r="BC570" i="12"/>
  <c r="BB570" i="12"/>
  <c r="BA570" i="12"/>
  <c r="AZ570" i="12"/>
  <c r="AY570" i="12"/>
  <c r="AX570" i="12"/>
  <c r="BI569" i="12"/>
  <c r="BG569" i="12"/>
  <c r="BF569" i="12"/>
  <c r="BE569" i="12"/>
  <c r="BD569" i="12"/>
  <c r="BC569" i="12"/>
  <c r="BB569" i="12"/>
  <c r="BA569" i="12"/>
  <c r="AZ569" i="12"/>
  <c r="AY569" i="12"/>
  <c r="AX569" i="12"/>
  <c r="BI568" i="12"/>
  <c r="BG568" i="12"/>
  <c r="BF568" i="12"/>
  <c r="BE568" i="12"/>
  <c r="BD568" i="12"/>
  <c r="BC568" i="12"/>
  <c r="BB568" i="12"/>
  <c r="BA568" i="12"/>
  <c r="AZ568" i="12"/>
  <c r="AY568" i="12"/>
  <c r="AX568" i="12"/>
  <c r="BI567" i="12"/>
  <c r="BG567" i="12"/>
  <c r="BF567" i="12"/>
  <c r="BE567" i="12"/>
  <c r="BD567" i="12"/>
  <c r="BC567" i="12"/>
  <c r="BB567" i="12"/>
  <c r="BA567" i="12"/>
  <c r="AZ567" i="12"/>
  <c r="AY567" i="12"/>
  <c r="AX567" i="12"/>
  <c r="BI566" i="12"/>
  <c r="BG566" i="12"/>
  <c r="BF566" i="12"/>
  <c r="BE566" i="12"/>
  <c r="BD566" i="12"/>
  <c r="BC566" i="12"/>
  <c r="BB566" i="12"/>
  <c r="BA566" i="12"/>
  <c r="AZ566" i="12"/>
  <c r="AY566" i="12"/>
  <c r="AX566" i="12"/>
  <c r="BI565" i="12"/>
  <c r="BG565" i="12"/>
  <c r="BF565" i="12"/>
  <c r="BE565" i="12"/>
  <c r="BD565" i="12"/>
  <c r="BC565" i="12"/>
  <c r="BB565" i="12"/>
  <c r="BA565" i="12"/>
  <c r="AZ565" i="12"/>
  <c r="AY565" i="12"/>
  <c r="AX565" i="12"/>
  <c r="BI564" i="12"/>
  <c r="BG564" i="12"/>
  <c r="BF564" i="12"/>
  <c r="BE564" i="12"/>
  <c r="BD564" i="12"/>
  <c r="BC564" i="12"/>
  <c r="BB564" i="12"/>
  <c r="BA564" i="12"/>
  <c r="AZ564" i="12"/>
  <c r="AY564" i="12"/>
  <c r="AX564" i="12"/>
  <c r="BI563" i="12"/>
  <c r="BG563" i="12"/>
  <c r="BF563" i="12"/>
  <c r="BE563" i="12"/>
  <c r="BD563" i="12"/>
  <c r="BC563" i="12"/>
  <c r="BB563" i="12"/>
  <c r="BA563" i="12"/>
  <c r="AZ563" i="12"/>
  <c r="AY563" i="12"/>
  <c r="AX563" i="12"/>
  <c r="BI562" i="12"/>
  <c r="BG562" i="12"/>
  <c r="BF562" i="12"/>
  <c r="BE562" i="12"/>
  <c r="BD562" i="12"/>
  <c r="BC562" i="12"/>
  <c r="BB562" i="12"/>
  <c r="BA562" i="12"/>
  <c r="AZ562" i="12"/>
  <c r="AY562" i="12"/>
  <c r="AX562" i="12"/>
  <c r="BI561" i="12"/>
  <c r="BG561" i="12"/>
  <c r="BF561" i="12"/>
  <c r="BE561" i="12"/>
  <c r="BD561" i="12"/>
  <c r="BC561" i="12"/>
  <c r="BB561" i="12"/>
  <c r="BA561" i="12"/>
  <c r="AZ561" i="12"/>
  <c r="AY561" i="12"/>
  <c r="AX561" i="12"/>
  <c r="BI560" i="12"/>
  <c r="BG560" i="12"/>
  <c r="BF560" i="12"/>
  <c r="BE560" i="12"/>
  <c r="BD560" i="12"/>
  <c r="BC560" i="12"/>
  <c r="BB560" i="12"/>
  <c r="BA560" i="12"/>
  <c r="AZ560" i="12"/>
  <c r="AY560" i="12"/>
  <c r="AX560" i="12"/>
  <c r="BI559" i="12"/>
  <c r="BG559" i="12"/>
  <c r="BF559" i="12"/>
  <c r="BE559" i="12"/>
  <c r="BD559" i="12"/>
  <c r="BC559" i="12"/>
  <c r="BB559" i="12"/>
  <c r="BA559" i="12"/>
  <c r="AZ559" i="12"/>
  <c r="AY559" i="12"/>
  <c r="AX559" i="12"/>
  <c r="BI558" i="12"/>
  <c r="BG558" i="12"/>
  <c r="BF558" i="12"/>
  <c r="BE558" i="12"/>
  <c r="BD558" i="12"/>
  <c r="BC558" i="12"/>
  <c r="BB558" i="12"/>
  <c r="BA558" i="12"/>
  <c r="AZ558" i="12"/>
  <c r="AY558" i="12"/>
  <c r="AX558" i="12"/>
  <c r="BI557" i="12"/>
  <c r="BG557" i="12"/>
  <c r="BF557" i="12"/>
  <c r="BE557" i="12"/>
  <c r="BD557" i="12"/>
  <c r="BC557" i="12"/>
  <c r="BB557" i="12"/>
  <c r="BA557" i="12"/>
  <c r="AZ557" i="12"/>
  <c r="AY557" i="12"/>
  <c r="AX557" i="12"/>
  <c r="BI556" i="12"/>
  <c r="BG556" i="12"/>
  <c r="BF556" i="12"/>
  <c r="BE556" i="12"/>
  <c r="BD556" i="12"/>
  <c r="BC556" i="12"/>
  <c r="BB556" i="12"/>
  <c r="BA556" i="12"/>
  <c r="AZ556" i="12"/>
  <c r="AY556" i="12"/>
  <c r="AX556" i="12"/>
  <c r="BI555" i="12"/>
  <c r="BG555" i="12"/>
  <c r="BF555" i="12"/>
  <c r="BE555" i="12"/>
  <c r="BD555" i="12"/>
  <c r="BC555" i="12"/>
  <c r="BB555" i="12"/>
  <c r="BA555" i="12"/>
  <c r="AZ555" i="12"/>
  <c r="AY555" i="12"/>
  <c r="AX555" i="12"/>
  <c r="BI554" i="12"/>
  <c r="BG554" i="12"/>
  <c r="BF554" i="12"/>
  <c r="BE554" i="12"/>
  <c r="BD554" i="12"/>
  <c r="BC554" i="12"/>
  <c r="BB554" i="12"/>
  <c r="BA554" i="12"/>
  <c r="AZ554" i="12"/>
  <c r="AY554" i="12"/>
  <c r="AX554" i="12"/>
  <c r="BI553" i="12"/>
  <c r="BG553" i="12"/>
  <c r="BF553" i="12"/>
  <c r="BE553" i="12"/>
  <c r="BD553" i="12"/>
  <c r="BC553" i="12"/>
  <c r="BB553" i="12"/>
  <c r="BA553" i="12"/>
  <c r="AZ553" i="12"/>
  <c r="AY553" i="12"/>
  <c r="AX553" i="12"/>
  <c r="BI552" i="12"/>
  <c r="BG552" i="12"/>
  <c r="BF552" i="12"/>
  <c r="BE552" i="12"/>
  <c r="BD552" i="12"/>
  <c r="BC552" i="12"/>
  <c r="BB552" i="12"/>
  <c r="BA552" i="12"/>
  <c r="AZ552" i="12"/>
  <c r="AY552" i="12"/>
  <c r="AX552" i="12"/>
  <c r="BI551" i="12"/>
  <c r="BG551" i="12"/>
  <c r="BF551" i="12"/>
  <c r="BE551" i="12"/>
  <c r="BD551" i="12"/>
  <c r="BC551" i="12"/>
  <c r="BB551" i="12"/>
  <c r="BA551" i="12"/>
  <c r="AZ551" i="12"/>
  <c r="AY551" i="12"/>
  <c r="AX551" i="12"/>
  <c r="BI550" i="12"/>
  <c r="BG550" i="12"/>
  <c r="BF550" i="12"/>
  <c r="BE550" i="12"/>
  <c r="BD550" i="12"/>
  <c r="BC550" i="12"/>
  <c r="BB550" i="12"/>
  <c r="BA550" i="12"/>
  <c r="AZ550" i="12"/>
  <c r="AY550" i="12"/>
  <c r="AX550" i="12"/>
  <c r="BI549" i="12"/>
  <c r="BG549" i="12"/>
  <c r="BF549" i="12"/>
  <c r="BE549" i="12"/>
  <c r="BD549" i="12"/>
  <c r="BC549" i="12"/>
  <c r="BB549" i="12"/>
  <c r="BA549" i="12"/>
  <c r="AZ549" i="12"/>
  <c r="AY549" i="12"/>
  <c r="AX549" i="12"/>
  <c r="BI548" i="12"/>
  <c r="BG548" i="12"/>
  <c r="BF548" i="12"/>
  <c r="BE548" i="12"/>
  <c r="BD548" i="12"/>
  <c r="BC548" i="12"/>
  <c r="BB548" i="12"/>
  <c r="BA548" i="12"/>
  <c r="AZ548" i="12"/>
  <c r="AY548" i="12"/>
  <c r="AX548" i="12"/>
  <c r="BI547" i="12"/>
  <c r="BG547" i="12"/>
  <c r="BF547" i="12"/>
  <c r="BE547" i="12"/>
  <c r="BD547" i="12"/>
  <c r="BC547" i="12"/>
  <c r="BB547" i="12"/>
  <c r="BA547" i="12"/>
  <c r="AZ547" i="12"/>
  <c r="AY547" i="12"/>
  <c r="AX547" i="12"/>
  <c r="BI546" i="12"/>
  <c r="BG546" i="12"/>
  <c r="BF546" i="12"/>
  <c r="BE546" i="12"/>
  <c r="BD546" i="12"/>
  <c r="BC546" i="12"/>
  <c r="BB546" i="12"/>
  <c r="BA546" i="12"/>
  <c r="AZ546" i="12"/>
  <c r="AY546" i="12"/>
  <c r="AX546" i="12"/>
  <c r="BI545" i="12"/>
  <c r="BG545" i="12"/>
  <c r="BF545" i="12"/>
  <c r="BE545" i="12"/>
  <c r="BD545" i="12"/>
  <c r="BC545" i="12"/>
  <c r="BB545" i="12"/>
  <c r="BA545" i="12"/>
  <c r="AZ545" i="12"/>
  <c r="AY545" i="12"/>
  <c r="AX545" i="12"/>
  <c r="BI544" i="12"/>
  <c r="BG544" i="12"/>
  <c r="BF544" i="12"/>
  <c r="BE544" i="12"/>
  <c r="BD544" i="12"/>
  <c r="BC544" i="12"/>
  <c r="BB544" i="12"/>
  <c r="BA544" i="12"/>
  <c r="AZ544" i="12"/>
  <c r="AY544" i="12"/>
  <c r="AX544" i="12"/>
  <c r="BI543" i="12"/>
  <c r="BG543" i="12"/>
  <c r="BF543" i="12"/>
  <c r="BE543" i="12"/>
  <c r="BD543" i="12"/>
  <c r="BC543" i="12"/>
  <c r="BB543" i="12"/>
  <c r="BA543" i="12"/>
  <c r="AZ543" i="12"/>
  <c r="AY543" i="12"/>
  <c r="AX543" i="12"/>
  <c r="BI542" i="12"/>
  <c r="BG542" i="12"/>
  <c r="BF542" i="12"/>
  <c r="BE542" i="12"/>
  <c r="BD542" i="12"/>
  <c r="BC542" i="12"/>
  <c r="BB542" i="12"/>
  <c r="BA542" i="12"/>
  <c r="AZ542" i="12"/>
  <c r="AY542" i="12"/>
  <c r="AX542" i="12"/>
  <c r="BI541" i="12"/>
  <c r="BG541" i="12"/>
  <c r="BF541" i="12"/>
  <c r="BE541" i="12"/>
  <c r="BD541" i="12"/>
  <c r="BC541" i="12"/>
  <c r="BB541" i="12"/>
  <c r="BA541" i="12"/>
  <c r="AZ541" i="12"/>
  <c r="AY541" i="12"/>
  <c r="AX541" i="12"/>
  <c r="BI540" i="12"/>
  <c r="BG540" i="12"/>
  <c r="BF540" i="12"/>
  <c r="BE540" i="12"/>
  <c r="BD540" i="12"/>
  <c r="BC540" i="12"/>
  <c r="BB540" i="12"/>
  <c r="BA540" i="12"/>
  <c r="AZ540" i="12"/>
  <c r="AY540" i="12"/>
  <c r="AX540" i="12"/>
  <c r="BI539" i="12"/>
  <c r="BG539" i="12"/>
  <c r="BF539" i="12"/>
  <c r="BE539" i="12"/>
  <c r="BD539" i="12"/>
  <c r="BC539" i="12"/>
  <c r="BB539" i="12"/>
  <c r="BA539" i="12"/>
  <c r="AZ539" i="12"/>
  <c r="AY539" i="12"/>
  <c r="AX539" i="12"/>
  <c r="BI538" i="12"/>
  <c r="BG538" i="12"/>
  <c r="BF538" i="12"/>
  <c r="BE538" i="12"/>
  <c r="BD538" i="12"/>
  <c r="BC538" i="12"/>
  <c r="BB538" i="12"/>
  <c r="BA538" i="12"/>
  <c r="AZ538" i="12"/>
  <c r="AY538" i="12"/>
  <c r="AX538" i="12"/>
  <c r="BI537" i="12"/>
  <c r="BG537" i="12"/>
  <c r="BF537" i="12"/>
  <c r="BE537" i="12"/>
  <c r="BD537" i="12"/>
  <c r="BC537" i="12"/>
  <c r="BB537" i="12"/>
  <c r="BA537" i="12"/>
  <c r="AZ537" i="12"/>
  <c r="AY537" i="12"/>
  <c r="AX537" i="12"/>
  <c r="BI536" i="12"/>
  <c r="BG536" i="12"/>
  <c r="BF536" i="12"/>
  <c r="BE536" i="12"/>
  <c r="BD536" i="12"/>
  <c r="BC536" i="12"/>
  <c r="BB536" i="12"/>
  <c r="BA536" i="12"/>
  <c r="AZ536" i="12"/>
  <c r="AY536" i="12"/>
  <c r="AX536" i="12"/>
  <c r="BI535" i="12"/>
  <c r="BG535" i="12"/>
  <c r="BF535" i="12"/>
  <c r="BE535" i="12"/>
  <c r="BD535" i="12"/>
  <c r="BC535" i="12"/>
  <c r="BB535" i="12"/>
  <c r="BA535" i="12"/>
  <c r="AZ535" i="12"/>
  <c r="AY535" i="12"/>
  <c r="AX535" i="12"/>
  <c r="BI534" i="12"/>
  <c r="BG534" i="12"/>
  <c r="BF534" i="12"/>
  <c r="BE534" i="12"/>
  <c r="BD534" i="12"/>
  <c r="BC534" i="12"/>
  <c r="BB534" i="12"/>
  <c r="BA534" i="12"/>
  <c r="AZ534" i="12"/>
  <c r="AY534" i="12"/>
  <c r="AX534" i="12"/>
  <c r="BI533" i="12"/>
  <c r="BG533" i="12"/>
  <c r="BF533" i="12"/>
  <c r="BE533" i="12"/>
  <c r="BD533" i="12"/>
  <c r="BC533" i="12"/>
  <c r="BB533" i="12"/>
  <c r="BA533" i="12"/>
  <c r="AZ533" i="12"/>
  <c r="AY533" i="12"/>
  <c r="AX533" i="12"/>
  <c r="BI532" i="12"/>
  <c r="BG532" i="12"/>
  <c r="BF532" i="12"/>
  <c r="BE532" i="12"/>
  <c r="BD532" i="12"/>
  <c r="BC532" i="12"/>
  <c r="BB532" i="12"/>
  <c r="BA532" i="12"/>
  <c r="AZ532" i="12"/>
  <c r="AY532" i="12"/>
  <c r="AX532" i="12"/>
  <c r="BI531" i="12"/>
  <c r="BG531" i="12"/>
  <c r="BF531" i="12"/>
  <c r="BE531" i="12"/>
  <c r="BD531" i="12"/>
  <c r="BC531" i="12"/>
  <c r="BB531" i="12"/>
  <c r="BA531" i="12"/>
  <c r="AZ531" i="12"/>
  <c r="AY531" i="12"/>
  <c r="AX531" i="12"/>
  <c r="BI530" i="12"/>
  <c r="BG530" i="12"/>
  <c r="BF530" i="12"/>
  <c r="BE530" i="12"/>
  <c r="BD530" i="12"/>
  <c r="BC530" i="12"/>
  <c r="BB530" i="12"/>
  <c r="BA530" i="12"/>
  <c r="AZ530" i="12"/>
  <c r="AY530" i="12"/>
  <c r="AX530" i="12"/>
  <c r="BI529" i="12"/>
  <c r="BG529" i="12"/>
  <c r="BF529" i="12"/>
  <c r="BE529" i="12"/>
  <c r="BD529" i="12"/>
  <c r="BC529" i="12"/>
  <c r="BB529" i="12"/>
  <c r="BA529" i="12"/>
  <c r="AZ529" i="12"/>
  <c r="AY529" i="12"/>
  <c r="AX529" i="12"/>
  <c r="BI528" i="12"/>
  <c r="BG528" i="12"/>
  <c r="BF528" i="12"/>
  <c r="BE528" i="12"/>
  <c r="BD528" i="12"/>
  <c r="BC528" i="12"/>
  <c r="BB528" i="12"/>
  <c r="BA528" i="12"/>
  <c r="AZ528" i="12"/>
  <c r="AY528" i="12"/>
  <c r="AX528" i="12"/>
  <c r="BI527" i="12"/>
  <c r="BG527" i="12"/>
  <c r="BF527" i="12"/>
  <c r="BE527" i="12"/>
  <c r="BD527" i="12"/>
  <c r="BC527" i="12"/>
  <c r="BB527" i="12"/>
  <c r="BA527" i="12"/>
  <c r="AZ527" i="12"/>
  <c r="AY527" i="12"/>
  <c r="AX527" i="12"/>
  <c r="BI526" i="12"/>
  <c r="BG526" i="12"/>
  <c r="BF526" i="12"/>
  <c r="BE526" i="12"/>
  <c r="BD526" i="12"/>
  <c r="BC526" i="12"/>
  <c r="BB526" i="12"/>
  <c r="BA526" i="12"/>
  <c r="AZ526" i="12"/>
  <c r="AY526" i="12"/>
  <c r="AX526" i="12"/>
  <c r="BI525" i="12"/>
  <c r="BG525" i="12"/>
  <c r="BF525" i="12"/>
  <c r="BE525" i="12"/>
  <c r="BD525" i="12"/>
  <c r="BC525" i="12"/>
  <c r="BB525" i="12"/>
  <c r="BA525" i="12"/>
  <c r="AZ525" i="12"/>
  <c r="AY525" i="12"/>
  <c r="AX525" i="12"/>
  <c r="BI524" i="12"/>
  <c r="BG524" i="12"/>
  <c r="BF524" i="12"/>
  <c r="BE524" i="12"/>
  <c r="BD524" i="12"/>
  <c r="BC524" i="12"/>
  <c r="BB524" i="12"/>
  <c r="BA524" i="12"/>
  <c r="AZ524" i="12"/>
  <c r="AY524" i="12"/>
  <c r="AX524" i="12"/>
  <c r="BI523" i="12"/>
  <c r="BG523" i="12"/>
  <c r="BF523" i="12"/>
  <c r="BE523" i="12"/>
  <c r="BD523" i="12"/>
  <c r="BC523" i="12"/>
  <c r="BB523" i="12"/>
  <c r="BA523" i="12"/>
  <c r="AZ523" i="12"/>
  <c r="AY523" i="12"/>
  <c r="AX523" i="12"/>
  <c r="BI522" i="12"/>
  <c r="BG522" i="12"/>
  <c r="BF522" i="12"/>
  <c r="BE522" i="12"/>
  <c r="BD522" i="12"/>
  <c r="BC522" i="12"/>
  <c r="BB522" i="12"/>
  <c r="BA522" i="12"/>
  <c r="AZ522" i="12"/>
  <c r="AY522" i="12"/>
  <c r="AX522" i="12"/>
  <c r="BI521" i="12"/>
  <c r="BG521" i="12"/>
  <c r="BF521" i="12"/>
  <c r="BE521" i="12"/>
  <c r="BD521" i="12"/>
  <c r="BC521" i="12"/>
  <c r="BB521" i="12"/>
  <c r="BA521" i="12"/>
  <c r="AZ521" i="12"/>
  <c r="AY521" i="12"/>
  <c r="AX521" i="12"/>
  <c r="BI520" i="12"/>
  <c r="BG520" i="12"/>
  <c r="BF520" i="12"/>
  <c r="BE520" i="12"/>
  <c r="BD520" i="12"/>
  <c r="BC520" i="12"/>
  <c r="BB520" i="12"/>
  <c r="BA520" i="12"/>
  <c r="AZ520" i="12"/>
  <c r="AY520" i="12"/>
  <c r="AX520" i="12"/>
  <c r="BI519" i="12"/>
  <c r="BG519" i="12"/>
  <c r="BF519" i="12"/>
  <c r="BE519" i="12"/>
  <c r="BD519" i="12"/>
  <c r="BC519" i="12"/>
  <c r="BB519" i="12"/>
  <c r="BA519" i="12"/>
  <c r="AZ519" i="12"/>
  <c r="AY519" i="12"/>
  <c r="AX519" i="12"/>
  <c r="BI518" i="12"/>
  <c r="BG518" i="12"/>
  <c r="BF518" i="12"/>
  <c r="BE518" i="12"/>
  <c r="BD518" i="12"/>
  <c r="BC518" i="12"/>
  <c r="BB518" i="12"/>
  <c r="BA518" i="12"/>
  <c r="AZ518" i="12"/>
  <c r="AY518" i="12"/>
  <c r="AX518" i="12"/>
  <c r="BI517" i="12"/>
  <c r="BG517" i="12"/>
  <c r="BF517" i="12"/>
  <c r="BE517" i="12"/>
  <c r="BD517" i="12"/>
  <c r="BC517" i="12"/>
  <c r="BB517" i="12"/>
  <c r="BA517" i="12"/>
  <c r="AZ517" i="12"/>
  <c r="AY517" i="12"/>
  <c r="AX517" i="12"/>
  <c r="BI516" i="12"/>
  <c r="BG516" i="12"/>
  <c r="BF516" i="12"/>
  <c r="BE516" i="12"/>
  <c r="BD516" i="12"/>
  <c r="BC516" i="12"/>
  <c r="BB516" i="12"/>
  <c r="BA516" i="12"/>
  <c r="AZ516" i="12"/>
  <c r="AY516" i="12"/>
  <c r="AX516" i="12"/>
  <c r="BI515" i="12"/>
  <c r="BG515" i="12"/>
  <c r="BF515" i="12"/>
  <c r="BE515" i="12"/>
  <c r="BD515" i="12"/>
  <c r="BC515" i="12"/>
  <c r="BB515" i="12"/>
  <c r="BA515" i="12"/>
  <c r="AZ515" i="12"/>
  <c r="AY515" i="12"/>
  <c r="AX515" i="12"/>
  <c r="BI514" i="12"/>
  <c r="BG514" i="12"/>
  <c r="BF514" i="12"/>
  <c r="BE514" i="12"/>
  <c r="BD514" i="12"/>
  <c r="BC514" i="12"/>
  <c r="BB514" i="12"/>
  <c r="BA514" i="12"/>
  <c r="AZ514" i="12"/>
  <c r="AY514" i="12"/>
  <c r="AX514" i="12"/>
  <c r="BI513" i="12"/>
  <c r="BG513" i="12"/>
  <c r="BF513" i="12"/>
  <c r="BE513" i="12"/>
  <c r="BD513" i="12"/>
  <c r="BC513" i="12"/>
  <c r="BB513" i="12"/>
  <c r="BA513" i="12"/>
  <c r="AZ513" i="12"/>
  <c r="AY513" i="12"/>
  <c r="AX513" i="12"/>
  <c r="BI512" i="12"/>
  <c r="BG512" i="12"/>
  <c r="BF512" i="12"/>
  <c r="BE512" i="12"/>
  <c r="BD512" i="12"/>
  <c r="BC512" i="12"/>
  <c r="BB512" i="12"/>
  <c r="BA512" i="12"/>
  <c r="AZ512" i="12"/>
  <c r="AY512" i="12"/>
  <c r="AX512" i="12"/>
  <c r="BI511" i="12"/>
  <c r="BG511" i="12"/>
  <c r="BF511" i="12"/>
  <c r="BE511" i="12"/>
  <c r="BD511" i="12"/>
  <c r="BC511" i="12"/>
  <c r="BB511" i="12"/>
  <c r="BA511" i="12"/>
  <c r="AZ511" i="12"/>
  <c r="AY511" i="12"/>
  <c r="AX511" i="12"/>
  <c r="BI510" i="12"/>
  <c r="BG510" i="12"/>
  <c r="BF510" i="12"/>
  <c r="BE510" i="12"/>
  <c r="BD510" i="12"/>
  <c r="BC510" i="12"/>
  <c r="BB510" i="12"/>
  <c r="BA510" i="12"/>
  <c r="AZ510" i="12"/>
  <c r="AY510" i="12"/>
  <c r="AX510" i="12"/>
  <c r="BI509" i="12"/>
  <c r="BG509" i="12"/>
  <c r="BF509" i="12"/>
  <c r="BE509" i="12"/>
  <c r="BD509" i="12"/>
  <c r="BC509" i="12"/>
  <c r="BB509" i="12"/>
  <c r="BA509" i="12"/>
  <c r="AZ509" i="12"/>
  <c r="AY509" i="12"/>
  <c r="AX509" i="12"/>
  <c r="BI508" i="12"/>
  <c r="BG508" i="12"/>
  <c r="BF508" i="12"/>
  <c r="BE508" i="12"/>
  <c r="BD508" i="12"/>
  <c r="BC508" i="12"/>
  <c r="BB508" i="12"/>
  <c r="BA508" i="12"/>
  <c r="AZ508" i="12"/>
  <c r="AY508" i="12"/>
  <c r="AX508" i="12"/>
  <c r="BI507" i="12"/>
  <c r="BG507" i="12"/>
  <c r="BF507" i="12"/>
  <c r="BE507" i="12"/>
  <c r="BD507" i="12"/>
  <c r="BC507" i="12"/>
  <c r="BB507" i="12"/>
  <c r="BA507" i="12"/>
  <c r="AZ507" i="12"/>
  <c r="AY507" i="12"/>
  <c r="AX507" i="12"/>
  <c r="BI506" i="12"/>
  <c r="BG506" i="12"/>
  <c r="BF506" i="12"/>
  <c r="BE506" i="12"/>
  <c r="BD506" i="12"/>
  <c r="BC506" i="12"/>
  <c r="BB506" i="12"/>
  <c r="BA506" i="12"/>
  <c r="AZ506" i="12"/>
  <c r="AY506" i="12"/>
  <c r="AX506" i="12"/>
  <c r="BI505" i="12"/>
  <c r="BG505" i="12"/>
  <c r="BF505" i="12"/>
  <c r="BE505" i="12"/>
  <c r="BD505" i="12"/>
  <c r="BC505" i="12"/>
  <c r="BB505" i="12"/>
  <c r="BA505" i="12"/>
  <c r="AZ505" i="12"/>
  <c r="AY505" i="12"/>
  <c r="AX505" i="12"/>
  <c r="BI504" i="12"/>
  <c r="BG504" i="12"/>
  <c r="BF504" i="12"/>
  <c r="BE504" i="12"/>
  <c r="BD504" i="12"/>
  <c r="BC504" i="12"/>
  <c r="BB504" i="12"/>
  <c r="BA504" i="12"/>
  <c r="AZ504" i="12"/>
  <c r="AY504" i="12"/>
  <c r="AX504" i="12"/>
  <c r="BI503" i="12"/>
  <c r="BG503" i="12"/>
  <c r="BF503" i="12"/>
  <c r="BE503" i="12"/>
  <c r="BD503" i="12"/>
  <c r="BC503" i="12"/>
  <c r="BB503" i="12"/>
  <c r="BA503" i="12"/>
  <c r="AZ503" i="12"/>
  <c r="AY503" i="12"/>
  <c r="AX503" i="12"/>
  <c r="BI502" i="12"/>
  <c r="BG502" i="12"/>
  <c r="BF502" i="12"/>
  <c r="BE502" i="12"/>
  <c r="BD502" i="12"/>
  <c r="BC502" i="12"/>
  <c r="BB502" i="12"/>
  <c r="BA502" i="12"/>
  <c r="AZ502" i="12"/>
  <c r="AY502" i="12"/>
  <c r="AX502" i="12"/>
  <c r="BI501" i="12"/>
  <c r="BG501" i="12"/>
  <c r="BF501" i="12"/>
  <c r="BE501" i="12"/>
  <c r="BD501" i="12"/>
  <c r="BC501" i="12"/>
  <c r="BB501" i="12"/>
  <c r="BA501" i="12"/>
  <c r="AZ501" i="12"/>
  <c r="AY501" i="12"/>
  <c r="AX501" i="12"/>
  <c r="BI500" i="12"/>
  <c r="BG500" i="12"/>
  <c r="BF500" i="12"/>
  <c r="BE500" i="12"/>
  <c r="BD500" i="12"/>
  <c r="BC500" i="12"/>
  <c r="BB500" i="12"/>
  <c r="BA500" i="12"/>
  <c r="AZ500" i="12"/>
  <c r="AY500" i="12"/>
  <c r="AX500" i="12"/>
  <c r="BI499" i="12"/>
  <c r="BG499" i="12"/>
  <c r="BF499" i="12"/>
  <c r="BE499" i="12"/>
  <c r="BD499" i="12"/>
  <c r="BC499" i="12"/>
  <c r="BB499" i="12"/>
  <c r="BA499" i="12"/>
  <c r="AZ499" i="12"/>
  <c r="AY499" i="12"/>
  <c r="AX499" i="12"/>
  <c r="BI498" i="12"/>
  <c r="BG498" i="12"/>
  <c r="BF498" i="12"/>
  <c r="BE498" i="12"/>
  <c r="BD498" i="12"/>
  <c r="BC498" i="12"/>
  <c r="BB498" i="12"/>
  <c r="BA498" i="12"/>
  <c r="AZ498" i="12"/>
  <c r="AY498" i="12"/>
  <c r="AX498" i="12"/>
  <c r="BI497" i="12"/>
  <c r="BG497" i="12"/>
  <c r="BF497" i="12"/>
  <c r="BE497" i="12"/>
  <c r="BD497" i="12"/>
  <c r="BC497" i="12"/>
  <c r="BB497" i="12"/>
  <c r="BA497" i="12"/>
  <c r="AZ497" i="12"/>
  <c r="AY497" i="12"/>
  <c r="AX497" i="12"/>
  <c r="BI496" i="12"/>
  <c r="BG496" i="12"/>
  <c r="BF496" i="12"/>
  <c r="BE496" i="12"/>
  <c r="BD496" i="12"/>
  <c r="BC496" i="12"/>
  <c r="BB496" i="12"/>
  <c r="BA496" i="12"/>
  <c r="AZ496" i="12"/>
  <c r="AY496" i="12"/>
  <c r="AX496" i="12"/>
  <c r="BI495" i="12"/>
  <c r="BG495" i="12"/>
  <c r="BF495" i="12"/>
  <c r="BE495" i="12"/>
  <c r="BD495" i="12"/>
  <c r="BC495" i="12"/>
  <c r="BB495" i="12"/>
  <c r="BA495" i="12"/>
  <c r="AZ495" i="12"/>
  <c r="AY495" i="12"/>
  <c r="AX495" i="12"/>
  <c r="BI494" i="12"/>
  <c r="BG494" i="12"/>
  <c r="BF494" i="12"/>
  <c r="BE494" i="12"/>
  <c r="BD494" i="12"/>
  <c r="BC494" i="12"/>
  <c r="BB494" i="12"/>
  <c r="BA494" i="12"/>
  <c r="AZ494" i="12"/>
  <c r="AY494" i="12"/>
  <c r="AX494" i="12"/>
  <c r="BI493" i="12"/>
  <c r="BG493" i="12"/>
  <c r="BF493" i="12"/>
  <c r="BE493" i="12"/>
  <c r="BD493" i="12"/>
  <c r="BC493" i="12"/>
  <c r="BB493" i="12"/>
  <c r="BA493" i="12"/>
  <c r="AZ493" i="12"/>
  <c r="AY493" i="12"/>
  <c r="AX493" i="12"/>
  <c r="BI492" i="12"/>
  <c r="BG492" i="12"/>
  <c r="BF492" i="12"/>
  <c r="BE492" i="12"/>
  <c r="BD492" i="12"/>
  <c r="BC492" i="12"/>
  <c r="BB492" i="12"/>
  <c r="BA492" i="12"/>
  <c r="AZ492" i="12"/>
  <c r="AY492" i="12"/>
  <c r="AX492" i="12"/>
  <c r="BI491" i="12"/>
  <c r="BG491" i="12"/>
  <c r="BF491" i="12"/>
  <c r="BE491" i="12"/>
  <c r="BD491" i="12"/>
  <c r="BC491" i="12"/>
  <c r="BB491" i="12"/>
  <c r="BA491" i="12"/>
  <c r="AZ491" i="12"/>
  <c r="AY491" i="12"/>
  <c r="AX491" i="12"/>
  <c r="BI490" i="12"/>
  <c r="BG490" i="12"/>
  <c r="BF490" i="12"/>
  <c r="BE490" i="12"/>
  <c r="BD490" i="12"/>
  <c r="BC490" i="12"/>
  <c r="BB490" i="12"/>
  <c r="BA490" i="12"/>
  <c r="AZ490" i="12"/>
  <c r="AY490" i="12"/>
  <c r="AX490" i="12"/>
  <c r="BI489" i="12"/>
  <c r="BG489" i="12"/>
  <c r="BF489" i="12"/>
  <c r="BE489" i="12"/>
  <c r="BD489" i="12"/>
  <c r="BC489" i="12"/>
  <c r="BB489" i="12"/>
  <c r="BA489" i="12"/>
  <c r="AZ489" i="12"/>
  <c r="AY489" i="12"/>
  <c r="AX489" i="12"/>
  <c r="BI488" i="12"/>
  <c r="BG488" i="12"/>
  <c r="BF488" i="12"/>
  <c r="BE488" i="12"/>
  <c r="BD488" i="12"/>
  <c r="BC488" i="12"/>
  <c r="BB488" i="12"/>
  <c r="BA488" i="12"/>
  <c r="AZ488" i="12"/>
  <c r="AY488" i="12"/>
  <c r="AX488" i="12"/>
  <c r="BI487" i="12"/>
  <c r="BG487" i="12"/>
  <c r="BF487" i="12"/>
  <c r="BE487" i="12"/>
  <c r="BD487" i="12"/>
  <c r="BC487" i="12"/>
  <c r="BB487" i="12"/>
  <c r="BA487" i="12"/>
  <c r="AZ487" i="12"/>
  <c r="AY487" i="12"/>
  <c r="AX487" i="12"/>
  <c r="BI486" i="12"/>
  <c r="BG486" i="12"/>
  <c r="BF486" i="12"/>
  <c r="BE486" i="12"/>
  <c r="BD486" i="12"/>
  <c r="BC486" i="12"/>
  <c r="BB486" i="12"/>
  <c r="BA486" i="12"/>
  <c r="AZ486" i="12"/>
  <c r="AY486" i="12"/>
  <c r="AX486" i="12"/>
  <c r="BI485" i="12"/>
  <c r="BG485" i="12"/>
  <c r="BF485" i="12"/>
  <c r="BE485" i="12"/>
  <c r="BD485" i="12"/>
  <c r="BC485" i="12"/>
  <c r="BB485" i="12"/>
  <c r="BA485" i="12"/>
  <c r="AZ485" i="12"/>
  <c r="AY485" i="12"/>
  <c r="AX485" i="12"/>
  <c r="BI484" i="12"/>
  <c r="BG484" i="12"/>
  <c r="BF484" i="12"/>
  <c r="BE484" i="12"/>
  <c r="BD484" i="12"/>
  <c r="BC484" i="12"/>
  <c r="BB484" i="12"/>
  <c r="BA484" i="12"/>
  <c r="AZ484" i="12"/>
  <c r="AY484" i="12"/>
  <c r="AX484" i="12"/>
  <c r="BI483" i="12"/>
  <c r="BG483" i="12"/>
  <c r="BF483" i="12"/>
  <c r="BE483" i="12"/>
  <c r="BD483" i="12"/>
  <c r="BC483" i="12"/>
  <c r="BB483" i="12"/>
  <c r="BA483" i="12"/>
  <c r="AZ483" i="12"/>
  <c r="AY483" i="12"/>
  <c r="AX483" i="12"/>
  <c r="BI482" i="12"/>
  <c r="BG482" i="12"/>
  <c r="BF482" i="12"/>
  <c r="BE482" i="12"/>
  <c r="BD482" i="12"/>
  <c r="BC482" i="12"/>
  <c r="BB482" i="12"/>
  <c r="BA482" i="12"/>
  <c r="AZ482" i="12"/>
  <c r="AY482" i="12"/>
  <c r="AX482" i="12"/>
  <c r="BI481" i="12"/>
  <c r="BG481" i="12"/>
  <c r="BF481" i="12"/>
  <c r="BE481" i="12"/>
  <c r="BD481" i="12"/>
  <c r="BC481" i="12"/>
  <c r="BB481" i="12"/>
  <c r="BA481" i="12"/>
  <c r="AZ481" i="12"/>
  <c r="AY481" i="12"/>
  <c r="AX481" i="12"/>
  <c r="BI480" i="12"/>
  <c r="BG480" i="12"/>
  <c r="BF480" i="12"/>
  <c r="BE480" i="12"/>
  <c r="BD480" i="12"/>
  <c r="BC480" i="12"/>
  <c r="BB480" i="12"/>
  <c r="BA480" i="12"/>
  <c r="AZ480" i="12"/>
  <c r="AY480" i="12"/>
  <c r="AX480" i="12"/>
  <c r="BI479" i="12"/>
  <c r="BG479" i="12"/>
  <c r="BF479" i="12"/>
  <c r="BE479" i="12"/>
  <c r="BD479" i="12"/>
  <c r="BC479" i="12"/>
  <c r="BB479" i="12"/>
  <c r="BA479" i="12"/>
  <c r="AZ479" i="12"/>
  <c r="AY479" i="12"/>
  <c r="AX479" i="12"/>
  <c r="BI478" i="12"/>
  <c r="BG478" i="12"/>
  <c r="BF478" i="12"/>
  <c r="BE478" i="12"/>
  <c r="BD478" i="12"/>
  <c r="BC478" i="12"/>
  <c r="BB478" i="12"/>
  <c r="BA478" i="12"/>
  <c r="AZ478" i="12"/>
  <c r="AY478" i="12"/>
  <c r="AX478" i="12"/>
  <c r="BI477" i="12"/>
  <c r="BG477" i="12"/>
  <c r="BF477" i="12"/>
  <c r="BE477" i="12"/>
  <c r="BD477" i="12"/>
  <c r="BC477" i="12"/>
  <c r="BB477" i="12"/>
  <c r="BA477" i="12"/>
  <c r="AZ477" i="12"/>
  <c r="AY477" i="12"/>
  <c r="AX477" i="12"/>
  <c r="BI476" i="12"/>
  <c r="BG476" i="12"/>
  <c r="BF476" i="12"/>
  <c r="BE476" i="12"/>
  <c r="BD476" i="12"/>
  <c r="BC476" i="12"/>
  <c r="BB476" i="12"/>
  <c r="BA476" i="12"/>
  <c r="AZ476" i="12"/>
  <c r="AY476" i="12"/>
  <c r="AX476" i="12"/>
  <c r="BI475" i="12"/>
  <c r="BG475" i="12"/>
  <c r="BF475" i="12"/>
  <c r="BE475" i="12"/>
  <c r="BD475" i="12"/>
  <c r="BC475" i="12"/>
  <c r="BB475" i="12"/>
  <c r="BA475" i="12"/>
  <c r="AZ475" i="12"/>
  <c r="AY475" i="12"/>
  <c r="AX475" i="12"/>
  <c r="BI474" i="12"/>
  <c r="BG474" i="12"/>
  <c r="BF474" i="12"/>
  <c r="BE474" i="12"/>
  <c r="BD474" i="12"/>
  <c r="BC474" i="12"/>
  <c r="BB474" i="12"/>
  <c r="BA474" i="12"/>
  <c r="AZ474" i="12"/>
  <c r="AY474" i="12"/>
  <c r="AX474" i="12"/>
  <c r="BI473" i="12"/>
  <c r="BG473" i="12"/>
  <c r="BF473" i="12"/>
  <c r="BE473" i="12"/>
  <c r="BD473" i="12"/>
  <c r="BC473" i="12"/>
  <c r="BB473" i="12"/>
  <c r="BA473" i="12"/>
  <c r="AZ473" i="12"/>
  <c r="AY473" i="12"/>
  <c r="AX473" i="12"/>
  <c r="BI472" i="12"/>
  <c r="BG472" i="12"/>
  <c r="BF472" i="12"/>
  <c r="BE472" i="12"/>
  <c r="BD472" i="12"/>
  <c r="BC472" i="12"/>
  <c r="BB472" i="12"/>
  <c r="BA472" i="12"/>
  <c r="AZ472" i="12"/>
  <c r="AY472" i="12"/>
  <c r="AX472" i="12"/>
  <c r="BI471" i="12"/>
  <c r="BG471" i="12"/>
  <c r="BF471" i="12"/>
  <c r="BE471" i="12"/>
  <c r="BD471" i="12"/>
  <c r="BC471" i="12"/>
  <c r="BB471" i="12"/>
  <c r="BA471" i="12"/>
  <c r="AZ471" i="12"/>
  <c r="AY471" i="12"/>
  <c r="AX471" i="12"/>
  <c r="BI470" i="12"/>
  <c r="BG470" i="12"/>
  <c r="BF470" i="12"/>
  <c r="BE470" i="12"/>
  <c r="BD470" i="12"/>
  <c r="BC470" i="12"/>
  <c r="BB470" i="12"/>
  <c r="BA470" i="12"/>
  <c r="AZ470" i="12"/>
  <c r="AY470" i="12"/>
  <c r="AX470" i="12"/>
  <c r="BI469" i="12"/>
  <c r="BG469" i="12"/>
  <c r="BF469" i="12"/>
  <c r="BE469" i="12"/>
  <c r="BD469" i="12"/>
  <c r="BC469" i="12"/>
  <c r="BB469" i="12"/>
  <c r="BA469" i="12"/>
  <c r="AZ469" i="12"/>
  <c r="AY469" i="12"/>
  <c r="AX469" i="12"/>
  <c r="BI468" i="12"/>
  <c r="BG468" i="12"/>
  <c r="BF468" i="12"/>
  <c r="BE468" i="12"/>
  <c r="BD468" i="12"/>
  <c r="BC468" i="12"/>
  <c r="BB468" i="12"/>
  <c r="BA468" i="12"/>
  <c r="AZ468" i="12"/>
  <c r="AY468" i="12"/>
  <c r="AX468" i="12"/>
  <c r="BI467" i="12"/>
  <c r="BG467" i="12"/>
  <c r="BF467" i="12"/>
  <c r="BE467" i="12"/>
  <c r="BD467" i="12"/>
  <c r="BC467" i="12"/>
  <c r="BB467" i="12"/>
  <c r="BA467" i="12"/>
  <c r="AZ467" i="12"/>
  <c r="AY467" i="12"/>
  <c r="AX467" i="12"/>
  <c r="BI466" i="12"/>
  <c r="BG466" i="12"/>
  <c r="BF466" i="12"/>
  <c r="BE466" i="12"/>
  <c r="BD466" i="12"/>
  <c r="BC466" i="12"/>
  <c r="BB466" i="12"/>
  <c r="BA466" i="12"/>
  <c r="AZ466" i="12"/>
  <c r="AY466" i="12"/>
  <c r="AX466" i="12"/>
  <c r="BI465" i="12"/>
  <c r="BG465" i="12"/>
  <c r="BF465" i="12"/>
  <c r="BE465" i="12"/>
  <c r="BD465" i="12"/>
  <c r="BC465" i="12"/>
  <c r="BB465" i="12"/>
  <c r="BA465" i="12"/>
  <c r="AZ465" i="12"/>
  <c r="AY465" i="12"/>
  <c r="AX465" i="12"/>
  <c r="BI464" i="12"/>
  <c r="BG464" i="12"/>
  <c r="BF464" i="12"/>
  <c r="BE464" i="12"/>
  <c r="BD464" i="12"/>
  <c r="BC464" i="12"/>
  <c r="BB464" i="12"/>
  <c r="BA464" i="12"/>
  <c r="AZ464" i="12"/>
  <c r="AY464" i="12"/>
  <c r="AX464" i="12"/>
  <c r="BI463" i="12"/>
  <c r="BG463" i="12"/>
  <c r="BF463" i="12"/>
  <c r="BE463" i="12"/>
  <c r="BD463" i="12"/>
  <c r="BC463" i="12"/>
  <c r="BB463" i="12"/>
  <c r="BA463" i="12"/>
  <c r="AZ463" i="12"/>
  <c r="AY463" i="12"/>
  <c r="AX463" i="12"/>
  <c r="BI462" i="12"/>
  <c r="BG462" i="12"/>
  <c r="BF462" i="12"/>
  <c r="BE462" i="12"/>
  <c r="BD462" i="12"/>
  <c r="BC462" i="12"/>
  <c r="BB462" i="12"/>
  <c r="BA462" i="12"/>
  <c r="AZ462" i="12"/>
  <c r="AY462" i="12"/>
  <c r="AX462" i="12"/>
  <c r="BI461" i="12"/>
  <c r="BG461" i="12"/>
  <c r="BF461" i="12"/>
  <c r="BE461" i="12"/>
  <c r="BD461" i="12"/>
  <c r="BC461" i="12"/>
  <c r="BB461" i="12"/>
  <c r="BA461" i="12"/>
  <c r="AZ461" i="12"/>
  <c r="AY461" i="12"/>
  <c r="AX461" i="12"/>
  <c r="BI460" i="12"/>
  <c r="BG460" i="12"/>
  <c r="BF460" i="12"/>
  <c r="BE460" i="12"/>
  <c r="BD460" i="12"/>
  <c r="BC460" i="12"/>
  <c r="BB460" i="12"/>
  <c r="BA460" i="12"/>
  <c r="AZ460" i="12"/>
  <c r="AY460" i="12"/>
  <c r="AX460" i="12"/>
  <c r="BI459" i="12"/>
  <c r="BG459" i="12"/>
  <c r="BF459" i="12"/>
  <c r="BE459" i="12"/>
  <c r="BD459" i="12"/>
  <c r="BC459" i="12"/>
  <c r="BB459" i="12"/>
  <c r="BA459" i="12"/>
  <c r="AZ459" i="12"/>
  <c r="AY459" i="12"/>
  <c r="AX459" i="12"/>
  <c r="BI458" i="12"/>
  <c r="BG458" i="12"/>
  <c r="BF458" i="12"/>
  <c r="BE458" i="12"/>
  <c r="BD458" i="12"/>
  <c r="BC458" i="12"/>
  <c r="BB458" i="12"/>
  <c r="BA458" i="12"/>
  <c r="AZ458" i="12"/>
  <c r="AY458" i="12"/>
  <c r="AX458" i="12"/>
  <c r="BI457" i="12"/>
  <c r="BG457" i="12"/>
  <c r="BF457" i="12"/>
  <c r="BE457" i="12"/>
  <c r="BD457" i="12"/>
  <c r="BC457" i="12"/>
  <c r="BB457" i="12"/>
  <c r="BA457" i="12"/>
  <c r="AZ457" i="12"/>
  <c r="AY457" i="12"/>
  <c r="AX457" i="12"/>
  <c r="BI456" i="12"/>
  <c r="BG456" i="12"/>
  <c r="BF456" i="12"/>
  <c r="BE456" i="12"/>
  <c r="BD456" i="12"/>
  <c r="BC456" i="12"/>
  <c r="BB456" i="12"/>
  <c r="BA456" i="12"/>
  <c r="AZ456" i="12"/>
  <c r="AY456" i="12"/>
  <c r="AX456" i="12"/>
  <c r="BI455" i="12"/>
  <c r="BG455" i="12"/>
  <c r="BF455" i="12"/>
  <c r="BE455" i="12"/>
  <c r="BD455" i="12"/>
  <c r="BC455" i="12"/>
  <c r="BB455" i="12"/>
  <c r="BA455" i="12"/>
  <c r="AZ455" i="12"/>
  <c r="AY455" i="12"/>
  <c r="AX455" i="12"/>
  <c r="BI454" i="12"/>
  <c r="BG454" i="12"/>
  <c r="BF454" i="12"/>
  <c r="BE454" i="12"/>
  <c r="BD454" i="12"/>
  <c r="BC454" i="12"/>
  <c r="BB454" i="12"/>
  <c r="BA454" i="12"/>
  <c r="AZ454" i="12"/>
  <c r="AY454" i="12"/>
  <c r="AX454" i="12"/>
  <c r="BI453" i="12"/>
  <c r="BG453" i="12"/>
  <c r="BF453" i="12"/>
  <c r="BE453" i="12"/>
  <c r="BD453" i="12"/>
  <c r="BC453" i="12"/>
  <c r="BB453" i="12"/>
  <c r="BA453" i="12"/>
  <c r="AZ453" i="12"/>
  <c r="AY453" i="12"/>
  <c r="AX453" i="12"/>
  <c r="BI452" i="12"/>
  <c r="BG452" i="12"/>
  <c r="BF452" i="12"/>
  <c r="BE452" i="12"/>
  <c r="BD452" i="12"/>
  <c r="BC452" i="12"/>
  <c r="BB452" i="12"/>
  <c r="BA452" i="12"/>
  <c r="AZ452" i="12"/>
  <c r="AY452" i="12"/>
  <c r="AX452" i="12"/>
  <c r="BI451" i="12"/>
  <c r="BG451" i="12"/>
  <c r="BF451" i="12"/>
  <c r="BE451" i="12"/>
  <c r="BD451" i="12"/>
  <c r="BC451" i="12"/>
  <c r="BB451" i="12"/>
  <c r="BA451" i="12"/>
  <c r="AZ451" i="12"/>
  <c r="AY451" i="12"/>
  <c r="AX451" i="12"/>
  <c r="BI450" i="12"/>
  <c r="BG450" i="12"/>
  <c r="BF450" i="12"/>
  <c r="BE450" i="12"/>
  <c r="BD450" i="12"/>
  <c r="BC450" i="12"/>
  <c r="BB450" i="12"/>
  <c r="BA450" i="12"/>
  <c r="AZ450" i="12"/>
  <c r="AY450" i="12"/>
  <c r="AX450" i="12"/>
  <c r="BI449" i="12"/>
  <c r="BG449" i="12"/>
  <c r="BF449" i="12"/>
  <c r="BE449" i="12"/>
  <c r="BD449" i="12"/>
  <c r="BC449" i="12"/>
  <c r="BB449" i="12"/>
  <c r="BA449" i="12"/>
  <c r="AZ449" i="12"/>
  <c r="AY449" i="12"/>
  <c r="AX449" i="12"/>
  <c r="BI448" i="12"/>
  <c r="BG448" i="12"/>
  <c r="BF448" i="12"/>
  <c r="BE448" i="12"/>
  <c r="BD448" i="12"/>
  <c r="BC448" i="12"/>
  <c r="BB448" i="12"/>
  <c r="BA448" i="12"/>
  <c r="AZ448" i="12"/>
  <c r="AY448" i="12"/>
  <c r="AX448" i="12"/>
  <c r="BI447" i="12"/>
  <c r="BG447" i="12"/>
  <c r="BF447" i="12"/>
  <c r="BE447" i="12"/>
  <c r="BD447" i="12"/>
  <c r="BC447" i="12"/>
  <c r="BB447" i="12"/>
  <c r="BA447" i="12"/>
  <c r="AZ447" i="12"/>
  <c r="AY447" i="12"/>
  <c r="AX447" i="12"/>
  <c r="BI446" i="12"/>
  <c r="BG446" i="12"/>
  <c r="BF446" i="12"/>
  <c r="BE446" i="12"/>
  <c r="BD446" i="12"/>
  <c r="BC446" i="12"/>
  <c r="BB446" i="12"/>
  <c r="BA446" i="12"/>
  <c r="AZ446" i="12"/>
  <c r="AY446" i="12"/>
  <c r="AX446" i="12"/>
  <c r="BI445" i="12"/>
  <c r="BG445" i="12"/>
  <c r="BF445" i="12"/>
  <c r="BE445" i="12"/>
  <c r="BD445" i="12"/>
  <c r="BC445" i="12"/>
  <c r="BB445" i="12"/>
  <c r="BA445" i="12"/>
  <c r="AZ445" i="12"/>
  <c r="AY445" i="12"/>
  <c r="AX445" i="12"/>
  <c r="BI444" i="12"/>
  <c r="BG444" i="12"/>
  <c r="BF444" i="12"/>
  <c r="BE444" i="12"/>
  <c r="BD444" i="12"/>
  <c r="BC444" i="12"/>
  <c r="BB444" i="12"/>
  <c r="BA444" i="12"/>
  <c r="AZ444" i="12"/>
  <c r="AY444" i="12"/>
  <c r="AX444" i="12"/>
  <c r="BI443" i="12"/>
  <c r="BG443" i="12"/>
  <c r="BF443" i="12"/>
  <c r="BE443" i="12"/>
  <c r="BD443" i="12"/>
  <c r="BC443" i="12"/>
  <c r="BB443" i="12"/>
  <c r="BA443" i="12"/>
  <c r="AZ443" i="12"/>
  <c r="AY443" i="12"/>
  <c r="AX443" i="12"/>
  <c r="BI442" i="12"/>
  <c r="BG442" i="12"/>
  <c r="BF442" i="12"/>
  <c r="BE442" i="12"/>
  <c r="BD442" i="12"/>
  <c r="BC442" i="12"/>
  <c r="BB442" i="12"/>
  <c r="BA442" i="12"/>
  <c r="AZ442" i="12"/>
  <c r="AY442" i="12"/>
  <c r="AX442" i="12"/>
  <c r="BI441" i="12"/>
  <c r="BG441" i="12"/>
  <c r="BF441" i="12"/>
  <c r="BE441" i="12"/>
  <c r="BD441" i="12"/>
  <c r="BC441" i="12"/>
  <c r="BB441" i="12"/>
  <c r="BA441" i="12"/>
  <c r="AZ441" i="12"/>
  <c r="AY441" i="12"/>
  <c r="AX441" i="12"/>
  <c r="BI440" i="12"/>
  <c r="BG440" i="12"/>
  <c r="BF440" i="12"/>
  <c r="BE440" i="12"/>
  <c r="BD440" i="12"/>
  <c r="BC440" i="12"/>
  <c r="BB440" i="12"/>
  <c r="BA440" i="12"/>
  <c r="AZ440" i="12"/>
  <c r="AY440" i="12"/>
  <c r="AX440" i="12"/>
  <c r="BI439" i="12"/>
  <c r="BG439" i="12"/>
  <c r="BF439" i="12"/>
  <c r="BE439" i="12"/>
  <c r="BD439" i="12"/>
  <c r="BC439" i="12"/>
  <c r="BB439" i="12"/>
  <c r="BA439" i="12"/>
  <c r="AZ439" i="12"/>
  <c r="AY439" i="12"/>
  <c r="AX439" i="12"/>
  <c r="BI438" i="12"/>
  <c r="BG438" i="12"/>
  <c r="BF438" i="12"/>
  <c r="BE438" i="12"/>
  <c r="BD438" i="12"/>
  <c r="BC438" i="12"/>
  <c r="BB438" i="12"/>
  <c r="BA438" i="12"/>
  <c r="AZ438" i="12"/>
  <c r="AY438" i="12"/>
  <c r="AX438" i="12"/>
  <c r="BI437" i="12"/>
  <c r="BG437" i="12"/>
  <c r="BF437" i="12"/>
  <c r="BE437" i="12"/>
  <c r="BD437" i="12"/>
  <c r="BC437" i="12"/>
  <c r="BB437" i="12"/>
  <c r="BA437" i="12"/>
  <c r="AZ437" i="12"/>
  <c r="AY437" i="12"/>
  <c r="AX437" i="12"/>
  <c r="BI436" i="12"/>
  <c r="BG436" i="12"/>
  <c r="BF436" i="12"/>
  <c r="BE436" i="12"/>
  <c r="BD436" i="12"/>
  <c r="BC436" i="12"/>
  <c r="BB436" i="12"/>
  <c r="BA436" i="12"/>
  <c r="AZ436" i="12"/>
  <c r="AY436" i="12"/>
  <c r="AX436" i="12"/>
  <c r="BI435" i="12"/>
  <c r="BG435" i="12"/>
  <c r="BF435" i="12"/>
  <c r="BE435" i="12"/>
  <c r="BD435" i="12"/>
  <c r="BC435" i="12"/>
  <c r="BB435" i="12"/>
  <c r="BA435" i="12"/>
  <c r="AZ435" i="12"/>
  <c r="AY435" i="12"/>
  <c r="AX435" i="12"/>
  <c r="BI434" i="12"/>
  <c r="BG434" i="12"/>
  <c r="BF434" i="12"/>
  <c r="BE434" i="12"/>
  <c r="BD434" i="12"/>
  <c r="BC434" i="12"/>
  <c r="BB434" i="12"/>
  <c r="BA434" i="12"/>
  <c r="AZ434" i="12"/>
  <c r="AY434" i="12"/>
  <c r="AX434" i="12"/>
  <c r="BI433" i="12"/>
  <c r="BG433" i="12"/>
  <c r="BF433" i="12"/>
  <c r="BE433" i="12"/>
  <c r="BD433" i="12"/>
  <c r="BC433" i="12"/>
  <c r="BB433" i="12"/>
  <c r="BA433" i="12"/>
  <c r="AZ433" i="12"/>
  <c r="AY433" i="12"/>
  <c r="AX433" i="12"/>
  <c r="BI432" i="12"/>
  <c r="BG432" i="12"/>
  <c r="BF432" i="12"/>
  <c r="BE432" i="12"/>
  <c r="BD432" i="12"/>
  <c r="BC432" i="12"/>
  <c r="BB432" i="12"/>
  <c r="BA432" i="12"/>
  <c r="AZ432" i="12"/>
  <c r="AY432" i="12"/>
  <c r="AX432" i="12"/>
  <c r="BI431" i="12"/>
  <c r="BG431" i="12"/>
  <c r="BF431" i="12"/>
  <c r="BE431" i="12"/>
  <c r="BD431" i="12"/>
  <c r="BC431" i="12"/>
  <c r="BB431" i="12"/>
  <c r="BA431" i="12"/>
  <c r="AZ431" i="12"/>
  <c r="AY431" i="12"/>
  <c r="AX431" i="12"/>
  <c r="BI430" i="12"/>
  <c r="BG430" i="12"/>
  <c r="BF430" i="12"/>
  <c r="BE430" i="12"/>
  <c r="BD430" i="12"/>
  <c r="BC430" i="12"/>
  <c r="BB430" i="12"/>
  <c r="BA430" i="12"/>
  <c r="AZ430" i="12"/>
  <c r="AY430" i="12"/>
  <c r="AX430" i="12"/>
  <c r="BI429" i="12"/>
  <c r="BG429" i="12"/>
  <c r="BF429" i="12"/>
  <c r="BE429" i="12"/>
  <c r="BD429" i="12"/>
  <c r="BC429" i="12"/>
  <c r="BB429" i="12"/>
  <c r="BA429" i="12"/>
  <c r="AZ429" i="12"/>
  <c r="AY429" i="12"/>
  <c r="AX429" i="12"/>
  <c r="BI428" i="12"/>
  <c r="BG428" i="12"/>
  <c r="BF428" i="12"/>
  <c r="BE428" i="12"/>
  <c r="BD428" i="12"/>
  <c r="BC428" i="12"/>
  <c r="BB428" i="12"/>
  <c r="BA428" i="12"/>
  <c r="AZ428" i="12"/>
  <c r="AY428" i="12"/>
  <c r="AX428" i="12"/>
  <c r="BI427" i="12"/>
  <c r="BG427" i="12"/>
  <c r="BF427" i="12"/>
  <c r="BE427" i="12"/>
  <c r="BD427" i="12"/>
  <c r="BC427" i="12"/>
  <c r="BB427" i="12"/>
  <c r="BA427" i="12"/>
  <c r="AZ427" i="12"/>
  <c r="AY427" i="12"/>
  <c r="AX427" i="12"/>
  <c r="BI426" i="12"/>
  <c r="BG426" i="12"/>
  <c r="BF426" i="12"/>
  <c r="BE426" i="12"/>
  <c r="BD426" i="12"/>
  <c r="BC426" i="12"/>
  <c r="BB426" i="12"/>
  <c r="BA426" i="12"/>
  <c r="AZ426" i="12"/>
  <c r="AY426" i="12"/>
  <c r="AX426" i="12"/>
  <c r="BI425" i="12"/>
  <c r="BG425" i="12"/>
  <c r="BF425" i="12"/>
  <c r="BE425" i="12"/>
  <c r="BD425" i="12"/>
  <c r="BC425" i="12"/>
  <c r="BB425" i="12"/>
  <c r="BA425" i="12"/>
  <c r="AZ425" i="12"/>
  <c r="AY425" i="12"/>
  <c r="AX425" i="12"/>
  <c r="BI424" i="12"/>
  <c r="BG424" i="12"/>
  <c r="BF424" i="12"/>
  <c r="BE424" i="12"/>
  <c r="BD424" i="12"/>
  <c r="BC424" i="12"/>
  <c r="BB424" i="12"/>
  <c r="BA424" i="12"/>
  <c r="AZ424" i="12"/>
  <c r="AY424" i="12"/>
  <c r="AX424" i="12"/>
  <c r="BI423" i="12"/>
  <c r="BG423" i="12"/>
  <c r="BF423" i="12"/>
  <c r="BE423" i="12"/>
  <c r="BD423" i="12"/>
  <c r="BC423" i="12"/>
  <c r="BB423" i="12"/>
  <c r="BA423" i="12"/>
  <c r="AZ423" i="12"/>
  <c r="AY423" i="12"/>
  <c r="AX423" i="12"/>
  <c r="BI422" i="12"/>
  <c r="BG422" i="12"/>
  <c r="BF422" i="12"/>
  <c r="BE422" i="12"/>
  <c r="BD422" i="12"/>
  <c r="BC422" i="12"/>
  <c r="BB422" i="12"/>
  <c r="BA422" i="12"/>
  <c r="AZ422" i="12"/>
  <c r="AY422" i="12"/>
  <c r="AX422" i="12"/>
  <c r="BI421" i="12"/>
  <c r="BG421" i="12"/>
  <c r="BF421" i="12"/>
  <c r="BE421" i="12"/>
  <c r="BD421" i="12"/>
  <c r="BC421" i="12"/>
  <c r="BB421" i="12"/>
  <c r="BA421" i="12"/>
  <c r="AZ421" i="12"/>
  <c r="AY421" i="12"/>
  <c r="AX421" i="12"/>
  <c r="BI420" i="12"/>
  <c r="BG420" i="12"/>
  <c r="BF420" i="12"/>
  <c r="BE420" i="12"/>
  <c r="BD420" i="12"/>
  <c r="BC420" i="12"/>
  <c r="BB420" i="12"/>
  <c r="BA420" i="12"/>
  <c r="AZ420" i="12"/>
  <c r="AY420" i="12"/>
  <c r="AX420" i="12"/>
  <c r="BI419" i="12"/>
  <c r="BG419" i="12"/>
  <c r="BF419" i="12"/>
  <c r="BE419" i="12"/>
  <c r="BD419" i="12"/>
  <c r="BC419" i="12"/>
  <c r="BB419" i="12"/>
  <c r="BA419" i="12"/>
  <c r="AZ419" i="12"/>
  <c r="AY419" i="12"/>
  <c r="AX419" i="12"/>
  <c r="BI418" i="12"/>
  <c r="BG418" i="12"/>
  <c r="BF418" i="12"/>
  <c r="BE418" i="12"/>
  <c r="BD418" i="12"/>
  <c r="BC418" i="12"/>
  <c r="BB418" i="12"/>
  <c r="BA418" i="12"/>
  <c r="AZ418" i="12"/>
  <c r="AY418" i="12"/>
  <c r="AX418" i="12"/>
  <c r="BI417" i="12"/>
  <c r="BG417" i="12"/>
  <c r="BF417" i="12"/>
  <c r="BE417" i="12"/>
  <c r="BD417" i="12"/>
  <c r="BC417" i="12"/>
  <c r="BB417" i="12"/>
  <c r="BA417" i="12"/>
  <c r="AZ417" i="12"/>
  <c r="AY417" i="12"/>
  <c r="AX417" i="12"/>
  <c r="BI416" i="12"/>
  <c r="BG416" i="12"/>
  <c r="BF416" i="12"/>
  <c r="BE416" i="12"/>
  <c r="BD416" i="12"/>
  <c r="BC416" i="12"/>
  <c r="BB416" i="12"/>
  <c r="BA416" i="12"/>
  <c r="AZ416" i="12"/>
  <c r="AY416" i="12"/>
  <c r="AX416" i="12"/>
  <c r="BI415" i="12"/>
  <c r="BG415" i="12"/>
  <c r="BF415" i="12"/>
  <c r="BE415" i="12"/>
  <c r="BD415" i="12"/>
  <c r="BC415" i="12"/>
  <c r="BB415" i="12"/>
  <c r="BA415" i="12"/>
  <c r="AZ415" i="12"/>
  <c r="AY415" i="12"/>
  <c r="AX415" i="12"/>
  <c r="BI414" i="12"/>
  <c r="BG414" i="12"/>
  <c r="BF414" i="12"/>
  <c r="BE414" i="12"/>
  <c r="BD414" i="12"/>
  <c r="BC414" i="12"/>
  <c r="BB414" i="12"/>
  <c r="BA414" i="12"/>
  <c r="AZ414" i="12"/>
  <c r="AY414" i="12"/>
  <c r="AX414" i="12"/>
  <c r="BI413" i="12"/>
  <c r="BG413" i="12"/>
  <c r="BF413" i="12"/>
  <c r="BE413" i="12"/>
  <c r="BD413" i="12"/>
  <c r="BC413" i="12"/>
  <c r="BB413" i="12"/>
  <c r="BA413" i="12"/>
  <c r="AZ413" i="12"/>
  <c r="AY413" i="12"/>
  <c r="AX413" i="12"/>
  <c r="BI412" i="12"/>
  <c r="BG412" i="12"/>
  <c r="BF412" i="12"/>
  <c r="BE412" i="12"/>
  <c r="BD412" i="12"/>
  <c r="BC412" i="12"/>
  <c r="BB412" i="12"/>
  <c r="BA412" i="12"/>
  <c r="AZ412" i="12"/>
  <c r="AY412" i="12"/>
  <c r="AX412" i="12"/>
  <c r="BI411" i="12"/>
  <c r="BG411" i="12"/>
  <c r="BF411" i="12"/>
  <c r="BE411" i="12"/>
  <c r="BD411" i="12"/>
  <c r="BC411" i="12"/>
  <c r="BB411" i="12"/>
  <c r="BA411" i="12"/>
  <c r="AZ411" i="12"/>
  <c r="AY411" i="12"/>
  <c r="AX411" i="12"/>
  <c r="BI410" i="12"/>
  <c r="BG410" i="12"/>
  <c r="BF410" i="12"/>
  <c r="BE410" i="12"/>
  <c r="BD410" i="12"/>
  <c r="BC410" i="12"/>
  <c r="BB410" i="12"/>
  <c r="BA410" i="12"/>
  <c r="AZ410" i="12"/>
  <c r="AY410" i="12"/>
  <c r="AX410" i="12"/>
  <c r="BI409" i="12"/>
  <c r="BG409" i="12"/>
  <c r="BF409" i="12"/>
  <c r="BE409" i="12"/>
  <c r="BD409" i="12"/>
  <c r="BC409" i="12"/>
  <c r="BB409" i="12"/>
  <c r="BA409" i="12"/>
  <c r="AZ409" i="12"/>
  <c r="AY409" i="12"/>
  <c r="AX409" i="12"/>
  <c r="BI408" i="12"/>
  <c r="BG408" i="12"/>
  <c r="BF408" i="12"/>
  <c r="BE408" i="12"/>
  <c r="BD408" i="12"/>
  <c r="BC408" i="12"/>
  <c r="BB408" i="12"/>
  <c r="BA408" i="12"/>
  <c r="AZ408" i="12"/>
  <c r="AY408" i="12"/>
  <c r="AX408" i="12"/>
  <c r="BI407" i="12"/>
  <c r="BG407" i="12"/>
  <c r="BF407" i="12"/>
  <c r="BE407" i="12"/>
  <c r="BD407" i="12"/>
  <c r="BC407" i="12"/>
  <c r="BB407" i="12"/>
  <c r="BA407" i="12"/>
  <c r="AZ407" i="12"/>
  <c r="AY407" i="12"/>
  <c r="AX407" i="12"/>
  <c r="BI406" i="12"/>
  <c r="BG406" i="12"/>
  <c r="BF406" i="12"/>
  <c r="BE406" i="12"/>
  <c r="BD406" i="12"/>
  <c r="BC406" i="12"/>
  <c r="BB406" i="12"/>
  <c r="BA406" i="12"/>
  <c r="AZ406" i="12"/>
  <c r="AY406" i="12"/>
  <c r="AX406" i="12"/>
  <c r="BI405" i="12"/>
  <c r="BG405" i="12"/>
  <c r="BF405" i="12"/>
  <c r="BE405" i="12"/>
  <c r="BD405" i="12"/>
  <c r="BC405" i="12"/>
  <c r="BB405" i="12"/>
  <c r="BA405" i="12"/>
  <c r="AZ405" i="12"/>
  <c r="AY405" i="12"/>
  <c r="AX405" i="12"/>
  <c r="BI404" i="12"/>
  <c r="BG404" i="12"/>
  <c r="BF404" i="12"/>
  <c r="BE404" i="12"/>
  <c r="BD404" i="12"/>
  <c r="BC404" i="12"/>
  <c r="BB404" i="12"/>
  <c r="BA404" i="12"/>
  <c r="AZ404" i="12"/>
  <c r="AY404" i="12"/>
  <c r="AX404" i="12"/>
  <c r="BI403" i="12"/>
  <c r="BG403" i="12"/>
  <c r="BF403" i="12"/>
  <c r="BE403" i="12"/>
  <c r="BD403" i="12"/>
  <c r="BC403" i="12"/>
  <c r="BB403" i="12"/>
  <c r="BA403" i="12"/>
  <c r="AZ403" i="12"/>
  <c r="AY403" i="12"/>
  <c r="AX403" i="12"/>
  <c r="BI402" i="12"/>
  <c r="BG402" i="12"/>
  <c r="BF402" i="12"/>
  <c r="BE402" i="12"/>
  <c r="BD402" i="12"/>
  <c r="BC402" i="12"/>
  <c r="BB402" i="12"/>
  <c r="BA402" i="12"/>
  <c r="AZ402" i="12"/>
  <c r="AY402" i="12"/>
  <c r="AX402" i="12"/>
  <c r="BI401" i="12"/>
  <c r="BG401" i="12"/>
  <c r="BF401" i="12"/>
  <c r="BE401" i="12"/>
  <c r="BD401" i="12"/>
  <c r="BC401" i="12"/>
  <c r="BB401" i="12"/>
  <c r="BA401" i="12"/>
  <c r="AZ401" i="12"/>
  <c r="AY401" i="12"/>
  <c r="AX401" i="12"/>
  <c r="BI400" i="12"/>
  <c r="BG400" i="12"/>
  <c r="BF400" i="12"/>
  <c r="BE400" i="12"/>
  <c r="BD400" i="12"/>
  <c r="BC400" i="12"/>
  <c r="BB400" i="12"/>
  <c r="BA400" i="12"/>
  <c r="AZ400" i="12"/>
  <c r="AY400" i="12"/>
  <c r="AX400" i="12"/>
  <c r="BI399" i="12"/>
  <c r="BG399" i="12"/>
  <c r="BF399" i="12"/>
  <c r="BE399" i="12"/>
  <c r="BD399" i="12"/>
  <c r="BC399" i="12"/>
  <c r="BB399" i="12"/>
  <c r="BA399" i="12"/>
  <c r="AZ399" i="12"/>
  <c r="AY399" i="12"/>
  <c r="AX399" i="12"/>
  <c r="BI398" i="12"/>
  <c r="BG398" i="12"/>
  <c r="BF398" i="12"/>
  <c r="BE398" i="12"/>
  <c r="BD398" i="12"/>
  <c r="BC398" i="12"/>
  <c r="BB398" i="12"/>
  <c r="BA398" i="12"/>
  <c r="AZ398" i="12"/>
  <c r="AY398" i="12"/>
  <c r="AX398" i="12"/>
  <c r="BI397" i="12"/>
  <c r="BG397" i="12"/>
  <c r="BF397" i="12"/>
  <c r="BE397" i="12"/>
  <c r="BD397" i="12"/>
  <c r="BC397" i="12"/>
  <c r="BB397" i="12"/>
  <c r="BA397" i="12"/>
  <c r="AZ397" i="12"/>
  <c r="AY397" i="12"/>
  <c r="AX397" i="12"/>
  <c r="BI396" i="12"/>
  <c r="BG396" i="12"/>
  <c r="BF396" i="12"/>
  <c r="BE396" i="12"/>
  <c r="BD396" i="12"/>
  <c r="BC396" i="12"/>
  <c r="BB396" i="12"/>
  <c r="BA396" i="12"/>
  <c r="AZ396" i="12"/>
  <c r="AY396" i="12"/>
  <c r="AX396" i="12"/>
  <c r="BI395" i="12"/>
  <c r="BG395" i="12"/>
  <c r="BF395" i="12"/>
  <c r="BE395" i="12"/>
  <c r="BD395" i="12"/>
  <c r="BC395" i="12"/>
  <c r="BB395" i="12"/>
  <c r="BA395" i="12"/>
  <c r="AZ395" i="12"/>
  <c r="AY395" i="12"/>
  <c r="AX395" i="12"/>
  <c r="BI394" i="12"/>
  <c r="BG394" i="12"/>
  <c r="BF394" i="12"/>
  <c r="BE394" i="12"/>
  <c r="BD394" i="12"/>
  <c r="BC394" i="12"/>
  <c r="BB394" i="12"/>
  <c r="BA394" i="12"/>
  <c r="AZ394" i="12"/>
  <c r="AY394" i="12"/>
  <c r="AX394" i="12"/>
  <c r="BI393" i="12"/>
  <c r="BG393" i="12"/>
  <c r="BF393" i="12"/>
  <c r="BE393" i="12"/>
  <c r="BD393" i="12"/>
  <c r="BC393" i="12"/>
  <c r="BB393" i="12"/>
  <c r="BA393" i="12"/>
  <c r="AZ393" i="12"/>
  <c r="AY393" i="12"/>
  <c r="AX393" i="12"/>
  <c r="BI392" i="12"/>
  <c r="BG392" i="12"/>
  <c r="BF392" i="12"/>
  <c r="BE392" i="12"/>
  <c r="BD392" i="12"/>
  <c r="BC392" i="12"/>
  <c r="BB392" i="12"/>
  <c r="BA392" i="12"/>
  <c r="AZ392" i="12"/>
  <c r="AY392" i="12"/>
  <c r="AX392" i="12"/>
  <c r="BI391" i="12"/>
  <c r="BG391" i="12"/>
  <c r="BF391" i="12"/>
  <c r="BE391" i="12"/>
  <c r="BD391" i="12"/>
  <c r="BC391" i="12"/>
  <c r="BB391" i="12"/>
  <c r="BA391" i="12"/>
  <c r="AZ391" i="12"/>
  <c r="AY391" i="12"/>
  <c r="AX391" i="12"/>
  <c r="BI390" i="12"/>
  <c r="BG390" i="12"/>
  <c r="BF390" i="12"/>
  <c r="BE390" i="12"/>
  <c r="BD390" i="12"/>
  <c r="BC390" i="12"/>
  <c r="BB390" i="12"/>
  <c r="BA390" i="12"/>
  <c r="AZ390" i="12"/>
  <c r="AY390" i="12"/>
  <c r="AX390" i="12"/>
  <c r="BI389" i="12"/>
  <c r="BG389" i="12"/>
  <c r="BF389" i="12"/>
  <c r="BE389" i="12"/>
  <c r="BD389" i="12"/>
  <c r="BC389" i="12"/>
  <c r="BB389" i="12"/>
  <c r="BA389" i="12"/>
  <c r="AZ389" i="12"/>
  <c r="AY389" i="12"/>
  <c r="AX389" i="12"/>
  <c r="BI388" i="12"/>
  <c r="BG388" i="12"/>
  <c r="BF388" i="12"/>
  <c r="BE388" i="12"/>
  <c r="BD388" i="12"/>
  <c r="BC388" i="12"/>
  <c r="BB388" i="12"/>
  <c r="BA388" i="12"/>
  <c r="AZ388" i="12"/>
  <c r="AY388" i="12"/>
  <c r="AX388" i="12"/>
  <c r="BI387" i="12"/>
  <c r="BG387" i="12"/>
  <c r="BF387" i="12"/>
  <c r="BE387" i="12"/>
  <c r="BD387" i="12"/>
  <c r="BC387" i="12"/>
  <c r="BB387" i="12"/>
  <c r="BA387" i="12"/>
  <c r="AZ387" i="12"/>
  <c r="AY387" i="12"/>
  <c r="AX387" i="12"/>
  <c r="BI386" i="12"/>
  <c r="BG386" i="12"/>
  <c r="BF386" i="12"/>
  <c r="BE386" i="12"/>
  <c r="BD386" i="12"/>
  <c r="BC386" i="12"/>
  <c r="BB386" i="12"/>
  <c r="BA386" i="12"/>
  <c r="AZ386" i="12"/>
  <c r="AY386" i="12"/>
  <c r="AX386" i="12"/>
  <c r="BI385" i="12"/>
  <c r="BG385" i="12"/>
  <c r="BF385" i="12"/>
  <c r="BE385" i="12"/>
  <c r="BD385" i="12"/>
  <c r="BC385" i="12"/>
  <c r="BB385" i="12"/>
  <c r="BA385" i="12"/>
  <c r="AZ385" i="12"/>
  <c r="AY385" i="12"/>
  <c r="AX385" i="12"/>
  <c r="BI384" i="12"/>
  <c r="BG384" i="12"/>
  <c r="BF384" i="12"/>
  <c r="BE384" i="12"/>
  <c r="BD384" i="12"/>
  <c r="BC384" i="12"/>
  <c r="BB384" i="12"/>
  <c r="BA384" i="12"/>
  <c r="AZ384" i="12"/>
  <c r="AY384" i="12"/>
  <c r="AX384" i="12"/>
  <c r="BI383" i="12"/>
  <c r="BG383" i="12"/>
  <c r="BF383" i="12"/>
  <c r="BE383" i="12"/>
  <c r="BD383" i="12"/>
  <c r="BC383" i="12"/>
  <c r="BB383" i="12"/>
  <c r="BA383" i="12"/>
  <c r="AZ383" i="12"/>
  <c r="AY383" i="12"/>
  <c r="AX383" i="12"/>
  <c r="BI382" i="12"/>
  <c r="BG382" i="12"/>
  <c r="BF382" i="12"/>
  <c r="BE382" i="12"/>
  <c r="BD382" i="12"/>
  <c r="BC382" i="12"/>
  <c r="BB382" i="12"/>
  <c r="BA382" i="12"/>
  <c r="AZ382" i="12"/>
  <c r="AY382" i="12"/>
  <c r="AX382" i="12"/>
  <c r="BI381" i="12"/>
  <c r="BG381" i="12"/>
  <c r="BF381" i="12"/>
  <c r="BE381" i="12"/>
  <c r="BD381" i="12"/>
  <c r="BC381" i="12"/>
  <c r="BB381" i="12"/>
  <c r="BA381" i="12"/>
  <c r="AZ381" i="12"/>
  <c r="AY381" i="12"/>
  <c r="AX381" i="12"/>
  <c r="BI380" i="12"/>
  <c r="BG380" i="12"/>
  <c r="BF380" i="12"/>
  <c r="BE380" i="12"/>
  <c r="BD380" i="12"/>
  <c r="BC380" i="12"/>
  <c r="BB380" i="12"/>
  <c r="BA380" i="12"/>
  <c r="AZ380" i="12"/>
  <c r="AY380" i="12"/>
  <c r="AX380" i="12"/>
  <c r="BI379" i="12"/>
  <c r="BG379" i="12"/>
  <c r="BF379" i="12"/>
  <c r="BE379" i="12"/>
  <c r="BD379" i="12"/>
  <c r="BC379" i="12"/>
  <c r="BB379" i="12"/>
  <c r="BA379" i="12"/>
  <c r="AZ379" i="12"/>
  <c r="AY379" i="12"/>
  <c r="AX379" i="12"/>
  <c r="BI378" i="12"/>
  <c r="BG378" i="12"/>
  <c r="BF378" i="12"/>
  <c r="BE378" i="12"/>
  <c r="BD378" i="12"/>
  <c r="BC378" i="12"/>
  <c r="BB378" i="12"/>
  <c r="BA378" i="12"/>
  <c r="AZ378" i="12"/>
  <c r="AY378" i="12"/>
  <c r="AX378" i="12"/>
  <c r="BI377" i="12"/>
  <c r="BG377" i="12"/>
  <c r="BF377" i="12"/>
  <c r="BE377" i="12"/>
  <c r="BD377" i="12"/>
  <c r="BC377" i="12"/>
  <c r="BB377" i="12"/>
  <c r="BA377" i="12"/>
  <c r="AZ377" i="12"/>
  <c r="AY377" i="12"/>
  <c r="AX377" i="12"/>
  <c r="BI376" i="12"/>
  <c r="BG376" i="12"/>
  <c r="BF376" i="12"/>
  <c r="BE376" i="12"/>
  <c r="BD376" i="12"/>
  <c r="BC376" i="12"/>
  <c r="BB376" i="12"/>
  <c r="BA376" i="12"/>
  <c r="AZ376" i="12"/>
  <c r="AY376" i="12"/>
  <c r="AX376" i="12"/>
  <c r="BI375" i="12"/>
  <c r="BG375" i="12"/>
  <c r="BF375" i="12"/>
  <c r="BE375" i="12"/>
  <c r="BD375" i="12"/>
  <c r="BC375" i="12"/>
  <c r="BB375" i="12"/>
  <c r="BA375" i="12"/>
  <c r="AZ375" i="12"/>
  <c r="AY375" i="12"/>
  <c r="AX375" i="12"/>
  <c r="BI374" i="12"/>
  <c r="BG374" i="12"/>
  <c r="BF374" i="12"/>
  <c r="BE374" i="12"/>
  <c r="BD374" i="12"/>
  <c r="BC374" i="12"/>
  <c r="BB374" i="12"/>
  <c r="BA374" i="12"/>
  <c r="AZ374" i="12"/>
  <c r="AY374" i="12"/>
  <c r="AX374" i="12"/>
  <c r="BI373" i="12"/>
  <c r="BG373" i="12"/>
  <c r="BF373" i="12"/>
  <c r="BE373" i="12"/>
  <c r="BD373" i="12"/>
  <c r="BC373" i="12"/>
  <c r="BB373" i="12"/>
  <c r="BA373" i="12"/>
  <c r="AZ373" i="12"/>
  <c r="AY373" i="12"/>
  <c r="AX373" i="12"/>
  <c r="BI372" i="12"/>
  <c r="BG372" i="12"/>
  <c r="BF372" i="12"/>
  <c r="BE372" i="12"/>
  <c r="BD372" i="12"/>
  <c r="BC372" i="12"/>
  <c r="BB372" i="12"/>
  <c r="BA372" i="12"/>
  <c r="AZ372" i="12"/>
  <c r="AY372" i="12"/>
  <c r="AX372" i="12"/>
  <c r="BI371" i="12"/>
  <c r="BG371" i="12"/>
  <c r="BF371" i="12"/>
  <c r="BE371" i="12"/>
  <c r="BD371" i="12"/>
  <c r="BC371" i="12"/>
  <c r="BB371" i="12"/>
  <c r="BA371" i="12"/>
  <c r="AZ371" i="12"/>
  <c r="AY371" i="12"/>
  <c r="AX371" i="12"/>
  <c r="BI370" i="12"/>
  <c r="BG370" i="12"/>
  <c r="BF370" i="12"/>
  <c r="BE370" i="12"/>
  <c r="BD370" i="12"/>
  <c r="BC370" i="12"/>
  <c r="BB370" i="12"/>
  <c r="BA370" i="12"/>
  <c r="AZ370" i="12"/>
  <c r="AY370" i="12"/>
  <c r="AX370" i="12"/>
  <c r="BI369" i="12"/>
  <c r="BG369" i="12"/>
  <c r="BF369" i="12"/>
  <c r="BE369" i="12"/>
  <c r="BD369" i="12"/>
  <c r="BC369" i="12"/>
  <c r="BB369" i="12"/>
  <c r="BA369" i="12"/>
  <c r="AZ369" i="12"/>
  <c r="AY369" i="12"/>
  <c r="AX369" i="12"/>
  <c r="BI368" i="12"/>
  <c r="BG368" i="12"/>
  <c r="BF368" i="12"/>
  <c r="BE368" i="12"/>
  <c r="BD368" i="12"/>
  <c r="BC368" i="12"/>
  <c r="BB368" i="12"/>
  <c r="BA368" i="12"/>
  <c r="AZ368" i="12"/>
  <c r="AY368" i="12"/>
  <c r="AX368" i="12"/>
  <c r="BI367" i="12"/>
  <c r="BG367" i="12"/>
  <c r="BF367" i="12"/>
  <c r="BE367" i="12"/>
  <c r="BD367" i="12"/>
  <c r="BC367" i="12"/>
  <c r="BB367" i="12"/>
  <c r="BA367" i="12"/>
  <c r="AZ367" i="12"/>
  <c r="AY367" i="12"/>
  <c r="AX367" i="12"/>
  <c r="BI366" i="12"/>
  <c r="BG366" i="12"/>
  <c r="BF366" i="12"/>
  <c r="BE366" i="12"/>
  <c r="BD366" i="12"/>
  <c r="BC366" i="12"/>
  <c r="BB366" i="12"/>
  <c r="BA366" i="12"/>
  <c r="AZ366" i="12"/>
  <c r="AY366" i="12"/>
  <c r="AX366" i="12"/>
  <c r="BI365" i="12"/>
  <c r="BG365" i="12"/>
  <c r="BF365" i="12"/>
  <c r="BE365" i="12"/>
  <c r="BD365" i="12"/>
  <c r="BC365" i="12"/>
  <c r="BB365" i="12"/>
  <c r="BA365" i="12"/>
  <c r="AZ365" i="12"/>
  <c r="AY365" i="12"/>
  <c r="AX365" i="12"/>
  <c r="BI364" i="12"/>
  <c r="BG364" i="12"/>
  <c r="BF364" i="12"/>
  <c r="BE364" i="12"/>
  <c r="BD364" i="12"/>
  <c r="BC364" i="12"/>
  <c r="BB364" i="12"/>
  <c r="BA364" i="12"/>
  <c r="AZ364" i="12"/>
  <c r="AY364" i="12"/>
  <c r="AX364" i="12"/>
  <c r="BI363" i="12"/>
  <c r="BG363" i="12"/>
  <c r="BF363" i="12"/>
  <c r="BE363" i="12"/>
  <c r="BD363" i="12"/>
  <c r="BC363" i="12"/>
  <c r="BB363" i="12"/>
  <c r="BA363" i="12"/>
  <c r="AZ363" i="12"/>
  <c r="AY363" i="12"/>
  <c r="AX363" i="12"/>
  <c r="BI362" i="12"/>
  <c r="BG362" i="12"/>
  <c r="BF362" i="12"/>
  <c r="BE362" i="12"/>
  <c r="BD362" i="12"/>
  <c r="BC362" i="12"/>
  <c r="BB362" i="12"/>
  <c r="BA362" i="12"/>
  <c r="AZ362" i="12"/>
  <c r="AY362" i="12"/>
  <c r="AX362" i="12"/>
  <c r="BI361" i="12"/>
  <c r="BG361" i="12"/>
  <c r="BF361" i="12"/>
  <c r="BE361" i="12"/>
  <c r="BD361" i="12"/>
  <c r="BC361" i="12"/>
  <c r="BB361" i="12"/>
  <c r="BA361" i="12"/>
  <c r="AZ361" i="12"/>
  <c r="AY361" i="12"/>
  <c r="AX361" i="12"/>
  <c r="BI360" i="12"/>
  <c r="BG360" i="12"/>
  <c r="BF360" i="12"/>
  <c r="BE360" i="12"/>
  <c r="BD360" i="12"/>
  <c r="BC360" i="12"/>
  <c r="BB360" i="12"/>
  <c r="BA360" i="12"/>
  <c r="AZ360" i="12"/>
  <c r="AY360" i="12"/>
  <c r="AX360" i="12"/>
  <c r="BI359" i="12"/>
  <c r="BG359" i="12"/>
  <c r="BF359" i="12"/>
  <c r="BE359" i="12"/>
  <c r="BD359" i="12"/>
  <c r="BC359" i="12"/>
  <c r="BB359" i="12"/>
  <c r="BA359" i="12"/>
  <c r="AZ359" i="12"/>
  <c r="AY359" i="12"/>
  <c r="AX359" i="12"/>
  <c r="BI358" i="12"/>
  <c r="BG358" i="12"/>
  <c r="BF358" i="12"/>
  <c r="BE358" i="12"/>
  <c r="BD358" i="12"/>
  <c r="BC358" i="12"/>
  <c r="BB358" i="12"/>
  <c r="BA358" i="12"/>
  <c r="AZ358" i="12"/>
  <c r="AY358" i="12"/>
  <c r="AX358" i="12"/>
  <c r="BI357" i="12"/>
  <c r="BG357" i="12"/>
  <c r="BF357" i="12"/>
  <c r="BE357" i="12"/>
  <c r="BD357" i="12"/>
  <c r="BC357" i="12"/>
  <c r="BB357" i="12"/>
  <c r="BA357" i="12"/>
  <c r="AZ357" i="12"/>
  <c r="AY357" i="12"/>
  <c r="AX357" i="12"/>
  <c r="BI356" i="12"/>
  <c r="BG356" i="12"/>
  <c r="BF356" i="12"/>
  <c r="BE356" i="12"/>
  <c r="BD356" i="12"/>
  <c r="BC356" i="12"/>
  <c r="BB356" i="12"/>
  <c r="BA356" i="12"/>
  <c r="AZ356" i="12"/>
  <c r="AY356" i="12"/>
  <c r="AX356" i="12"/>
  <c r="BI355" i="12"/>
  <c r="BG355" i="12"/>
  <c r="BF355" i="12"/>
  <c r="BE355" i="12"/>
  <c r="BD355" i="12"/>
  <c r="BC355" i="12"/>
  <c r="BB355" i="12"/>
  <c r="BA355" i="12"/>
  <c r="AZ355" i="12"/>
  <c r="AY355" i="12"/>
  <c r="AX355" i="12"/>
  <c r="BI354" i="12"/>
  <c r="BG354" i="12"/>
  <c r="BF354" i="12"/>
  <c r="BE354" i="12"/>
  <c r="BD354" i="12"/>
  <c r="BC354" i="12"/>
  <c r="BB354" i="12"/>
  <c r="BA354" i="12"/>
  <c r="AZ354" i="12"/>
  <c r="AY354" i="12"/>
  <c r="AX354" i="12"/>
  <c r="BI353" i="12"/>
  <c r="BG353" i="12"/>
  <c r="BF353" i="12"/>
  <c r="BE353" i="12"/>
  <c r="BD353" i="12"/>
  <c r="BC353" i="12"/>
  <c r="BB353" i="12"/>
  <c r="BA353" i="12"/>
  <c r="AZ353" i="12"/>
  <c r="AY353" i="12"/>
  <c r="AX353" i="12"/>
  <c r="BI352" i="12"/>
  <c r="BG352" i="12"/>
  <c r="BF352" i="12"/>
  <c r="BE352" i="12"/>
  <c r="BD352" i="12"/>
  <c r="BC352" i="12"/>
  <c r="BB352" i="12"/>
  <c r="BA352" i="12"/>
  <c r="AZ352" i="12"/>
  <c r="AY352" i="12"/>
  <c r="AX352" i="12"/>
  <c r="BI351" i="12"/>
  <c r="BG351" i="12"/>
  <c r="BF351" i="12"/>
  <c r="BE351" i="12"/>
  <c r="BD351" i="12"/>
  <c r="BC351" i="12"/>
  <c r="BB351" i="12"/>
  <c r="BA351" i="12"/>
  <c r="AZ351" i="12"/>
  <c r="AY351" i="12"/>
  <c r="AX351" i="12"/>
  <c r="BI350" i="12"/>
  <c r="BG350" i="12"/>
  <c r="BF350" i="12"/>
  <c r="BE350" i="12"/>
  <c r="BD350" i="12"/>
  <c r="BC350" i="12"/>
  <c r="BB350" i="12"/>
  <c r="BA350" i="12"/>
  <c r="AZ350" i="12"/>
  <c r="AY350" i="12"/>
  <c r="AX350" i="12"/>
  <c r="BI349" i="12"/>
  <c r="BG349" i="12"/>
  <c r="BF349" i="12"/>
  <c r="BE349" i="12"/>
  <c r="BD349" i="12"/>
  <c r="BC349" i="12"/>
  <c r="BB349" i="12"/>
  <c r="BA349" i="12"/>
  <c r="AZ349" i="12"/>
  <c r="AY349" i="12"/>
  <c r="AX349" i="12"/>
  <c r="BI348" i="12"/>
  <c r="BG348" i="12"/>
  <c r="BF348" i="12"/>
  <c r="BE348" i="12"/>
  <c r="BD348" i="12"/>
  <c r="BC348" i="12"/>
  <c r="BB348" i="12"/>
  <c r="BA348" i="12"/>
  <c r="AZ348" i="12"/>
  <c r="AY348" i="12"/>
  <c r="AX348" i="12"/>
  <c r="BI347" i="12"/>
  <c r="BG347" i="12"/>
  <c r="BF347" i="12"/>
  <c r="BE347" i="12"/>
  <c r="BD347" i="12"/>
  <c r="BC347" i="12"/>
  <c r="BB347" i="12"/>
  <c r="BA347" i="12"/>
  <c r="AZ347" i="12"/>
  <c r="AY347" i="12"/>
  <c r="AX347" i="12"/>
  <c r="BI346" i="12"/>
  <c r="BG346" i="12"/>
  <c r="BF346" i="12"/>
  <c r="BE346" i="12"/>
  <c r="BD346" i="12"/>
  <c r="BC346" i="12"/>
  <c r="BB346" i="12"/>
  <c r="BA346" i="12"/>
  <c r="AZ346" i="12"/>
  <c r="AY346" i="12"/>
  <c r="AX346" i="12"/>
  <c r="BI345" i="12"/>
  <c r="BG345" i="12"/>
  <c r="BF345" i="12"/>
  <c r="BE345" i="12"/>
  <c r="BD345" i="12"/>
  <c r="BC345" i="12"/>
  <c r="BB345" i="12"/>
  <c r="BA345" i="12"/>
  <c r="AZ345" i="12"/>
  <c r="AY345" i="12"/>
  <c r="AX345" i="12"/>
  <c r="BI344" i="12"/>
  <c r="BG344" i="12"/>
  <c r="BF344" i="12"/>
  <c r="BE344" i="12"/>
  <c r="BD344" i="12"/>
  <c r="BC344" i="12"/>
  <c r="BB344" i="12"/>
  <c r="BA344" i="12"/>
  <c r="AZ344" i="12"/>
  <c r="AY344" i="12"/>
  <c r="AX344" i="12"/>
  <c r="BI343" i="12"/>
  <c r="BG343" i="12"/>
  <c r="BF343" i="12"/>
  <c r="BE343" i="12"/>
  <c r="BD343" i="12"/>
  <c r="BC343" i="12"/>
  <c r="BB343" i="12"/>
  <c r="BA343" i="12"/>
  <c r="AZ343" i="12"/>
  <c r="AY343" i="12"/>
  <c r="AX343" i="12"/>
  <c r="BI342" i="12"/>
  <c r="BG342" i="12"/>
  <c r="BF342" i="12"/>
  <c r="BE342" i="12"/>
  <c r="BD342" i="12"/>
  <c r="BC342" i="12"/>
  <c r="BB342" i="12"/>
  <c r="BA342" i="12"/>
  <c r="AZ342" i="12"/>
  <c r="AY342" i="12"/>
  <c r="AX342" i="12"/>
  <c r="BI341" i="12"/>
  <c r="BG341" i="12"/>
  <c r="BF341" i="12"/>
  <c r="BE341" i="12"/>
  <c r="BD341" i="12"/>
  <c r="BC341" i="12"/>
  <c r="BB341" i="12"/>
  <c r="BA341" i="12"/>
  <c r="AZ341" i="12"/>
  <c r="AY341" i="12"/>
  <c r="AX341" i="12"/>
  <c r="BI340" i="12"/>
  <c r="BG340" i="12"/>
  <c r="BF340" i="12"/>
  <c r="BE340" i="12"/>
  <c r="BD340" i="12"/>
  <c r="BC340" i="12"/>
  <c r="BB340" i="12"/>
  <c r="BA340" i="12"/>
  <c r="AZ340" i="12"/>
  <c r="AY340" i="12"/>
  <c r="AX340" i="12"/>
  <c r="BI339" i="12"/>
  <c r="BG339" i="12"/>
  <c r="BF339" i="12"/>
  <c r="BE339" i="12"/>
  <c r="BD339" i="12"/>
  <c r="BC339" i="12"/>
  <c r="BB339" i="12"/>
  <c r="BA339" i="12"/>
  <c r="AZ339" i="12"/>
  <c r="AY339" i="12"/>
  <c r="AX339" i="12"/>
  <c r="BI338" i="12"/>
  <c r="BG338" i="12"/>
  <c r="BF338" i="12"/>
  <c r="BE338" i="12"/>
  <c r="BD338" i="12"/>
  <c r="BC338" i="12"/>
  <c r="BB338" i="12"/>
  <c r="BA338" i="12"/>
  <c r="AZ338" i="12"/>
  <c r="AY338" i="12"/>
  <c r="AX338" i="12"/>
  <c r="BI337" i="12"/>
  <c r="BG337" i="12"/>
  <c r="BF337" i="12"/>
  <c r="BE337" i="12"/>
  <c r="BD337" i="12"/>
  <c r="BC337" i="12"/>
  <c r="BB337" i="12"/>
  <c r="BA337" i="12"/>
  <c r="AZ337" i="12"/>
  <c r="AY337" i="12"/>
  <c r="AX337" i="12"/>
  <c r="BI336" i="12"/>
  <c r="BG336" i="12"/>
  <c r="BF336" i="12"/>
  <c r="BE336" i="12"/>
  <c r="BD336" i="12"/>
  <c r="BC336" i="12"/>
  <c r="BB336" i="12"/>
  <c r="BA336" i="12"/>
  <c r="AZ336" i="12"/>
  <c r="AY336" i="12"/>
  <c r="AX336" i="12"/>
  <c r="BI335" i="12"/>
  <c r="BG335" i="12"/>
  <c r="BF335" i="12"/>
  <c r="BE335" i="12"/>
  <c r="BD335" i="12"/>
  <c r="BC335" i="12"/>
  <c r="BB335" i="12"/>
  <c r="BA335" i="12"/>
  <c r="AZ335" i="12"/>
  <c r="AY335" i="12"/>
  <c r="AX335" i="12"/>
  <c r="BI334" i="12"/>
  <c r="BG334" i="12"/>
  <c r="BF334" i="12"/>
  <c r="BE334" i="12"/>
  <c r="BD334" i="12"/>
  <c r="BC334" i="12"/>
  <c r="BB334" i="12"/>
  <c r="BA334" i="12"/>
  <c r="AZ334" i="12"/>
  <c r="AY334" i="12"/>
  <c r="AX334" i="12"/>
  <c r="BI333" i="12"/>
  <c r="BG333" i="12"/>
  <c r="BF333" i="12"/>
  <c r="BE333" i="12"/>
  <c r="BD333" i="12"/>
  <c r="BC333" i="12"/>
  <c r="BB333" i="12"/>
  <c r="BA333" i="12"/>
  <c r="AZ333" i="12"/>
  <c r="AY333" i="12"/>
  <c r="AX333" i="12"/>
  <c r="BI332" i="12"/>
  <c r="BG332" i="12"/>
  <c r="BF332" i="12"/>
  <c r="BE332" i="12"/>
  <c r="BD332" i="12"/>
  <c r="BC332" i="12"/>
  <c r="BB332" i="12"/>
  <c r="BA332" i="12"/>
  <c r="AZ332" i="12"/>
  <c r="AY332" i="12"/>
  <c r="AX332" i="12"/>
  <c r="BI331" i="12"/>
  <c r="BG331" i="12"/>
  <c r="BF331" i="12"/>
  <c r="BE331" i="12"/>
  <c r="BD331" i="12"/>
  <c r="BC331" i="12"/>
  <c r="BB331" i="12"/>
  <c r="BA331" i="12"/>
  <c r="AZ331" i="12"/>
  <c r="AY331" i="12"/>
  <c r="AX331" i="12"/>
  <c r="BI330" i="12"/>
  <c r="BG330" i="12"/>
  <c r="BF330" i="12"/>
  <c r="BE330" i="12"/>
  <c r="BD330" i="12"/>
  <c r="BC330" i="12"/>
  <c r="BB330" i="12"/>
  <c r="BA330" i="12"/>
  <c r="AZ330" i="12"/>
  <c r="AY330" i="12"/>
  <c r="AX330" i="12"/>
  <c r="BI329" i="12"/>
  <c r="BG329" i="12"/>
  <c r="BF329" i="12"/>
  <c r="BE329" i="12"/>
  <c r="BD329" i="12"/>
  <c r="BC329" i="12"/>
  <c r="BB329" i="12"/>
  <c r="BA329" i="12"/>
  <c r="AZ329" i="12"/>
  <c r="AY329" i="12"/>
  <c r="AX329" i="12"/>
  <c r="BI328" i="12"/>
  <c r="BG328" i="12"/>
  <c r="BF328" i="12"/>
  <c r="BE328" i="12"/>
  <c r="BD328" i="12"/>
  <c r="BC328" i="12"/>
  <c r="BB328" i="12"/>
  <c r="BA328" i="12"/>
  <c r="AZ328" i="12"/>
  <c r="AY328" i="12"/>
  <c r="AX328" i="12"/>
  <c r="BI327" i="12"/>
  <c r="BG327" i="12"/>
  <c r="BF327" i="12"/>
  <c r="BE327" i="12"/>
  <c r="BD327" i="12"/>
  <c r="BC327" i="12"/>
  <c r="BB327" i="12"/>
  <c r="BA327" i="12"/>
  <c r="AZ327" i="12"/>
  <c r="AY327" i="12"/>
  <c r="AX327" i="12"/>
  <c r="BI326" i="12"/>
  <c r="BG326" i="12"/>
  <c r="BF326" i="12"/>
  <c r="BE326" i="12"/>
  <c r="BD326" i="12"/>
  <c r="BC326" i="12"/>
  <c r="BB326" i="12"/>
  <c r="BA326" i="12"/>
  <c r="AZ326" i="12"/>
  <c r="AY326" i="12"/>
  <c r="AX326" i="12"/>
  <c r="BI325" i="12"/>
  <c r="BG325" i="12"/>
  <c r="BF325" i="12"/>
  <c r="BE325" i="12"/>
  <c r="BD325" i="12"/>
  <c r="BC325" i="12"/>
  <c r="BB325" i="12"/>
  <c r="BA325" i="12"/>
  <c r="AZ325" i="12"/>
  <c r="AY325" i="12"/>
  <c r="AX325" i="12"/>
  <c r="BI324" i="12"/>
  <c r="BG324" i="12"/>
  <c r="BF324" i="12"/>
  <c r="BE324" i="12"/>
  <c r="BD324" i="12"/>
  <c r="BC324" i="12"/>
  <c r="BB324" i="12"/>
  <c r="BA324" i="12"/>
  <c r="AZ324" i="12"/>
  <c r="AY324" i="12"/>
  <c r="AX324" i="12"/>
  <c r="BI323" i="12"/>
  <c r="BG323" i="12"/>
  <c r="BF323" i="12"/>
  <c r="BE323" i="12"/>
  <c r="BD323" i="12"/>
  <c r="BC323" i="12"/>
  <c r="BB323" i="12"/>
  <c r="BA323" i="12"/>
  <c r="AZ323" i="12"/>
  <c r="AY323" i="12"/>
  <c r="AX323" i="12"/>
  <c r="BI322" i="12"/>
  <c r="BG322" i="12"/>
  <c r="BF322" i="12"/>
  <c r="BE322" i="12"/>
  <c r="BD322" i="12"/>
  <c r="BC322" i="12"/>
  <c r="BB322" i="12"/>
  <c r="BA322" i="12"/>
  <c r="AZ322" i="12"/>
  <c r="AY322" i="12"/>
  <c r="AX322" i="12"/>
  <c r="BI321" i="12"/>
  <c r="BG321" i="12"/>
  <c r="BF321" i="12"/>
  <c r="BE321" i="12"/>
  <c r="BD321" i="12"/>
  <c r="BC321" i="12"/>
  <c r="BB321" i="12"/>
  <c r="BA321" i="12"/>
  <c r="AZ321" i="12"/>
  <c r="AY321" i="12"/>
  <c r="AX321" i="12"/>
  <c r="BI320" i="12"/>
  <c r="BG320" i="12"/>
  <c r="BF320" i="12"/>
  <c r="BE320" i="12"/>
  <c r="BD320" i="12"/>
  <c r="BC320" i="12"/>
  <c r="BB320" i="12"/>
  <c r="BA320" i="12"/>
  <c r="AZ320" i="12"/>
  <c r="AY320" i="12"/>
  <c r="AX320" i="12"/>
  <c r="BI319" i="12"/>
  <c r="BG319" i="12"/>
  <c r="BF319" i="12"/>
  <c r="BE319" i="12"/>
  <c r="BD319" i="12"/>
  <c r="BC319" i="12"/>
  <c r="BB319" i="12"/>
  <c r="BA319" i="12"/>
  <c r="AZ319" i="12"/>
  <c r="AY319" i="12"/>
  <c r="AX319" i="12"/>
  <c r="BI318" i="12"/>
  <c r="BG318" i="12"/>
  <c r="BF318" i="12"/>
  <c r="BE318" i="12"/>
  <c r="BD318" i="12"/>
  <c r="BC318" i="12"/>
  <c r="BB318" i="12"/>
  <c r="BA318" i="12"/>
  <c r="AZ318" i="12"/>
  <c r="AY318" i="12"/>
  <c r="AX318" i="12"/>
  <c r="BI317" i="12"/>
  <c r="BG317" i="12"/>
  <c r="BF317" i="12"/>
  <c r="BE317" i="12"/>
  <c r="BD317" i="12"/>
  <c r="BC317" i="12"/>
  <c r="BB317" i="12"/>
  <c r="BA317" i="12"/>
  <c r="AZ317" i="12"/>
  <c r="AY317" i="12"/>
  <c r="AX317" i="12"/>
  <c r="BI316" i="12"/>
  <c r="BG316" i="12"/>
  <c r="BF316" i="12"/>
  <c r="BE316" i="12"/>
  <c r="BD316" i="12"/>
  <c r="BC316" i="12"/>
  <c r="BB316" i="12"/>
  <c r="BA316" i="12"/>
  <c r="AZ316" i="12"/>
  <c r="AY316" i="12"/>
  <c r="AX316" i="12"/>
  <c r="BI315" i="12"/>
  <c r="BG315" i="12"/>
  <c r="BF315" i="12"/>
  <c r="BE315" i="12"/>
  <c r="BD315" i="12"/>
  <c r="BC315" i="12"/>
  <c r="BB315" i="12"/>
  <c r="BA315" i="12"/>
  <c r="AZ315" i="12"/>
  <c r="AY315" i="12"/>
  <c r="AX315" i="12"/>
  <c r="BI314" i="12"/>
  <c r="BG314" i="12"/>
  <c r="BF314" i="12"/>
  <c r="BE314" i="12"/>
  <c r="BD314" i="12"/>
  <c r="BC314" i="12"/>
  <c r="BB314" i="12"/>
  <c r="BA314" i="12"/>
  <c r="AZ314" i="12"/>
  <c r="AY314" i="12"/>
  <c r="AX314" i="12"/>
  <c r="BI313" i="12"/>
  <c r="BG313" i="12"/>
  <c r="BF313" i="12"/>
  <c r="BE313" i="12"/>
  <c r="BD313" i="12"/>
  <c r="BC313" i="12"/>
  <c r="BB313" i="12"/>
  <c r="BA313" i="12"/>
  <c r="AZ313" i="12"/>
  <c r="AY313" i="12"/>
  <c r="AX313" i="12"/>
  <c r="BI312" i="12"/>
  <c r="BG312" i="12"/>
  <c r="BF312" i="12"/>
  <c r="BE312" i="12"/>
  <c r="BD312" i="12"/>
  <c r="BC312" i="12"/>
  <c r="BB312" i="12"/>
  <c r="BA312" i="12"/>
  <c r="AZ312" i="12"/>
  <c r="AY312" i="12"/>
  <c r="AX312" i="12"/>
  <c r="BI311" i="12"/>
  <c r="BG311" i="12"/>
  <c r="BF311" i="12"/>
  <c r="BE311" i="12"/>
  <c r="BD311" i="12"/>
  <c r="BC311" i="12"/>
  <c r="BB311" i="12"/>
  <c r="BA311" i="12"/>
  <c r="AZ311" i="12"/>
  <c r="AY311" i="12"/>
  <c r="AX311" i="12"/>
  <c r="BI310" i="12"/>
  <c r="BG310" i="12"/>
  <c r="BF310" i="12"/>
  <c r="BE310" i="12"/>
  <c r="BD310" i="12"/>
  <c r="BC310" i="12"/>
  <c r="BB310" i="12"/>
  <c r="BA310" i="12"/>
  <c r="AZ310" i="12"/>
  <c r="AY310" i="12"/>
  <c r="AX310" i="12"/>
  <c r="BI309" i="12"/>
  <c r="BG309" i="12"/>
  <c r="BF309" i="12"/>
  <c r="BE309" i="12"/>
  <c r="BD309" i="12"/>
  <c r="BC309" i="12"/>
  <c r="BB309" i="12"/>
  <c r="BA309" i="12"/>
  <c r="AZ309" i="12"/>
  <c r="AY309" i="12"/>
  <c r="AX309" i="12"/>
  <c r="BI308" i="12"/>
  <c r="BG308" i="12"/>
  <c r="BF308" i="12"/>
  <c r="BE308" i="12"/>
  <c r="BD308" i="12"/>
  <c r="BC308" i="12"/>
  <c r="BB308" i="12"/>
  <c r="BA308" i="12"/>
  <c r="AZ308" i="12"/>
  <c r="AY308" i="12"/>
  <c r="AX308" i="12"/>
  <c r="BI307" i="12"/>
  <c r="BG307" i="12"/>
  <c r="BF307" i="12"/>
  <c r="BE307" i="12"/>
  <c r="BD307" i="12"/>
  <c r="BC307" i="12"/>
  <c r="BB307" i="12"/>
  <c r="BA307" i="12"/>
  <c r="AZ307" i="12"/>
  <c r="AY307" i="12"/>
  <c r="AX307" i="12"/>
  <c r="BI306" i="12"/>
  <c r="BG306" i="12"/>
  <c r="BF306" i="12"/>
  <c r="BE306" i="12"/>
  <c r="BD306" i="12"/>
  <c r="BC306" i="12"/>
  <c r="BB306" i="12"/>
  <c r="BA306" i="12"/>
  <c r="AZ306" i="12"/>
  <c r="AY306" i="12"/>
  <c r="AX306" i="12"/>
  <c r="BI305" i="12"/>
  <c r="BG305" i="12"/>
  <c r="BF305" i="12"/>
  <c r="BE305" i="12"/>
  <c r="BD305" i="12"/>
  <c r="BC305" i="12"/>
  <c r="BB305" i="12"/>
  <c r="BA305" i="12"/>
  <c r="AZ305" i="12"/>
  <c r="AY305" i="12"/>
  <c r="AX305" i="12"/>
  <c r="BI304" i="12"/>
  <c r="BG304" i="12"/>
  <c r="BF304" i="12"/>
  <c r="BE304" i="12"/>
  <c r="BD304" i="12"/>
  <c r="BC304" i="12"/>
  <c r="BB304" i="12"/>
  <c r="BA304" i="12"/>
  <c r="AZ304" i="12"/>
  <c r="AY304" i="12"/>
  <c r="AX304" i="12"/>
  <c r="BI303" i="12"/>
  <c r="BG303" i="12"/>
  <c r="BF303" i="12"/>
  <c r="BE303" i="12"/>
  <c r="BD303" i="12"/>
  <c r="BC303" i="12"/>
  <c r="BB303" i="12"/>
  <c r="BA303" i="12"/>
  <c r="AZ303" i="12"/>
  <c r="AY303" i="12"/>
  <c r="AX303" i="12"/>
  <c r="BI302" i="12"/>
  <c r="BG302" i="12"/>
  <c r="BF302" i="12"/>
  <c r="BE302" i="12"/>
  <c r="BD302" i="12"/>
  <c r="BC302" i="12"/>
  <c r="BB302" i="12"/>
  <c r="BA302" i="12"/>
  <c r="AZ302" i="12"/>
  <c r="AY302" i="12"/>
  <c r="AX302" i="12"/>
  <c r="BI301" i="12"/>
  <c r="BG301" i="12"/>
  <c r="BF301" i="12"/>
  <c r="BE301" i="12"/>
  <c r="BD301" i="12"/>
  <c r="BC301" i="12"/>
  <c r="BB301" i="12"/>
  <c r="BA301" i="12"/>
  <c r="AZ301" i="12"/>
  <c r="AY301" i="12"/>
  <c r="AX301" i="12"/>
  <c r="BI300" i="12"/>
  <c r="BG300" i="12"/>
  <c r="BF300" i="12"/>
  <c r="BE300" i="12"/>
  <c r="BD300" i="12"/>
  <c r="BC300" i="12"/>
  <c r="BB300" i="12"/>
  <c r="BA300" i="12"/>
  <c r="AZ300" i="12"/>
  <c r="AY300" i="12"/>
  <c r="AX300" i="12"/>
  <c r="BI299" i="12"/>
  <c r="BG299" i="12"/>
  <c r="BF299" i="12"/>
  <c r="BE299" i="12"/>
  <c r="BD299" i="12"/>
  <c r="BC299" i="12"/>
  <c r="BB299" i="12"/>
  <c r="BA299" i="12"/>
  <c r="AZ299" i="12"/>
  <c r="AY299" i="12"/>
  <c r="AX299" i="12"/>
  <c r="BI298" i="12"/>
  <c r="BG298" i="12"/>
  <c r="BF298" i="12"/>
  <c r="BE298" i="12"/>
  <c r="BD298" i="12"/>
  <c r="BC298" i="12"/>
  <c r="BB298" i="12"/>
  <c r="BA298" i="12"/>
  <c r="AZ298" i="12"/>
  <c r="AY298" i="12"/>
  <c r="AX298" i="12"/>
  <c r="BI297" i="12"/>
  <c r="BG297" i="12"/>
  <c r="BF297" i="12"/>
  <c r="BE297" i="12"/>
  <c r="BD297" i="12"/>
  <c r="BC297" i="12"/>
  <c r="BB297" i="12"/>
  <c r="BA297" i="12"/>
  <c r="AZ297" i="12"/>
  <c r="AY297" i="12"/>
  <c r="AX297" i="12"/>
  <c r="BI296" i="12"/>
  <c r="BG296" i="12"/>
  <c r="BF296" i="12"/>
  <c r="BE296" i="12"/>
  <c r="BD296" i="12"/>
  <c r="BC296" i="12"/>
  <c r="BB296" i="12"/>
  <c r="BA296" i="12"/>
  <c r="AZ296" i="12"/>
  <c r="AY296" i="12"/>
  <c r="AX296" i="12"/>
  <c r="BI295" i="12"/>
  <c r="BG295" i="12"/>
  <c r="BF295" i="12"/>
  <c r="BE295" i="12"/>
  <c r="BD295" i="12"/>
  <c r="BC295" i="12"/>
  <c r="BB295" i="12"/>
  <c r="BA295" i="12"/>
  <c r="AZ295" i="12"/>
  <c r="AY295" i="12"/>
  <c r="AX295" i="12"/>
  <c r="BI294" i="12"/>
  <c r="BG294" i="12"/>
  <c r="BF294" i="12"/>
  <c r="BE294" i="12"/>
  <c r="BD294" i="12"/>
  <c r="BC294" i="12"/>
  <c r="BB294" i="12"/>
  <c r="BA294" i="12"/>
  <c r="AZ294" i="12"/>
  <c r="AY294" i="12"/>
  <c r="AX294" i="12"/>
  <c r="BI293" i="12"/>
  <c r="BG293" i="12"/>
  <c r="BF293" i="12"/>
  <c r="BE293" i="12"/>
  <c r="BD293" i="12"/>
  <c r="BC293" i="12"/>
  <c r="BB293" i="12"/>
  <c r="BA293" i="12"/>
  <c r="AZ293" i="12"/>
  <c r="AY293" i="12"/>
  <c r="AX293" i="12"/>
  <c r="BI292" i="12"/>
  <c r="BG292" i="12"/>
  <c r="BF292" i="12"/>
  <c r="BE292" i="12"/>
  <c r="BD292" i="12"/>
  <c r="BC292" i="12"/>
  <c r="BB292" i="12"/>
  <c r="BA292" i="12"/>
  <c r="AZ292" i="12"/>
  <c r="AY292" i="12"/>
  <c r="AX292" i="12"/>
  <c r="BI291" i="12"/>
  <c r="BG291" i="12"/>
  <c r="BF291" i="12"/>
  <c r="BE291" i="12"/>
  <c r="BD291" i="12"/>
  <c r="BC291" i="12"/>
  <c r="BB291" i="12"/>
  <c r="BA291" i="12"/>
  <c r="AZ291" i="12"/>
  <c r="AY291" i="12"/>
  <c r="AX291" i="12"/>
  <c r="BI290" i="12"/>
  <c r="BG290" i="12"/>
  <c r="BF290" i="12"/>
  <c r="BE290" i="12"/>
  <c r="BD290" i="12"/>
  <c r="BC290" i="12"/>
  <c r="BB290" i="12"/>
  <c r="BA290" i="12"/>
  <c r="AZ290" i="12"/>
  <c r="AY290" i="12"/>
  <c r="AX290" i="12"/>
  <c r="BI289" i="12"/>
  <c r="BG289" i="12"/>
  <c r="BF289" i="12"/>
  <c r="BE289" i="12"/>
  <c r="BD289" i="12"/>
  <c r="BC289" i="12"/>
  <c r="BB289" i="12"/>
  <c r="BA289" i="12"/>
  <c r="AZ289" i="12"/>
  <c r="AY289" i="12"/>
  <c r="AX289" i="12"/>
  <c r="BI288" i="12"/>
  <c r="BG288" i="12"/>
  <c r="BF288" i="12"/>
  <c r="BE288" i="12"/>
  <c r="BD288" i="12"/>
  <c r="BC288" i="12"/>
  <c r="BB288" i="12"/>
  <c r="BA288" i="12"/>
  <c r="AZ288" i="12"/>
  <c r="AY288" i="12"/>
  <c r="AX288" i="12"/>
  <c r="BI287" i="12"/>
  <c r="BG287" i="12"/>
  <c r="BF287" i="12"/>
  <c r="BE287" i="12"/>
  <c r="BD287" i="12"/>
  <c r="BC287" i="12"/>
  <c r="BB287" i="12"/>
  <c r="BA287" i="12"/>
  <c r="AZ287" i="12"/>
  <c r="AY287" i="12"/>
  <c r="AX287" i="12"/>
  <c r="BI286" i="12"/>
  <c r="BG286" i="12"/>
  <c r="BF286" i="12"/>
  <c r="BE286" i="12"/>
  <c r="BD286" i="12"/>
  <c r="BC286" i="12"/>
  <c r="BB286" i="12"/>
  <c r="BA286" i="12"/>
  <c r="AZ286" i="12"/>
  <c r="AY286" i="12"/>
  <c r="AX286" i="12"/>
  <c r="BI285" i="12"/>
  <c r="BG285" i="12"/>
  <c r="BF285" i="12"/>
  <c r="BE285" i="12"/>
  <c r="BD285" i="12"/>
  <c r="BC285" i="12"/>
  <c r="BB285" i="12"/>
  <c r="BA285" i="12"/>
  <c r="AZ285" i="12"/>
  <c r="AY285" i="12"/>
  <c r="AX285" i="12"/>
  <c r="BI284" i="12"/>
  <c r="BG284" i="12"/>
  <c r="BF284" i="12"/>
  <c r="BE284" i="12"/>
  <c r="BD284" i="12"/>
  <c r="BC284" i="12"/>
  <c r="BB284" i="12"/>
  <c r="BA284" i="12"/>
  <c r="AZ284" i="12"/>
  <c r="AY284" i="12"/>
  <c r="AX284" i="12"/>
  <c r="BI283" i="12"/>
  <c r="BG283" i="12"/>
  <c r="BF283" i="12"/>
  <c r="BE283" i="12"/>
  <c r="BD283" i="12"/>
  <c r="BC283" i="12"/>
  <c r="BB283" i="12"/>
  <c r="BA283" i="12"/>
  <c r="AZ283" i="12"/>
  <c r="AY283" i="12"/>
  <c r="AX283" i="12"/>
  <c r="BI282" i="12"/>
  <c r="BG282" i="12"/>
  <c r="BF282" i="12"/>
  <c r="BE282" i="12"/>
  <c r="BD282" i="12"/>
  <c r="BC282" i="12"/>
  <c r="BB282" i="12"/>
  <c r="BA282" i="12"/>
  <c r="AZ282" i="12"/>
  <c r="AY282" i="12"/>
  <c r="AX282" i="12"/>
  <c r="BI281" i="12"/>
  <c r="BG281" i="12"/>
  <c r="BF281" i="12"/>
  <c r="BE281" i="12"/>
  <c r="BD281" i="12"/>
  <c r="BC281" i="12"/>
  <c r="BB281" i="12"/>
  <c r="BA281" i="12"/>
  <c r="AZ281" i="12"/>
  <c r="AY281" i="12"/>
  <c r="AX281" i="12"/>
  <c r="BI280" i="12"/>
  <c r="BG280" i="12"/>
  <c r="BF280" i="12"/>
  <c r="BE280" i="12"/>
  <c r="BD280" i="12"/>
  <c r="BC280" i="12"/>
  <c r="BB280" i="12"/>
  <c r="BA280" i="12"/>
  <c r="AZ280" i="12"/>
  <c r="AY280" i="12"/>
  <c r="AX280" i="12"/>
  <c r="BI279" i="12"/>
  <c r="BG279" i="12"/>
  <c r="BF279" i="12"/>
  <c r="BE279" i="12"/>
  <c r="BD279" i="12"/>
  <c r="BC279" i="12"/>
  <c r="BB279" i="12"/>
  <c r="BA279" i="12"/>
  <c r="AZ279" i="12"/>
  <c r="AY279" i="12"/>
  <c r="AX279" i="12"/>
  <c r="BI278" i="12"/>
  <c r="BG278" i="12"/>
  <c r="BF278" i="12"/>
  <c r="BE278" i="12"/>
  <c r="BD278" i="12"/>
  <c r="BC278" i="12"/>
  <c r="BB278" i="12"/>
  <c r="BA278" i="12"/>
  <c r="AZ278" i="12"/>
  <c r="AY278" i="12"/>
  <c r="AX278" i="12"/>
  <c r="BI277" i="12"/>
  <c r="BG277" i="12"/>
  <c r="BF277" i="12"/>
  <c r="BE277" i="12"/>
  <c r="BD277" i="12"/>
  <c r="BC277" i="12"/>
  <c r="BB277" i="12"/>
  <c r="BA277" i="12"/>
  <c r="AZ277" i="12"/>
  <c r="AY277" i="12"/>
  <c r="AX277" i="12"/>
  <c r="BI276" i="12"/>
  <c r="BG276" i="12"/>
  <c r="BF276" i="12"/>
  <c r="BE276" i="12"/>
  <c r="BD276" i="12"/>
  <c r="BC276" i="12"/>
  <c r="BB276" i="12"/>
  <c r="BA276" i="12"/>
  <c r="AZ276" i="12"/>
  <c r="AY276" i="12"/>
  <c r="AX276" i="12"/>
  <c r="BI275" i="12"/>
  <c r="BG275" i="12"/>
  <c r="BF275" i="12"/>
  <c r="BE275" i="12"/>
  <c r="BD275" i="12"/>
  <c r="BC275" i="12"/>
  <c r="BB275" i="12"/>
  <c r="BA275" i="12"/>
  <c r="AZ275" i="12"/>
  <c r="AY275" i="12"/>
  <c r="AX275" i="12"/>
  <c r="BI274" i="12"/>
  <c r="BG274" i="12"/>
  <c r="BF274" i="12"/>
  <c r="BE274" i="12"/>
  <c r="BD274" i="12"/>
  <c r="BC274" i="12"/>
  <c r="BB274" i="12"/>
  <c r="BA274" i="12"/>
  <c r="AZ274" i="12"/>
  <c r="AY274" i="12"/>
  <c r="AX274" i="12"/>
  <c r="BI273" i="12"/>
  <c r="BG273" i="12"/>
  <c r="BF273" i="12"/>
  <c r="BE273" i="12"/>
  <c r="BD273" i="12"/>
  <c r="BC273" i="12"/>
  <c r="BB273" i="12"/>
  <c r="BA273" i="12"/>
  <c r="AZ273" i="12"/>
  <c r="AY273" i="12"/>
  <c r="AX273" i="12"/>
  <c r="BI272" i="12"/>
  <c r="BG272" i="12"/>
  <c r="BF272" i="12"/>
  <c r="BE272" i="12"/>
  <c r="BD272" i="12"/>
  <c r="BC272" i="12"/>
  <c r="BB272" i="12"/>
  <c r="BA272" i="12"/>
  <c r="AZ272" i="12"/>
  <c r="AY272" i="12"/>
  <c r="AX272" i="12"/>
  <c r="BI271" i="12"/>
  <c r="BG271" i="12"/>
  <c r="BF271" i="12"/>
  <c r="BE271" i="12"/>
  <c r="BD271" i="12"/>
  <c r="BC271" i="12"/>
  <c r="BB271" i="12"/>
  <c r="BA271" i="12"/>
  <c r="AZ271" i="12"/>
  <c r="AY271" i="12"/>
  <c r="AX271" i="12"/>
  <c r="BI270" i="12"/>
  <c r="BG270" i="12"/>
  <c r="BF270" i="12"/>
  <c r="BE270" i="12"/>
  <c r="BD270" i="12"/>
  <c r="BC270" i="12"/>
  <c r="BB270" i="12"/>
  <c r="BA270" i="12"/>
  <c r="AZ270" i="12"/>
  <c r="AY270" i="12"/>
  <c r="AX270" i="12"/>
  <c r="BI269" i="12"/>
  <c r="BG269" i="12"/>
  <c r="BF269" i="12"/>
  <c r="BE269" i="12"/>
  <c r="BD269" i="12"/>
  <c r="BC269" i="12"/>
  <c r="BB269" i="12"/>
  <c r="BA269" i="12"/>
  <c r="AZ269" i="12"/>
  <c r="AY269" i="12"/>
  <c r="AX269" i="12"/>
  <c r="BI268" i="12"/>
  <c r="BG268" i="12"/>
  <c r="BF268" i="12"/>
  <c r="BE268" i="12"/>
  <c r="BD268" i="12"/>
  <c r="BC268" i="12"/>
  <c r="BB268" i="12"/>
  <c r="BA268" i="12"/>
  <c r="AZ268" i="12"/>
  <c r="AY268" i="12"/>
  <c r="AX268" i="12"/>
  <c r="BI267" i="12"/>
  <c r="BG267" i="12"/>
  <c r="BF267" i="12"/>
  <c r="BE267" i="12"/>
  <c r="BD267" i="12"/>
  <c r="BC267" i="12"/>
  <c r="BB267" i="12"/>
  <c r="BA267" i="12"/>
  <c r="AZ267" i="12"/>
  <c r="AY267" i="12"/>
  <c r="AX267" i="12"/>
  <c r="BI266" i="12"/>
  <c r="BG266" i="12"/>
  <c r="BF266" i="12"/>
  <c r="BE266" i="12"/>
  <c r="BD266" i="12"/>
  <c r="BC266" i="12"/>
  <c r="BB266" i="12"/>
  <c r="BA266" i="12"/>
  <c r="AZ266" i="12"/>
  <c r="AY266" i="12"/>
  <c r="AX266" i="12"/>
  <c r="BI265" i="12"/>
  <c r="BG265" i="12"/>
  <c r="BF265" i="12"/>
  <c r="BE265" i="12"/>
  <c r="BD265" i="12"/>
  <c r="BC265" i="12"/>
  <c r="BB265" i="12"/>
  <c r="BA265" i="12"/>
  <c r="AZ265" i="12"/>
  <c r="AY265" i="12"/>
  <c r="AX265" i="12"/>
  <c r="BI264" i="12"/>
  <c r="BG264" i="12"/>
  <c r="BF264" i="12"/>
  <c r="BE264" i="12"/>
  <c r="BD264" i="12"/>
  <c r="BC264" i="12"/>
  <c r="BB264" i="12"/>
  <c r="BA264" i="12"/>
  <c r="AZ264" i="12"/>
  <c r="AY264" i="12"/>
  <c r="AX264" i="12"/>
  <c r="BI263" i="12"/>
  <c r="BG263" i="12"/>
  <c r="BF263" i="12"/>
  <c r="BE263" i="12"/>
  <c r="BD263" i="12"/>
  <c r="BC263" i="12"/>
  <c r="BB263" i="12"/>
  <c r="BA263" i="12"/>
  <c r="AZ263" i="12"/>
  <c r="AY263" i="12"/>
  <c r="AX263" i="12"/>
  <c r="BI262" i="12"/>
  <c r="BG262" i="12"/>
  <c r="BF262" i="12"/>
  <c r="BE262" i="12"/>
  <c r="BD262" i="12"/>
  <c r="BC262" i="12"/>
  <c r="BB262" i="12"/>
  <c r="BA262" i="12"/>
  <c r="AZ262" i="12"/>
  <c r="AY262" i="12"/>
  <c r="AX262" i="12"/>
  <c r="BI261" i="12"/>
  <c r="BG261" i="12"/>
  <c r="BF261" i="12"/>
  <c r="BE261" i="12"/>
  <c r="BD261" i="12"/>
  <c r="BC261" i="12"/>
  <c r="BB261" i="12"/>
  <c r="BA261" i="12"/>
  <c r="AZ261" i="12"/>
  <c r="AY261" i="12"/>
  <c r="AX261" i="12"/>
  <c r="BI260" i="12"/>
  <c r="BG260" i="12"/>
  <c r="BF260" i="12"/>
  <c r="BE260" i="12"/>
  <c r="BD260" i="12"/>
  <c r="BC260" i="12"/>
  <c r="BB260" i="12"/>
  <c r="BA260" i="12"/>
  <c r="AZ260" i="12"/>
  <c r="AY260" i="12"/>
  <c r="AX260" i="12"/>
  <c r="BI259" i="12"/>
  <c r="BG259" i="12"/>
  <c r="BF259" i="12"/>
  <c r="BE259" i="12"/>
  <c r="BD259" i="12"/>
  <c r="BC259" i="12"/>
  <c r="BB259" i="12"/>
  <c r="BA259" i="12"/>
  <c r="AZ259" i="12"/>
  <c r="AY259" i="12"/>
  <c r="AX259" i="12"/>
  <c r="BI258" i="12"/>
  <c r="BG258" i="12"/>
  <c r="BF258" i="12"/>
  <c r="BE258" i="12"/>
  <c r="BD258" i="12"/>
  <c r="BC258" i="12"/>
  <c r="BB258" i="12"/>
  <c r="BA258" i="12"/>
  <c r="AZ258" i="12"/>
  <c r="AY258" i="12"/>
  <c r="AX258" i="12"/>
  <c r="BI257" i="12"/>
  <c r="BG257" i="12"/>
  <c r="BF257" i="12"/>
  <c r="BE257" i="12"/>
  <c r="BD257" i="12"/>
  <c r="BC257" i="12"/>
  <c r="BB257" i="12"/>
  <c r="BA257" i="12"/>
  <c r="AZ257" i="12"/>
  <c r="AY257" i="12"/>
  <c r="AX257" i="12"/>
  <c r="BI256" i="12"/>
  <c r="BG256" i="12"/>
  <c r="BF256" i="12"/>
  <c r="BE256" i="12"/>
  <c r="BD256" i="12"/>
  <c r="BC256" i="12"/>
  <c r="BB256" i="12"/>
  <c r="BA256" i="12"/>
  <c r="AZ256" i="12"/>
  <c r="AY256" i="12"/>
  <c r="AX256" i="12"/>
  <c r="BI255" i="12"/>
  <c r="BG255" i="12"/>
  <c r="BF255" i="12"/>
  <c r="BE255" i="12"/>
  <c r="BD255" i="12"/>
  <c r="BC255" i="12"/>
  <c r="BB255" i="12"/>
  <c r="BA255" i="12"/>
  <c r="AZ255" i="12"/>
  <c r="AY255" i="12"/>
  <c r="AX255" i="12"/>
  <c r="BI254" i="12"/>
  <c r="BG254" i="12"/>
  <c r="BF254" i="12"/>
  <c r="BE254" i="12"/>
  <c r="BD254" i="12"/>
  <c r="BC254" i="12"/>
  <c r="BB254" i="12"/>
  <c r="BA254" i="12"/>
  <c r="AZ254" i="12"/>
  <c r="AY254" i="12"/>
  <c r="AX254" i="12"/>
  <c r="BI253" i="12"/>
  <c r="BG253" i="12"/>
  <c r="BF253" i="12"/>
  <c r="BE253" i="12"/>
  <c r="BD253" i="12"/>
  <c r="BC253" i="12"/>
  <c r="BB253" i="12"/>
  <c r="BA253" i="12"/>
  <c r="AZ253" i="12"/>
  <c r="AY253" i="12"/>
  <c r="AX253" i="12"/>
  <c r="BI252" i="12"/>
  <c r="BG252" i="12"/>
  <c r="BF252" i="12"/>
  <c r="BE252" i="12"/>
  <c r="BD252" i="12"/>
  <c r="BC252" i="12"/>
  <c r="BB252" i="12"/>
  <c r="BA252" i="12"/>
  <c r="AZ252" i="12"/>
  <c r="AY252" i="12"/>
  <c r="AX252" i="12"/>
  <c r="BI251" i="12"/>
  <c r="BG251" i="12"/>
  <c r="BF251" i="12"/>
  <c r="BE251" i="12"/>
  <c r="BD251" i="12"/>
  <c r="BC251" i="12"/>
  <c r="BB251" i="12"/>
  <c r="BA251" i="12"/>
  <c r="AZ251" i="12"/>
  <c r="AY251" i="12"/>
  <c r="AX251" i="12"/>
  <c r="BI250" i="12"/>
  <c r="BG250" i="12"/>
  <c r="BF250" i="12"/>
  <c r="BE250" i="12"/>
  <c r="BD250" i="12"/>
  <c r="BC250" i="12"/>
  <c r="BB250" i="12"/>
  <c r="BA250" i="12"/>
  <c r="AZ250" i="12"/>
  <c r="AY250" i="12"/>
  <c r="AX250" i="12"/>
  <c r="BI249" i="12"/>
  <c r="BG249" i="12"/>
  <c r="BF249" i="12"/>
  <c r="BE249" i="12"/>
  <c r="BD249" i="12"/>
  <c r="BC249" i="12"/>
  <c r="BB249" i="12"/>
  <c r="BA249" i="12"/>
  <c r="AZ249" i="12"/>
  <c r="AY249" i="12"/>
  <c r="AX249" i="12"/>
  <c r="BI248" i="12"/>
  <c r="BG248" i="12"/>
  <c r="BF248" i="12"/>
  <c r="BE248" i="12"/>
  <c r="BD248" i="12"/>
  <c r="BC248" i="12"/>
  <c r="BB248" i="12"/>
  <c r="BA248" i="12"/>
  <c r="AZ248" i="12"/>
  <c r="AY248" i="12"/>
  <c r="AX248" i="12"/>
  <c r="BI247" i="12"/>
  <c r="BG247" i="12"/>
  <c r="BF247" i="12"/>
  <c r="BE247" i="12"/>
  <c r="BD247" i="12"/>
  <c r="BC247" i="12"/>
  <c r="BB247" i="12"/>
  <c r="BA247" i="12"/>
  <c r="AZ247" i="12"/>
  <c r="AY247" i="12"/>
  <c r="AX247" i="12"/>
  <c r="BI246" i="12"/>
  <c r="BG246" i="12"/>
  <c r="BF246" i="12"/>
  <c r="BE246" i="12"/>
  <c r="BD246" i="12"/>
  <c r="BC246" i="12"/>
  <c r="BB246" i="12"/>
  <c r="BA246" i="12"/>
  <c r="AZ246" i="12"/>
  <c r="AY246" i="12"/>
  <c r="AX246" i="12"/>
  <c r="BI245" i="12"/>
  <c r="BG245" i="12"/>
  <c r="BF245" i="12"/>
  <c r="BE245" i="12"/>
  <c r="BD245" i="12"/>
  <c r="BC245" i="12"/>
  <c r="BB245" i="12"/>
  <c r="BA245" i="12"/>
  <c r="AZ245" i="12"/>
  <c r="AY245" i="12"/>
  <c r="AX245" i="12"/>
  <c r="BI244" i="12"/>
  <c r="BG244" i="12"/>
  <c r="BF244" i="12"/>
  <c r="BE244" i="12"/>
  <c r="BD244" i="12"/>
  <c r="BC244" i="12"/>
  <c r="BB244" i="12"/>
  <c r="BA244" i="12"/>
  <c r="AZ244" i="12"/>
  <c r="AY244" i="12"/>
  <c r="AX244" i="12"/>
  <c r="BI243" i="12"/>
  <c r="BG243" i="12"/>
  <c r="BF243" i="12"/>
  <c r="BE243" i="12"/>
  <c r="BD243" i="12"/>
  <c r="BC243" i="12"/>
  <c r="BB243" i="12"/>
  <c r="BA243" i="12"/>
  <c r="AZ243" i="12"/>
  <c r="AY243" i="12"/>
  <c r="AX243" i="12"/>
  <c r="BI242" i="12"/>
  <c r="BG242" i="12"/>
  <c r="BF242" i="12"/>
  <c r="BE242" i="12"/>
  <c r="BD242" i="12"/>
  <c r="BC242" i="12"/>
  <c r="BB242" i="12"/>
  <c r="BA242" i="12"/>
  <c r="AZ242" i="12"/>
  <c r="AY242" i="12"/>
  <c r="AX242" i="12"/>
  <c r="BI241" i="12"/>
  <c r="BG241" i="12"/>
  <c r="BF241" i="12"/>
  <c r="BE241" i="12"/>
  <c r="BD241" i="12"/>
  <c r="BC241" i="12"/>
  <c r="BB241" i="12"/>
  <c r="BA241" i="12"/>
  <c r="AZ241" i="12"/>
  <c r="AY241" i="12"/>
  <c r="AX241" i="12"/>
  <c r="BI240" i="12"/>
  <c r="BG240" i="12"/>
  <c r="BF240" i="12"/>
  <c r="BE240" i="12"/>
  <c r="BD240" i="12"/>
  <c r="BC240" i="12"/>
  <c r="BB240" i="12"/>
  <c r="BA240" i="12"/>
  <c r="AZ240" i="12"/>
  <c r="AY240" i="12"/>
  <c r="AX240" i="12"/>
  <c r="BI239" i="12"/>
  <c r="BG239" i="12"/>
  <c r="BF239" i="12"/>
  <c r="BE239" i="12"/>
  <c r="BD239" i="12"/>
  <c r="BC239" i="12"/>
  <c r="BB239" i="12"/>
  <c r="BA239" i="12"/>
  <c r="AZ239" i="12"/>
  <c r="AY239" i="12"/>
  <c r="AX239" i="12"/>
  <c r="BI238" i="12"/>
  <c r="BG238" i="12"/>
  <c r="BF238" i="12"/>
  <c r="BE238" i="12"/>
  <c r="BD238" i="12"/>
  <c r="BC238" i="12"/>
  <c r="BB238" i="12"/>
  <c r="BA238" i="12"/>
  <c r="AZ238" i="12"/>
  <c r="AY238" i="12"/>
  <c r="AX238" i="12"/>
  <c r="BI237" i="12"/>
  <c r="BG237" i="12"/>
  <c r="BF237" i="12"/>
  <c r="BE237" i="12"/>
  <c r="BD237" i="12"/>
  <c r="BC237" i="12"/>
  <c r="BB237" i="12"/>
  <c r="BA237" i="12"/>
  <c r="AZ237" i="12"/>
  <c r="AY237" i="12"/>
  <c r="AX237" i="12"/>
  <c r="BI236" i="12"/>
  <c r="BG236" i="12"/>
  <c r="BF236" i="12"/>
  <c r="BE236" i="12"/>
  <c r="BD236" i="12"/>
  <c r="BC236" i="12"/>
  <c r="BB236" i="12"/>
  <c r="BA236" i="12"/>
  <c r="AZ236" i="12"/>
  <c r="AY236" i="12"/>
  <c r="AX236" i="12"/>
  <c r="BI235" i="12"/>
  <c r="BG235" i="12"/>
  <c r="BF235" i="12"/>
  <c r="BE235" i="12"/>
  <c r="BD235" i="12"/>
  <c r="BC235" i="12"/>
  <c r="BB235" i="12"/>
  <c r="BA235" i="12"/>
  <c r="AZ235" i="12"/>
  <c r="AY235" i="12"/>
  <c r="AX235" i="12"/>
  <c r="BI234" i="12"/>
  <c r="BG234" i="12"/>
  <c r="BF234" i="12"/>
  <c r="BE234" i="12"/>
  <c r="BD234" i="12"/>
  <c r="BC234" i="12"/>
  <c r="BB234" i="12"/>
  <c r="BA234" i="12"/>
  <c r="AZ234" i="12"/>
  <c r="AY234" i="12"/>
  <c r="AX234" i="12"/>
  <c r="BI233" i="12"/>
  <c r="BG233" i="12"/>
  <c r="BF233" i="12"/>
  <c r="BE233" i="12"/>
  <c r="BD233" i="12"/>
  <c r="BC233" i="12"/>
  <c r="BB233" i="12"/>
  <c r="BA233" i="12"/>
  <c r="AZ233" i="12"/>
  <c r="AY233" i="12"/>
  <c r="AX233" i="12"/>
  <c r="BI232" i="12"/>
  <c r="BG232" i="12"/>
  <c r="BF232" i="12"/>
  <c r="BE232" i="12"/>
  <c r="BD232" i="12"/>
  <c r="BC232" i="12"/>
  <c r="BB232" i="12"/>
  <c r="BA232" i="12"/>
  <c r="AZ232" i="12"/>
  <c r="AY232" i="12"/>
  <c r="AX232" i="12"/>
  <c r="BI231" i="12"/>
  <c r="BG231" i="12"/>
  <c r="BF231" i="12"/>
  <c r="BE231" i="12"/>
  <c r="BD231" i="12"/>
  <c r="BC231" i="12"/>
  <c r="BB231" i="12"/>
  <c r="BA231" i="12"/>
  <c r="AZ231" i="12"/>
  <c r="AY231" i="12"/>
  <c r="AX231" i="12"/>
  <c r="BI230" i="12"/>
  <c r="BG230" i="12"/>
  <c r="BF230" i="12"/>
  <c r="BE230" i="12"/>
  <c r="BD230" i="12"/>
  <c r="BC230" i="12"/>
  <c r="BB230" i="12"/>
  <c r="BA230" i="12"/>
  <c r="AZ230" i="12"/>
  <c r="AY230" i="12"/>
  <c r="AX230" i="12"/>
  <c r="BI229" i="12"/>
  <c r="BG229" i="12"/>
  <c r="BF229" i="12"/>
  <c r="BE229" i="12"/>
  <c r="BD229" i="12"/>
  <c r="BC229" i="12"/>
  <c r="BB229" i="12"/>
  <c r="BA229" i="12"/>
  <c r="AZ229" i="12"/>
  <c r="AY229" i="12"/>
  <c r="AX229" i="12"/>
  <c r="BI228" i="12"/>
  <c r="BG228" i="12"/>
  <c r="BF228" i="12"/>
  <c r="BE228" i="12"/>
  <c r="BD228" i="12"/>
  <c r="BC228" i="12"/>
  <c r="BB228" i="12"/>
  <c r="BA228" i="12"/>
  <c r="AZ228" i="12"/>
  <c r="AY228" i="12"/>
  <c r="AX228" i="12"/>
  <c r="BI227" i="12"/>
  <c r="BG227" i="12"/>
  <c r="BF227" i="12"/>
  <c r="BE227" i="12"/>
  <c r="BD227" i="12"/>
  <c r="BC227" i="12"/>
  <c r="BB227" i="12"/>
  <c r="BA227" i="12"/>
  <c r="AZ227" i="12"/>
  <c r="AY227" i="12"/>
  <c r="AX227" i="12"/>
  <c r="BI226" i="12"/>
  <c r="BG226" i="12"/>
  <c r="BF226" i="12"/>
  <c r="BE226" i="12"/>
  <c r="BD226" i="12"/>
  <c r="BC226" i="12"/>
  <c r="BB226" i="12"/>
  <c r="BA226" i="12"/>
  <c r="AZ226" i="12"/>
  <c r="AY226" i="12"/>
  <c r="AX226" i="12"/>
  <c r="BI225" i="12"/>
  <c r="BG225" i="12"/>
  <c r="BF225" i="12"/>
  <c r="BE225" i="12"/>
  <c r="BD225" i="12"/>
  <c r="BC225" i="12"/>
  <c r="BB225" i="12"/>
  <c r="BA225" i="12"/>
  <c r="AZ225" i="12"/>
  <c r="AY225" i="12"/>
  <c r="AX225" i="12"/>
  <c r="BI224" i="12"/>
  <c r="BG224" i="12"/>
  <c r="BF224" i="12"/>
  <c r="BE224" i="12"/>
  <c r="BD224" i="12"/>
  <c r="BC224" i="12"/>
  <c r="BB224" i="12"/>
  <c r="BA224" i="12"/>
  <c r="AZ224" i="12"/>
  <c r="AY224" i="12"/>
  <c r="AX224" i="12"/>
  <c r="BI223" i="12"/>
  <c r="BG223" i="12"/>
  <c r="BF223" i="12"/>
  <c r="BE223" i="12"/>
  <c r="BD223" i="12"/>
  <c r="BC223" i="12"/>
  <c r="BB223" i="12"/>
  <c r="BA223" i="12"/>
  <c r="AZ223" i="12"/>
  <c r="AY223" i="12"/>
  <c r="AX223" i="12"/>
  <c r="BI222" i="12"/>
  <c r="BG222" i="12"/>
  <c r="BF222" i="12"/>
  <c r="BE222" i="12"/>
  <c r="BD222" i="12"/>
  <c r="BC222" i="12"/>
  <c r="BB222" i="12"/>
  <c r="BA222" i="12"/>
  <c r="AZ222" i="12"/>
  <c r="AY222" i="12"/>
  <c r="AX222" i="12"/>
  <c r="BI221" i="12"/>
  <c r="BG221" i="12"/>
  <c r="BF221" i="12"/>
  <c r="BE221" i="12"/>
  <c r="BD221" i="12"/>
  <c r="BC221" i="12"/>
  <c r="BB221" i="12"/>
  <c r="BA221" i="12"/>
  <c r="AZ221" i="12"/>
  <c r="AY221" i="12"/>
  <c r="AX221" i="12"/>
  <c r="BI220" i="12"/>
  <c r="BG220" i="12"/>
  <c r="BF220" i="12"/>
  <c r="BE220" i="12"/>
  <c r="BD220" i="12"/>
  <c r="BC220" i="12"/>
  <c r="BB220" i="12"/>
  <c r="BA220" i="12"/>
  <c r="AZ220" i="12"/>
  <c r="AY220" i="12"/>
  <c r="AX220" i="12"/>
  <c r="BI219" i="12"/>
  <c r="BG219" i="12"/>
  <c r="BF219" i="12"/>
  <c r="BE219" i="12"/>
  <c r="BD219" i="12"/>
  <c r="BC219" i="12"/>
  <c r="BB219" i="12"/>
  <c r="BA219" i="12"/>
  <c r="AZ219" i="12"/>
  <c r="AY219" i="12"/>
  <c r="AX219" i="12"/>
  <c r="BI218" i="12"/>
  <c r="BG218" i="12"/>
  <c r="BF218" i="12"/>
  <c r="BE218" i="12"/>
  <c r="BD218" i="12"/>
  <c r="BC218" i="12"/>
  <c r="BB218" i="12"/>
  <c r="BA218" i="12"/>
  <c r="AZ218" i="12"/>
  <c r="AY218" i="12"/>
  <c r="AX218" i="12"/>
  <c r="BI217" i="12"/>
  <c r="BG217" i="12"/>
  <c r="BF217" i="12"/>
  <c r="BE217" i="12"/>
  <c r="BD217" i="12"/>
  <c r="BC217" i="12"/>
  <c r="BB217" i="12"/>
  <c r="BA217" i="12"/>
  <c r="AZ217" i="12"/>
  <c r="AY217" i="12"/>
  <c r="AX217" i="12"/>
  <c r="BI216" i="12"/>
  <c r="BG216" i="12"/>
  <c r="BF216" i="12"/>
  <c r="BE216" i="12"/>
  <c r="BD216" i="12"/>
  <c r="BC216" i="12"/>
  <c r="BB216" i="12"/>
  <c r="BA216" i="12"/>
  <c r="AZ216" i="12"/>
  <c r="AY216" i="12"/>
  <c r="AX216" i="12"/>
  <c r="BI215" i="12"/>
  <c r="BG215" i="12"/>
  <c r="BF215" i="12"/>
  <c r="BE215" i="12"/>
  <c r="BD215" i="12"/>
  <c r="BC215" i="12"/>
  <c r="BB215" i="12"/>
  <c r="BA215" i="12"/>
  <c r="AZ215" i="12"/>
  <c r="AY215" i="12"/>
  <c r="AX215" i="12"/>
  <c r="BI214" i="12"/>
  <c r="BG214" i="12"/>
  <c r="BF214" i="12"/>
  <c r="BE214" i="12"/>
  <c r="BD214" i="12"/>
  <c r="BC214" i="12"/>
  <c r="BB214" i="12"/>
  <c r="BA214" i="12"/>
  <c r="AZ214" i="12"/>
  <c r="AY214" i="12"/>
  <c r="AX214" i="12"/>
  <c r="BI213" i="12"/>
  <c r="BG213" i="12"/>
  <c r="BF213" i="12"/>
  <c r="BE213" i="12"/>
  <c r="BD213" i="12"/>
  <c r="BC213" i="12"/>
  <c r="BB213" i="12"/>
  <c r="BA213" i="12"/>
  <c r="AZ213" i="12"/>
  <c r="AY213" i="12"/>
  <c r="AX213" i="12"/>
  <c r="BI212" i="12"/>
  <c r="BG212" i="12"/>
  <c r="BF212" i="12"/>
  <c r="BE212" i="12"/>
  <c r="BD212" i="12"/>
  <c r="BC212" i="12"/>
  <c r="BB212" i="12"/>
  <c r="BA212" i="12"/>
  <c r="AZ212" i="12"/>
  <c r="AY212" i="12"/>
  <c r="AX212" i="12"/>
  <c r="BI211" i="12"/>
  <c r="BG211" i="12"/>
  <c r="BF211" i="12"/>
  <c r="BE211" i="12"/>
  <c r="BD211" i="12"/>
  <c r="BC211" i="12"/>
  <c r="BB211" i="12"/>
  <c r="BA211" i="12"/>
  <c r="AZ211" i="12"/>
  <c r="AY211" i="12"/>
  <c r="AX211" i="12"/>
  <c r="BI210" i="12"/>
  <c r="BG210" i="12"/>
  <c r="BF210" i="12"/>
  <c r="BE210" i="12"/>
  <c r="BD210" i="12"/>
  <c r="BC210" i="12"/>
  <c r="BB210" i="12"/>
  <c r="BA210" i="12"/>
  <c r="AZ210" i="12"/>
  <c r="AY210" i="12"/>
  <c r="AX210" i="12"/>
  <c r="BI209" i="12"/>
  <c r="BG209" i="12"/>
  <c r="BF209" i="12"/>
  <c r="BE209" i="12"/>
  <c r="BD209" i="12"/>
  <c r="BC209" i="12"/>
  <c r="BB209" i="12"/>
  <c r="BA209" i="12"/>
  <c r="AZ209" i="12"/>
  <c r="AY209" i="12"/>
  <c r="AX209" i="12"/>
  <c r="BI208" i="12"/>
  <c r="BG208" i="12"/>
  <c r="BF208" i="12"/>
  <c r="BE208" i="12"/>
  <c r="BD208" i="12"/>
  <c r="BC208" i="12"/>
  <c r="BB208" i="12"/>
  <c r="BA208" i="12"/>
  <c r="AZ208" i="12"/>
  <c r="AY208" i="12"/>
  <c r="AX208" i="12"/>
  <c r="BI207" i="12"/>
  <c r="BG207" i="12"/>
  <c r="BF207" i="12"/>
  <c r="BE207" i="12"/>
  <c r="BD207" i="12"/>
  <c r="BC207" i="12"/>
  <c r="BB207" i="12"/>
  <c r="BA207" i="12"/>
  <c r="AZ207" i="12"/>
  <c r="AY207" i="12"/>
  <c r="AX207" i="12"/>
  <c r="BI206" i="12"/>
  <c r="BG206" i="12"/>
  <c r="BF206" i="12"/>
  <c r="BE206" i="12"/>
  <c r="BD206" i="12"/>
  <c r="BC206" i="12"/>
  <c r="BB206" i="12"/>
  <c r="BA206" i="12"/>
  <c r="AZ206" i="12"/>
  <c r="AY206" i="12"/>
  <c r="AX206" i="12"/>
  <c r="BI205" i="12"/>
  <c r="BG205" i="12"/>
  <c r="BF205" i="12"/>
  <c r="BE205" i="12"/>
  <c r="BD205" i="12"/>
  <c r="BC205" i="12"/>
  <c r="BB205" i="12"/>
  <c r="BA205" i="12"/>
  <c r="AZ205" i="12"/>
  <c r="AY205" i="12"/>
  <c r="AX205" i="12"/>
  <c r="BI204" i="12"/>
  <c r="BG204" i="12"/>
  <c r="BF204" i="12"/>
  <c r="BE204" i="12"/>
  <c r="BD204" i="12"/>
  <c r="BC204" i="12"/>
  <c r="BB204" i="12"/>
  <c r="BA204" i="12"/>
  <c r="AZ204" i="12"/>
  <c r="AY204" i="12"/>
  <c r="AX204" i="12"/>
  <c r="BI203" i="12"/>
  <c r="BG203" i="12"/>
  <c r="BF203" i="12"/>
  <c r="BE203" i="12"/>
  <c r="BD203" i="12"/>
  <c r="BC203" i="12"/>
  <c r="BB203" i="12"/>
  <c r="BA203" i="12"/>
  <c r="AZ203" i="12"/>
  <c r="AY203" i="12"/>
  <c r="AX203" i="12"/>
  <c r="BI202" i="12"/>
  <c r="BG202" i="12"/>
  <c r="BF202" i="12"/>
  <c r="BE202" i="12"/>
  <c r="BD202" i="12"/>
  <c r="BC202" i="12"/>
  <c r="BB202" i="12"/>
  <c r="BA202" i="12"/>
  <c r="AZ202" i="12"/>
  <c r="AY202" i="12"/>
  <c r="AX202" i="12"/>
  <c r="BI201" i="12"/>
  <c r="BG201" i="12"/>
  <c r="BF201" i="12"/>
  <c r="BE201" i="12"/>
  <c r="BD201" i="12"/>
  <c r="BC201" i="12"/>
  <c r="BB201" i="12"/>
  <c r="BA201" i="12"/>
  <c r="AZ201" i="12"/>
  <c r="AY201" i="12"/>
  <c r="AX201" i="12"/>
  <c r="BI200" i="12"/>
  <c r="BG200" i="12"/>
  <c r="BF200" i="12"/>
  <c r="BE200" i="12"/>
  <c r="BD200" i="12"/>
  <c r="BC200" i="12"/>
  <c r="BB200" i="12"/>
  <c r="BA200" i="12"/>
  <c r="AZ200" i="12"/>
  <c r="AY200" i="12"/>
  <c r="AX200" i="12"/>
  <c r="BI199" i="12"/>
  <c r="BG199" i="12"/>
  <c r="BF199" i="12"/>
  <c r="BE199" i="12"/>
  <c r="BD199" i="12"/>
  <c r="BC199" i="12"/>
  <c r="BB199" i="12"/>
  <c r="BA199" i="12"/>
  <c r="AZ199" i="12"/>
  <c r="AY199" i="12"/>
  <c r="AX199" i="12"/>
  <c r="BI198" i="12"/>
  <c r="BG198" i="12"/>
  <c r="BF198" i="12"/>
  <c r="BE198" i="12"/>
  <c r="BD198" i="12"/>
  <c r="BC198" i="12"/>
  <c r="BB198" i="12"/>
  <c r="BA198" i="12"/>
  <c r="AZ198" i="12"/>
  <c r="AY198" i="12"/>
  <c r="AX198" i="12"/>
  <c r="BI197" i="12"/>
  <c r="BG197" i="12"/>
  <c r="BF197" i="12"/>
  <c r="BE197" i="12"/>
  <c r="BD197" i="12"/>
  <c r="BC197" i="12"/>
  <c r="BB197" i="12"/>
  <c r="BA197" i="12"/>
  <c r="AZ197" i="12"/>
  <c r="AY197" i="12"/>
  <c r="AX197" i="12"/>
  <c r="BI196" i="12"/>
  <c r="BG196" i="12"/>
  <c r="BF196" i="12"/>
  <c r="BE196" i="12"/>
  <c r="BD196" i="12"/>
  <c r="BC196" i="12"/>
  <c r="BB196" i="12"/>
  <c r="BA196" i="12"/>
  <c r="AZ196" i="12"/>
  <c r="AY196" i="12"/>
  <c r="AX196" i="12"/>
  <c r="BI195" i="12"/>
  <c r="BG195" i="12"/>
  <c r="BF195" i="12"/>
  <c r="BE195" i="12"/>
  <c r="BD195" i="12"/>
  <c r="BC195" i="12"/>
  <c r="BB195" i="12"/>
  <c r="BA195" i="12"/>
  <c r="AZ195" i="12"/>
  <c r="AY195" i="12"/>
  <c r="AX195" i="12"/>
  <c r="BI194" i="12"/>
  <c r="BG194" i="12"/>
  <c r="BF194" i="12"/>
  <c r="BE194" i="12"/>
  <c r="BD194" i="12"/>
  <c r="BC194" i="12"/>
  <c r="BB194" i="12"/>
  <c r="BA194" i="12"/>
  <c r="AZ194" i="12"/>
  <c r="AY194" i="12"/>
  <c r="AX194" i="12"/>
  <c r="BI193" i="12"/>
  <c r="BG193" i="12"/>
  <c r="BF193" i="12"/>
  <c r="BE193" i="12"/>
  <c r="BD193" i="12"/>
  <c r="BC193" i="12"/>
  <c r="BB193" i="12"/>
  <c r="BA193" i="12"/>
  <c r="AZ193" i="12"/>
  <c r="AY193" i="12"/>
  <c r="AX193" i="12"/>
  <c r="BI192" i="12"/>
  <c r="BG192" i="12"/>
  <c r="BF192" i="12"/>
  <c r="BE192" i="12"/>
  <c r="BD192" i="12"/>
  <c r="BC192" i="12"/>
  <c r="BB192" i="12"/>
  <c r="BA192" i="12"/>
  <c r="AZ192" i="12"/>
  <c r="AY192" i="12"/>
  <c r="AX192" i="12"/>
  <c r="BI191" i="12"/>
  <c r="BG191" i="12"/>
  <c r="BF191" i="12"/>
  <c r="BE191" i="12"/>
  <c r="BD191" i="12"/>
  <c r="BC191" i="12"/>
  <c r="BB191" i="12"/>
  <c r="BA191" i="12"/>
  <c r="AZ191" i="12"/>
  <c r="AY191" i="12"/>
  <c r="AX191" i="12"/>
  <c r="BI190" i="12"/>
  <c r="BG190" i="12"/>
  <c r="BF190" i="12"/>
  <c r="BE190" i="12"/>
  <c r="BD190" i="12"/>
  <c r="BC190" i="12"/>
  <c r="BB190" i="12"/>
  <c r="BA190" i="12"/>
  <c r="AZ190" i="12"/>
  <c r="AY190" i="12"/>
  <c r="AX190" i="12"/>
  <c r="BI189" i="12"/>
  <c r="BG189" i="12"/>
  <c r="BF189" i="12"/>
  <c r="BE189" i="12"/>
  <c r="BD189" i="12"/>
  <c r="BC189" i="12"/>
  <c r="BB189" i="12"/>
  <c r="BA189" i="12"/>
  <c r="AZ189" i="12"/>
  <c r="AY189" i="12"/>
  <c r="AX189" i="12"/>
  <c r="BI188" i="12"/>
  <c r="BG188" i="12"/>
  <c r="BF188" i="12"/>
  <c r="BE188" i="12"/>
  <c r="BD188" i="12"/>
  <c r="BC188" i="12"/>
  <c r="BB188" i="12"/>
  <c r="BA188" i="12"/>
  <c r="AZ188" i="12"/>
  <c r="AY188" i="12"/>
  <c r="AX188" i="12"/>
  <c r="BI187" i="12"/>
  <c r="BG187" i="12"/>
  <c r="BF187" i="12"/>
  <c r="BE187" i="12"/>
  <c r="BD187" i="12"/>
  <c r="BC187" i="12"/>
  <c r="BB187" i="12"/>
  <c r="BA187" i="12"/>
  <c r="AZ187" i="12"/>
  <c r="AY187" i="12"/>
  <c r="AX187" i="12"/>
  <c r="BI186" i="12"/>
  <c r="BG186" i="12"/>
  <c r="BF186" i="12"/>
  <c r="BE186" i="12"/>
  <c r="BD186" i="12"/>
  <c r="BC186" i="12"/>
  <c r="BB186" i="12"/>
  <c r="BA186" i="12"/>
  <c r="AZ186" i="12"/>
  <c r="AY186" i="12"/>
  <c r="AX186" i="12"/>
  <c r="BI185" i="12"/>
  <c r="BG185" i="12"/>
  <c r="BF185" i="12"/>
  <c r="BE185" i="12"/>
  <c r="BD185" i="12"/>
  <c r="BC185" i="12"/>
  <c r="BB185" i="12"/>
  <c r="BA185" i="12"/>
  <c r="AZ185" i="12"/>
  <c r="AY185" i="12"/>
  <c r="AX185" i="12"/>
  <c r="BI184" i="12"/>
  <c r="BG184" i="12"/>
  <c r="BF184" i="12"/>
  <c r="BE184" i="12"/>
  <c r="BD184" i="12"/>
  <c r="BC184" i="12"/>
  <c r="BB184" i="12"/>
  <c r="BA184" i="12"/>
  <c r="AZ184" i="12"/>
  <c r="AY184" i="12"/>
  <c r="AX184" i="12"/>
  <c r="BI183" i="12"/>
  <c r="BG183" i="12"/>
  <c r="BF183" i="12"/>
  <c r="BE183" i="12"/>
  <c r="BD183" i="12"/>
  <c r="BC183" i="12"/>
  <c r="BB183" i="12"/>
  <c r="BA183" i="12"/>
  <c r="AZ183" i="12"/>
  <c r="AY183" i="12"/>
  <c r="AX183" i="12"/>
  <c r="BI182" i="12"/>
  <c r="BG182" i="12"/>
  <c r="BF182" i="12"/>
  <c r="BE182" i="12"/>
  <c r="BD182" i="12"/>
  <c r="BC182" i="12"/>
  <c r="BB182" i="12"/>
  <c r="BA182" i="12"/>
  <c r="AZ182" i="12"/>
  <c r="AY182" i="12"/>
  <c r="AX182" i="12"/>
  <c r="BI181" i="12"/>
  <c r="BG181" i="12"/>
  <c r="BF181" i="12"/>
  <c r="BE181" i="12"/>
  <c r="BD181" i="12"/>
  <c r="BC181" i="12"/>
  <c r="BB181" i="12"/>
  <c r="BA181" i="12"/>
  <c r="AZ181" i="12"/>
  <c r="AY181" i="12"/>
  <c r="AX181" i="12"/>
  <c r="BI180" i="12"/>
  <c r="BG180" i="12"/>
  <c r="BF180" i="12"/>
  <c r="BE180" i="12"/>
  <c r="BD180" i="12"/>
  <c r="BC180" i="12"/>
  <c r="BB180" i="12"/>
  <c r="BA180" i="12"/>
  <c r="AZ180" i="12"/>
  <c r="AY180" i="12"/>
  <c r="AX180" i="12"/>
  <c r="BI179" i="12"/>
  <c r="BG179" i="12"/>
  <c r="BF179" i="12"/>
  <c r="BE179" i="12"/>
  <c r="BD179" i="12"/>
  <c r="BC179" i="12"/>
  <c r="BB179" i="12"/>
  <c r="BA179" i="12"/>
  <c r="AZ179" i="12"/>
  <c r="AY179" i="12"/>
  <c r="AX179" i="12"/>
  <c r="BI178" i="12"/>
  <c r="BG178" i="12"/>
  <c r="BF178" i="12"/>
  <c r="BE178" i="12"/>
  <c r="BD178" i="12"/>
  <c r="BC178" i="12"/>
  <c r="BB178" i="12"/>
  <c r="BA178" i="12"/>
  <c r="AZ178" i="12"/>
  <c r="AY178" i="12"/>
  <c r="AX178" i="12"/>
  <c r="BI177" i="12"/>
  <c r="BG177" i="12"/>
  <c r="BF177" i="12"/>
  <c r="BE177" i="12"/>
  <c r="BD177" i="12"/>
  <c r="BC177" i="12"/>
  <c r="BB177" i="12"/>
  <c r="BA177" i="12"/>
  <c r="AZ177" i="12"/>
  <c r="AY177" i="12"/>
  <c r="AX177" i="12"/>
  <c r="BI176" i="12"/>
  <c r="BG176" i="12"/>
  <c r="BF176" i="12"/>
  <c r="BE176" i="12"/>
  <c r="BD176" i="12"/>
  <c r="BC176" i="12"/>
  <c r="BB176" i="12"/>
  <c r="BA176" i="12"/>
  <c r="AZ176" i="12"/>
  <c r="AY176" i="12"/>
  <c r="AX176" i="12"/>
  <c r="BI175" i="12"/>
  <c r="BG175" i="12"/>
  <c r="BF175" i="12"/>
  <c r="BE175" i="12"/>
  <c r="BD175" i="12"/>
  <c r="BC175" i="12"/>
  <c r="BB175" i="12"/>
  <c r="BA175" i="12"/>
  <c r="AZ175" i="12"/>
  <c r="AY175" i="12"/>
  <c r="AX175" i="12"/>
  <c r="BI174" i="12"/>
  <c r="BG174" i="12"/>
  <c r="BF174" i="12"/>
  <c r="BE174" i="12"/>
  <c r="BD174" i="12"/>
  <c r="BC174" i="12"/>
  <c r="BB174" i="12"/>
  <c r="BA174" i="12"/>
  <c r="AZ174" i="12"/>
  <c r="AY174" i="12"/>
  <c r="AX174" i="12"/>
  <c r="BI173" i="12"/>
  <c r="BG173" i="12"/>
  <c r="BF173" i="12"/>
  <c r="BE173" i="12"/>
  <c r="BD173" i="12"/>
  <c r="BC173" i="12"/>
  <c r="BB173" i="12"/>
  <c r="BA173" i="12"/>
  <c r="AZ173" i="12"/>
  <c r="AY173" i="12"/>
  <c r="AX173" i="12"/>
  <c r="BI172" i="12"/>
  <c r="BG172" i="12"/>
  <c r="BF172" i="12"/>
  <c r="BE172" i="12"/>
  <c r="BD172" i="12"/>
  <c r="BC172" i="12"/>
  <c r="BB172" i="12"/>
  <c r="BA172" i="12"/>
  <c r="AZ172" i="12"/>
  <c r="AY172" i="12"/>
  <c r="AX172" i="12"/>
  <c r="BI171" i="12"/>
  <c r="BG171" i="12"/>
  <c r="BF171" i="12"/>
  <c r="BE171" i="12"/>
  <c r="BD171" i="12"/>
  <c r="BC171" i="12"/>
  <c r="BB171" i="12"/>
  <c r="BA171" i="12"/>
  <c r="AZ171" i="12"/>
  <c r="AY171" i="12"/>
  <c r="AX171" i="12"/>
  <c r="BI170" i="12"/>
  <c r="BG170" i="12"/>
  <c r="BF170" i="12"/>
  <c r="BE170" i="12"/>
  <c r="BD170" i="12"/>
  <c r="BC170" i="12"/>
  <c r="BB170" i="12"/>
  <c r="BA170" i="12"/>
  <c r="AZ170" i="12"/>
  <c r="AY170" i="12"/>
  <c r="AX170" i="12"/>
  <c r="BI169" i="12"/>
  <c r="BG169" i="12"/>
  <c r="BF169" i="12"/>
  <c r="BE169" i="12"/>
  <c r="BD169" i="12"/>
  <c r="BC169" i="12"/>
  <c r="BB169" i="12"/>
  <c r="BA169" i="12"/>
  <c r="AZ169" i="12"/>
  <c r="AY169" i="12"/>
  <c r="AX169" i="12"/>
  <c r="BI168" i="12"/>
  <c r="BG168" i="12"/>
  <c r="BF168" i="12"/>
  <c r="BE168" i="12"/>
  <c r="BD168" i="12"/>
  <c r="BC168" i="12"/>
  <c r="BB168" i="12"/>
  <c r="BA168" i="12"/>
  <c r="AZ168" i="12"/>
  <c r="AY168" i="12"/>
  <c r="AX168" i="12"/>
  <c r="BI167" i="12"/>
  <c r="BG167" i="12"/>
  <c r="BF167" i="12"/>
  <c r="BE167" i="12"/>
  <c r="BD167" i="12"/>
  <c r="BC167" i="12"/>
  <c r="BB167" i="12"/>
  <c r="BA167" i="12"/>
  <c r="AZ167" i="12"/>
  <c r="AY167" i="12"/>
  <c r="AX167" i="12"/>
  <c r="BI166" i="12"/>
  <c r="BG166" i="12"/>
  <c r="BF166" i="12"/>
  <c r="BE166" i="12"/>
  <c r="BD166" i="12"/>
  <c r="BC166" i="12"/>
  <c r="BB166" i="12"/>
  <c r="BA166" i="12"/>
  <c r="AZ166" i="12"/>
  <c r="AY166" i="12"/>
  <c r="AX166" i="12"/>
  <c r="BI165" i="12"/>
  <c r="BG165" i="12"/>
  <c r="BF165" i="12"/>
  <c r="BE165" i="12"/>
  <c r="BD165" i="12"/>
  <c r="BC165" i="12"/>
  <c r="BB165" i="12"/>
  <c r="BA165" i="12"/>
  <c r="AZ165" i="12"/>
  <c r="AY165" i="12"/>
  <c r="AX165" i="12"/>
  <c r="BI164" i="12"/>
  <c r="BG164" i="12"/>
  <c r="BF164" i="12"/>
  <c r="BE164" i="12"/>
  <c r="BD164" i="12"/>
  <c r="BC164" i="12"/>
  <c r="BB164" i="12"/>
  <c r="BA164" i="12"/>
  <c r="AZ164" i="12"/>
  <c r="AY164" i="12"/>
  <c r="AX164" i="12"/>
  <c r="BI163" i="12"/>
  <c r="BG163" i="12"/>
  <c r="BF163" i="12"/>
  <c r="BE163" i="12"/>
  <c r="BD163" i="12"/>
  <c r="BC163" i="12"/>
  <c r="BB163" i="12"/>
  <c r="BA163" i="12"/>
  <c r="AZ163" i="12"/>
  <c r="AY163" i="12"/>
  <c r="AX163" i="12"/>
  <c r="BI162" i="12"/>
  <c r="BG162" i="12"/>
  <c r="BF162" i="12"/>
  <c r="BE162" i="12"/>
  <c r="BD162" i="12"/>
  <c r="BC162" i="12"/>
  <c r="BB162" i="12"/>
  <c r="BA162" i="12"/>
  <c r="AZ162" i="12"/>
  <c r="AY162" i="12"/>
  <c r="AX162" i="12"/>
  <c r="BI161" i="12"/>
  <c r="BG161" i="12"/>
  <c r="BF161" i="12"/>
  <c r="BE161" i="12"/>
  <c r="BD161" i="12"/>
  <c r="BC161" i="12"/>
  <c r="BB161" i="12"/>
  <c r="BA161" i="12"/>
  <c r="AZ161" i="12"/>
  <c r="AY161" i="12"/>
  <c r="AX161" i="12"/>
  <c r="BI160" i="12"/>
  <c r="BG160" i="12"/>
  <c r="BF160" i="12"/>
  <c r="BE160" i="12"/>
  <c r="BD160" i="12"/>
  <c r="BC160" i="12"/>
  <c r="BB160" i="12"/>
  <c r="BA160" i="12"/>
  <c r="AZ160" i="12"/>
  <c r="AY160" i="12"/>
  <c r="AX160" i="12"/>
  <c r="BI159" i="12"/>
  <c r="BG159" i="12"/>
  <c r="BF159" i="12"/>
  <c r="BE159" i="12"/>
  <c r="BD159" i="12"/>
  <c r="BC159" i="12"/>
  <c r="BB159" i="12"/>
  <c r="BA159" i="12"/>
  <c r="AZ159" i="12"/>
  <c r="AY159" i="12"/>
  <c r="AX159" i="12"/>
  <c r="BI158" i="12"/>
  <c r="BG158" i="12"/>
  <c r="BF158" i="12"/>
  <c r="BE158" i="12"/>
  <c r="BD158" i="12"/>
  <c r="BC158" i="12"/>
  <c r="BB158" i="12"/>
  <c r="BA158" i="12"/>
  <c r="AZ158" i="12"/>
  <c r="AY158" i="12"/>
  <c r="AX158" i="12"/>
  <c r="BI157" i="12"/>
  <c r="BG157" i="12"/>
  <c r="BF157" i="12"/>
  <c r="BE157" i="12"/>
  <c r="BD157" i="12"/>
  <c r="BC157" i="12"/>
  <c r="BB157" i="12"/>
  <c r="BA157" i="12"/>
  <c r="AZ157" i="12"/>
  <c r="AY157" i="12"/>
  <c r="AX157" i="12"/>
  <c r="BI156" i="12"/>
  <c r="BG156" i="12"/>
  <c r="BF156" i="12"/>
  <c r="BE156" i="12"/>
  <c r="BD156" i="12"/>
  <c r="BC156" i="12"/>
  <c r="BB156" i="12"/>
  <c r="BA156" i="12"/>
  <c r="AZ156" i="12"/>
  <c r="AY156" i="12"/>
  <c r="AX156" i="12"/>
  <c r="BI155" i="12"/>
  <c r="BG155" i="12"/>
  <c r="BF155" i="12"/>
  <c r="BE155" i="12"/>
  <c r="BD155" i="12"/>
  <c r="BC155" i="12"/>
  <c r="BB155" i="12"/>
  <c r="BA155" i="12"/>
  <c r="AZ155" i="12"/>
  <c r="AY155" i="12"/>
  <c r="AX155" i="12"/>
  <c r="BI154" i="12"/>
  <c r="BG154" i="12"/>
  <c r="BF154" i="12"/>
  <c r="BE154" i="12"/>
  <c r="BD154" i="12"/>
  <c r="BC154" i="12"/>
  <c r="BB154" i="12"/>
  <c r="BA154" i="12"/>
  <c r="AZ154" i="12"/>
  <c r="AY154" i="12"/>
  <c r="AX154" i="12"/>
  <c r="BI153" i="12"/>
  <c r="BG153" i="12"/>
  <c r="BF153" i="12"/>
  <c r="BE153" i="12"/>
  <c r="BD153" i="12"/>
  <c r="BC153" i="12"/>
  <c r="BB153" i="12"/>
  <c r="BA153" i="12"/>
  <c r="AZ153" i="12"/>
  <c r="AY153" i="12"/>
  <c r="AX153" i="12"/>
  <c r="BI152" i="12"/>
  <c r="BG152" i="12"/>
  <c r="BF152" i="12"/>
  <c r="BE152" i="12"/>
  <c r="BD152" i="12"/>
  <c r="BC152" i="12"/>
  <c r="BB152" i="12"/>
  <c r="BA152" i="12"/>
  <c r="AZ152" i="12"/>
  <c r="AY152" i="12"/>
  <c r="AX152" i="12"/>
  <c r="BI151" i="12"/>
  <c r="BG151" i="12"/>
  <c r="BF151" i="12"/>
  <c r="BE151" i="12"/>
  <c r="BD151" i="12"/>
  <c r="BC151" i="12"/>
  <c r="BB151" i="12"/>
  <c r="BA151" i="12"/>
  <c r="AZ151" i="12"/>
  <c r="AY151" i="12"/>
  <c r="AX151" i="12"/>
  <c r="BI150" i="12"/>
  <c r="BG150" i="12"/>
  <c r="BF150" i="12"/>
  <c r="BE150" i="12"/>
  <c r="BD150" i="12"/>
  <c r="BC150" i="12"/>
  <c r="BB150" i="12"/>
  <c r="BA150" i="12"/>
  <c r="AZ150" i="12"/>
  <c r="AY150" i="12"/>
  <c r="AX150" i="12"/>
  <c r="BI149" i="12"/>
  <c r="BG149" i="12"/>
  <c r="BF149" i="12"/>
  <c r="BE149" i="12"/>
  <c r="BD149" i="12"/>
  <c r="BC149" i="12"/>
  <c r="BB149" i="12"/>
  <c r="BA149" i="12"/>
  <c r="AZ149" i="12"/>
  <c r="AY149" i="12"/>
  <c r="AX149" i="12"/>
  <c r="BI148" i="12"/>
  <c r="BG148" i="12"/>
  <c r="BF148" i="12"/>
  <c r="BE148" i="12"/>
  <c r="BD148" i="12"/>
  <c r="BC148" i="12"/>
  <c r="BB148" i="12"/>
  <c r="BA148" i="12"/>
  <c r="AZ148" i="12"/>
  <c r="AY148" i="12"/>
  <c r="AX148" i="12"/>
  <c r="BI147" i="12"/>
  <c r="BG147" i="12"/>
  <c r="BF147" i="12"/>
  <c r="BE147" i="12"/>
  <c r="BD147" i="12"/>
  <c r="BC147" i="12"/>
  <c r="BB147" i="12"/>
  <c r="BA147" i="12"/>
  <c r="AZ147" i="12"/>
  <c r="AY147" i="12"/>
  <c r="AX147" i="12"/>
  <c r="BI146" i="12"/>
  <c r="BG146" i="12"/>
  <c r="BF146" i="12"/>
  <c r="BE146" i="12"/>
  <c r="BD146" i="12"/>
  <c r="BC146" i="12"/>
  <c r="BB146" i="12"/>
  <c r="BA146" i="12"/>
  <c r="AZ146" i="12"/>
  <c r="AY146" i="12"/>
  <c r="AX146" i="12"/>
  <c r="BI145" i="12"/>
  <c r="BG145" i="12"/>
  <c r="BF145" i="12"/>
  <c r="BE145" i="12"/>
  <c r="BD145" i="12"/>
  <c r="BC145" i="12"/>
  <c r="BB145" i="12"/>
  <c r="BA145" i="12"/>
  <c r="AZ145" i="12"/>
  <c r="AY145" i="12"/>
  <c r="AX145" i="12"/>
  <c r="BI144" i="12"/>
  <c r="BG144" i="12"/>
  <c r="BF144" i="12"/>
  <c r="BE144" i="12"/>
  <c r="BD144" i="12"/>
  <c r="BC144" i="12"/>
  <c r="BB144" i="12"/>
  <c r="BA144" i="12"/>
  <c r="AZ144" i="12"/>
  <c r="AY144" i="12"/>
  <c r="AX144" i="12"/>
  <c r="BI143" i="12"/>
  <c r="BG143" i="12"/>
  <c r="BF143" i="12"/>
  <c r="BE143" i="12"/>
  <c r="BD143" i="12"/>
  <c r="BC143" i="12"/>
  <c r="BB143" i="12"/>
  <c r="BA143" i="12"/>
  <c r="AZ143" i="12"/>
  <c r="AY143" i="12"/>
  <c r="AX143" i="12"/>
  <c r="BI142" i="12"/>
  <c r="BG142" i="12"/>
  <c r="BF142" i="12"/>
  <c r="BE142" i="12"/>
  <c r="BD142" i="12"/>
  <c r="BC142" i="12"/>
  <c r="BB142" i="12"/>
  <c r="BA142" i="12"/>
  <c r="AZ142" i="12"/>
  <c r="AY142" i="12"/>
  <c r="AX142" i="12"/>
  <c r="BI141" i="12"/>
  <c r="BG141" i="12"/>
  <c r="BF141" i="12"/>
  <c r="BE141" i="12"/>
  <c r="BD141" i="12"/>
  <c r="BC141" i="12"/>
  <c r="BB141" i="12"/>
  <c r="BA141" i="12"/>
  <c r="AZ141" i="12"/>
  <c r="AY141" i="12"/>
  <c r="AX141" i="12"/>
  <c r="BI140" i="12"/>
  <c r="BG140" i="12"/>
  <c r="BF140" i="12"/>
  <c r="BE140" i="12"/>
  <c r="BD140" i="12"/>
  <c r="BC140" i="12"/>
  <c r="BB140" i="12"/>
  <c r="BA140" i="12"/>
  <c r="AZ140" i="12"/>
  <c r="AY140" i="12"/>
  <c r="AX140" i="12"/>
  <c r="BI139" i="12"/>
  <c r="BG139" i="12"/>
  <c r="BF139" i="12"/>
  <c r="BE139" i="12"/>
  <c r="BD139" i="12"/>
  <c r="BC139" i="12"/>
  <c r="BB139" i="12"/>
  <c r="BA139" i="12"/>
  <c r="AZ139" i="12"/>
  <c r="AY139" i="12"/>
  <c r="AX139" i="12"/>
  <c r="BI138" i="12"/>
  <c r="BG138" i="12"/>
  <c r="BF138" i="12"/>
  <c r="BE138" i="12"/>
  <c r="BD138" i="12"/>
  <c r="BC138" i="12"/>
  <c r="BB138" i="12"/>
  <c r="BA138" i="12"/>
  <c r="AZ138" i="12"/>
  <c r="AY138" i="12"/>
  <c r="AX138" i="12"/>
  <c r="BI137" i="12"/>
  <c r="BG137" i="12"/>
  <c r="BF137" i="12"/>
  <c r="BE137" i="12"/>
  <c r="BD137" i="12"/>
  <c r="BC137" i="12"/>
  <c r="BB137" i="12"/>
  <c r="BA137" i="12"/>
  <c r="AZ137" i="12"/>
  <c r="AY137" i="12"/>
  <c r="AX137" i="12"/>
  <c r="BI136" i="12"/>
  <c r="BG136" i="12"/>
  <c r="BF136" i="12"/>
  <c r="BE136" i="12"/>
  <c r="BD136" i="12"/>
  <c r="BC136" i="12"/>
  <c r="BB136" i="12"/>
  <c r="BA136" i="12"/>
  <c r="AZ136" i="12"/>
  <c r="AY136" i="12"/>
  <c r="AX136" i="12"/>
  <c r="BI135" i="12"/>
  <c r="BG135" i="12"/>
  <c r="BF135" i="12"/>
  <c r="BE135" i="12"/>
  <c r="BD135" i="12"/>
  <c r="BC135" i="12"/>
  <c r="BB135" i="12"/>
  <c r="BA135" i="12"/>
  <c r="AZ135" i="12"/>
  <c r="AY135" i="12"/>
  <c r="AX135" i="12"/>
  <c r="BI134" i="12"/>
  <c r="BG134" i="12"/>
  <c r="BF134" i="12"/>
  <c r="BE134" i="12"/>
  <c r="BD134" i="12"/>
  <c r="BC134" i="12"/>
  <c r="BB134" i="12"/>
  <c r="BA134" i="12"/>
  <c r="AZ134" i="12"/>
  <c r="AY134" i="12"/>
  <c r="AX134" i="12"/>
  <c r="BI133" i="12"/>
  <c r="BG133" i="12"/>
  <c r="BF133" i="12"/>
  <c r="BE133" i="12"/>
  <c r="BD133" i="12"/>
  <c r="BC133" i="12"/>
  <c r="BB133" i="12"/>
  <c r="BA133" i="12"/>
  <c r="AZ133" i="12"/>
  <c r="AY133" i="12"/>
  <c r="AX133" i="12"/>
  <c r="BI132" i="12"/>
  <c r="BG132" i="12"/>
  <c r="BF132" i="12"/>
  <c r="BE132" i="12"/>
  <c r="BD132" i="12"/>
  <c r="BC132" i="12"/>
  <c r="BB132" i="12"/>
  <c r="BA132" i="12"/>
  <c r="AZ132" i="12"/>
  <c r="AY132" i="12"/>
  <c r="AX132" i="12"/>
  <c r="BI131" i="12"/>
  <c r="BG131" i="12"/>
  <c r="BF131" i="12"/>
  <c r="BE131" i="12"/>
  <c r="BD131" i="12"/>
  <c r="BC131" i="12"/>
  <c r="BB131" i="12"/>
  <c r="BA131" i="12"/>
  <c r="AZ131" i="12"/>
  <c r="AY131" i="12"/>
  <c r="AX131" i="12"/>
  <c r="BI130" i="12"/>
  <c r="BG130" i="12"/>
  <c r="BF130" i="12"/>
  <c r="BE130" i="12"/>
  <c r="BD130" i="12"/>
  <c r="BC130" i="12"/>
  <c r="BB130" i="12"/>
  <c r="BA130" i="12"/>
  <c r="AZ130" i="12"/>
  <c r="AY130" i="12"/>
  <c r="AX130" i="12"/>
  <c r="BI129" i="12"/>
  <c r="BG129" i="12"/>
  <c r="BF129" i="12"/>
  <c r="BE129" i="12"/>
  <c r="BD129" i="12"/>
  <c r="BC129" i="12"/>
  <c r="BB129" i="12"/>
  <c r="BA129" i="12"/>
  <c r="AZ129" i="12"/>
  <c r="AY129" i="12"/>
  <c r="AX129" i="12"/>
  <c r="BI128" i="12"/>
  <c r="BG128" i="12"/>
  <c r="BF128" i="12"/>
  <c r="BE128" i="12"/>
  <c r="BD128" i="12"/>
  <c r="BC128" i="12"/>
  <c r="BB128" i="12"/>
  <c r="BA128" i="12"/>
  <c r="AZ128" i="12"/>
  <c r="AY128" i="12"/>
  <c r="AX128" i="12"/>
  <c r="BI127" i="12"/>
  <c r="BG127" i="12"/>
  <c r="BF127" i="12"/>
  <c r="BE127" i="12"/>
  <c r="BD127" i="12"/>
  <c r="BC127" i="12"/>
  <c r="BB127" i="12"/>
  <c r="BA127" i="12"/>
  <c r="AZ127" i="12"/>
  <c r="AY127" i="12"/>
  <c r="AX127" i="12"/>
  <c r="BI126" i="12"/>
  <c r="BG126" i="12"/>
  <c r="BF126" i="12"/>
  <c r="BE126" i="12"/>
  <c r="BD126" i="12"/>
  <c r="BC126" i="12"/>
  <c r="BB126" i="12"/>
  <c r="BA126" i="12"/>
  <c r="AZ126" i="12"/>
  <c r="AY126" i="12"/>
  <c r="AX126" i="12"/>
  <c r="BI125" i="12"/>
  <c r="BG125" i="12"/>
  <c r="BF125" i="12"/>
  <c r="BE125" i="12"/>
  <c r="BD125" i="12"/>
  <c r="BC125" i="12"/>
  <c r="BB125" i="12"/>
  <c r="BA125" i="12"/>
  <c r="AZ125" i="12"/>
  <c r="AY125" i="12"/>
  <c r="AX125" i="12"/>
  <c r="BI124" i="12"/>
  <c r="BG124" i="12"/>
  <c r="BF124" i="12"/>
  <c r="BE124" i="12"/>
  <c r="BD124" i="12"/>
  <c r="BC124" i="12"/>
  <c r="BB124" i="12"/>
  <c r="BA124" i="12"/>
  <c r="AZ124" i="12"/>
  <c r="AY124" i="12"/>
  <c r="AX124" i="12"/>
  <c r="BI123" i="12"/>
  <c r="BG123" i="12"/>
  <c r="BF123" i="12"/>
  <c r="BE123" i="12"/>
  <c r="BD123" i="12"/>
  <c r="BC123" i="12"/>
  <c r="BB123" i="12"/>
  <c r="BA123" i="12"/>
  <c r="AZ123" i="12"/>
  <c r="AY123" i="12"/>
  <c r="AX123" i="12"/>
  <c r="BI122" i="12"/>
  <c r="BG122" i="12"/>
  <c r="BF122" i="12"/>
  <c r="BE122" i="12"/>
  <c r="BD122" i="12"/>
  <c r="BC122" i="12"/>
  <c r="BB122" i="12"/>
  <c r="BA122" i="12"/>
  <c r="AZ122" i="12"/>
  <c r="AY122" i="12"/>
  <c r="AX122" i="12"/>
  <c r="BI121" i="12"/>
  <c r="BG121" i="12"/>
  <c r="BF121" i="12"/>
  <c r="BE121" i="12"/>
  <c r="BD121" i="12"/>
  <c r="BC121" i="12"/>
  <c r="BB121" i="12"/>
  <c r="BA121" i="12"/>
  <c r="AZ121" i="12"/>
  <c r="AY121" i="12"/>
  <c r="AX121" i="12"/>
  <c r="BI120" i="12"/>
  <c r="BG120" i="12"/>
  <c r="BF120" i="12"/>
  <c r="BE120" i="12"/>
  <c r="BD120" i="12"/>
  <c r="BC120" i="12"/>
  <c r="BB120" i="12"/>
  <c r="BA120" i="12"/>
  <c r="AZ120" i="12"/>
  <c r="AY120" i="12"/>
  <c r="AX120" i="12"/>
  <c r="BI119" i="12"/>
  <c r="BG119" i="12"/>
  <c r="BF119" i="12"/>
  <c r="BE119" i="12"/>
  <c r="BD119" i="12"/>
  <c r="BC119" i="12"/>
  <c r="BB119" i="12"/>
  <c r="BA119" i="12"/>
  <c r="AZ119" i="12"/>
  <c r="AY119" i="12"/>
  <c r="AX119" i="12"/>
  <c r="BI118" i="12"/>
  <c r="BG118" i="12"/>
  <c r="BF118" i="12"/>
  <c r="BE118" i="12"/>
  <c r="BD118" i="12"/>
  <c r="BC118" i="12"/>
  <c r="BB118" i="12"/>
  <c r="BA118" i="12"/>
  <c r="AZ118" i="12"/>
  <c r="AY118" i="12"/>
  <c r="AX118" i="12"/>
  <c r="BI117" i="12"/>
  <c r="BG117" i="12"/>
  <c r="BF117" i="12"/>
  <c r="BE117" i="12"/>
  <c r="BD117" i="12"/>
  <c r="BC117" i="12"/>
  <c r="BB117" i="12"/>
  <c r="BA117" i="12"/>
  <c r="AZ117" i="12"/>
  <c r="AY117" i="12"/>
  <c r="AX117" i="12"/>
  <c r="BI116" i="12"/>
  <c r="BG116" i="12"/>
  <c r="BF116" i="12"/>
  <c r="BE116" i="12"/>
  <c r="BD116" i="12"/>
  <c r="BC116" i="12"/>
  <c r="BB116" i="12"/>
  <c r="BA116" i="12"/>
  <c r="AZ116" i="12"/>
  <c r="AY116" i="12"/>
  <c r="AX116" i="12"/>
  <c r="BI115" i="12"/>
  <c r="BG115" i="12"/>
  <c r="BF115" i="12"/>
  <c r="BE115" i="12"/>
  <c r="BD115" i="12"/>
  <c r="BC115" i="12"/>
  <c r="BB115" i="12"/>
  <c r="BA115" i="12"/>
  <c r="AZ115" i="12"/>
  <c r="AY115" i="12"/>
  <c r="AX115" i="12"/>
  <c r="BI114" i="12"/>
  <c r="BG114" i="12"/>
  <c r="BF114" i="12"/>
  <c r="BE114" i="12"/>
  <c r="BD114" i="12"/>
  <c r="BC114" i="12"/>
  <c r="BB114" i="12"/>
  <c r="BA114" i="12"/>
  <c r="AZ114" i="12"/>
  <c r="AY114" i="12"/>
  <c r="AX114" i="12"/>
  <c r="BI113" i="12"/>
  <c r="BG113" i="12"/>
  <c r="BF113" i="12"/>
  <c r="BE113" i="12"/>
  <c r="BD113" i="12"/>
  <c r="BC113" i="12"/>
  <c r="BB113" i="12"/>
  <c r="BA113" i="12"/>
  <c r="AZ113" i="12"/>
  <c r="AY113" i="12"/>
  <c r="AX113" i="12"/>
  <c r="BI112" i="12"/>
  <c r="BG112" i="12"/>
  <c r="BF112" i="12"/>
  <c r="BE112" i="12"/>
  <c r="BD112" i="12"/>
  <c r="BC112" i="12"/>
  <c r="BB112" i="12"/>
  <c r="BA112" i="12"/>
  <c r="AZ112" i="12"/>
  <c r="AY112" i="12"/>
  <c r="AX112" i="12"/>
  <c r="BI111" i="12"/>
  <c r="BG111" i="12"/>
  <c r="BF111" i="12"/>
  <c r="BE111" i="12"/>
  <c r="BD111" i="12"/>
  <c r="BC111" i="12"/>
  <c r="BB111" i="12"/>
  <c r="BA111" i="12"/>
  <c r="AZ111" i="12"/>
  <c r="AY111" i="12"/>
  <c r="AX111" i="12"/>
  <c r="BI110" i="12"/>
  <c r="BG110" i="12"/>
  <c r="BF110" i="12"/>
  <c r="BE110" i="12"/>
  <c r="BD110" i="12"/>
  <c r="BC110" i="12"/>
  <c r="BB110" i="12"/>
  <c r="BA110" i="12"/>
  <c r="AZ110" i="12"/>
  <c r="AY110" i="12"/>
  <c r="AX110" i="12"/>
  <c r="BI109" i="12"/>
  <c r="BG109" i="12"/>
  <c r="BF109" i="12"/>
  <c r="BE109" i="12"/>
  <c r="BD109" i="12"/>
  <c r="BC109" i="12"/>
  <c r="BB109" i="12"/>
  <c r="BA109" i="12"/>
  <c r="AZ109" i="12"/>
  <c r="AY109" i="12"/>
  <c r="AX109" i="12"/>
  <c r="BI108" i="12"/>
  <c r="BG108" i="12"/>
  <c r="BF108" i="12"/>
  <c r="BE108" i="12"/>
  <c r="BD108" i="12"/>
  <c r="BC108" i="12"/>
  <c r="BB108" i="12"/>
  <c r="BA108" i="12"/>
  <c r="AZ108" i="12"/>
  <c r="AY108" i="12"/>
  <c r="AX108" i="12"/>
  <c r="BI107" i="12"/>
  <c r="BG107" i="12"/>
  <c r="BF107" i="12"/>
  <c r="BE107" i="12"/>
  <c r="BD107" i="12"/>
  <c r="BC107" i="12"/>
  <c r="BB107" i="12"/>
  <c r="BA107" i="12"/>
  <c r="AZ107" i="12"/>
  <c r="AY107" i="12"/>
  <c r="AX107" i="12"/>
  <c r="BI106" i="12"/>
  <c r="BG106" i="12"/>
  <c r="BF106" i="12"/>
  <c r="BE106" i="12"/>
  <c r="BD106" i="12"/>
  <c r="BC106" i="12"/>
  <c r="BB106" i="12"/>
  <c r="BA106" i="12"/>
  <c r="AZ106" i="12"/>
  <c r="AY106" i="12"/>
  <c r="AX106" i="12"/>
  <c r="BI105" i="12"/>
  <c r="BG105" i="12"/>
  <c r="BF105" i="12"/>
  <c r="BE105" i="12"/>
  <c r="BD105" i="12"/>
  <c r="BC105" i="12"/>
  <c r="BB105" i="12"/>
  <c r="BA105" i="12"/>
  <c r="AZ105" i="12"/>
  <c r="AY105" i="12"/>
  <c r="AX105" i="12"/>
  <c r="BI104" i="12"/>
  <c r="BG104" i="12"/>
  <c r="BF104" i="12"/>
  <c r="BE104" i="12"/>
  <c r="BD104" i="12"/>
  <c r="BC104" i="12"/>
  <c r="BB104" i="12"/>
  <c r="BA104" i="12"/>
  <c r="AZ104" i="12"/>
  <c r="AY104" i="12"/>
  <c r="AX104" i="12"/>
  <c r="BI103" i="12"/>
  <c r="BG103" i="12"/>
  <c r="BF103" i="12"/>
  <c r="BE103" i="12"/>
  <c r="BD103" i="12"/>
  <c r="BC103" i="12"/>
  <c r="BB103" i="12"/>
  <c r="BA103" i="12"/>
  <c r="AZ103" i="12"/>
  <c r="AY103" i="12"/>
  <c r="AX103" i="12"/>
  <c r="BI102" i="12"/>
  <c r="BG102" i="12"/>
  <c r="BF102" i="12"/>
  <c r="BE102" i="12"/>
  <c r="BD102" i="12"/>
  <c r="BC102" i="12"/>
  <c r="BB102" i="12"/>
  <c r="BA102" i="12"/>
  <c r="AZ102" i="12"/>
  <c r="AY102" i="12"/>
  <c r="AX102" i="12"/>
  <c r="BI101" i="12"/>
  <c r="BG101" i="12"/>
  <c r="BF101" i="12"/>
  <c r="BE101" i="12"/>
  <c r="BD101" i="12"/>
  <c r="BC101" i="12"/>
  <c r="BB101" i="12"/>
  <c r="BA101" i="12"/>
  <c r="AZ101" i="12"/>
  <c r="AY101" i="12"/>
  <c r="AX101" i="12"/>
  <c r="BI100" i="12"/>
  <c r="BG100" i="12"/>
  <c r="BF100" i="12"/>
  <c r="BE100" i="12"/>
  <c r="BD100" i="12"/>
  <c r="BC100" i="12"/>
  <c r="BB100" i="12"/>
  <c r="BA100" i="12"/>
  <c r="AZ100" i="12"/>
  <c r="AY100" i="12"/>
  <c r="AX100" i="12"/>
  <c r="BI99" i="12"/>
  <c r="BG99" i="12"/>
  <c r="BF99" i="12"/>
  <c r="BE99" i="12"/>
  <c r="BD99" i="12"/>
  <c r="BC99" i="12"/>
  <c r="BB99" i="12"/>
  <c r="BA99" i="12"/>
  <c r="AZ99" i="12"/>
  <c r="AY99" i="12"/>
  <c r="AX99" i="12"/>
  <c r="BI98" i="12"/>
  <c r="BG98" i="12"/>
  <c r="BF98" i="12"/>
  <c r="BE98" i="12"/>
  <c r="BD98" i="12"/>
  <c r="BC98" i="12"/>
  <c r="BB98" i="12"/>
  <c r="BA98" i="12"/>
  <c r="AZ98" i="12"/>
  <c r="AY98" i="12"/>
  <c r="AX98" i="12"/>
  <c r="BI97" i="12"/>
  <c r="BG97" i="12"/>
  <c r="BF97" i="12"/>
  <c r="BE97" i="12"/>
  <c r="BD97" i="12"/>
  <c r="BC97" i="12"/>
  <c r="BB97" i="12"/>
  <c r="BA97" i="12"/>
  <c r="AZ97" i="12"/>
  <c r="AY97" i="12"/>
  <c r="AX97" i="12"/>
  <c r="BI96" i="12"/>
  <c r="BG96" i="12"/>
  <c r="BF96" i="12"/>
  <c r="BE96" i="12"/>
  <c r="BD96" i="12"/>
  <c r="BC96" i="12"/>
  <c r="BB96" i="12"/>
  <c r="BA96" i="12"/>
  <c r="AZ96" i="12"/>
  <c r="AY96" i="12"/>
  <c r="AX96" i="12"/>
  <c r="BI95" i="12"/>
  <c r="BG95" i="12"/>
  <c r="BF95" i="12"/>
  <c r="BE95" i="12"/>
  <c r="BD95" i="12"/>
  <c r="BC95" i="12"/>
  <c r="BB95" i="12"/>
  <c r="BA95" i="12"/>
  <c r="AZ95" i="12"/>
  <c r="AY95" i="12"/>
  <c r="AX95" i="12"/>
  <c r="BI94" i="12"/>
  <c r="BG94" i="12"/>
  <c r="BF94" i="12"/>
  <c r="BE94" i="12"/>
  <c r="BD94" i="12"/>
  <c r="BC94" i="12"/>
  <c r="BB94" i="12"/>
  <c r="BA94" i="12"/>
  <c r="AZ94" i="12"/>
  <c r="AY94" i="12"/>
  <c r="AX94" i="12"/>
  <c r="BI93" i="12"/>
  <c r="BG93" i="12"/>
  <c r="BF93" i="12"/>
  <c r="BE93" i="12"/>
  <c r="BD93" i="12"/>
  <c r="BC93" i="12"/>
  <c r="BB93" i="12"/>
  <c r="BA93" i="12"/>
  <c r="AZ93" i="12"/>
  <c r="AY93" i="12"/>
  <c r="AX93" i="12"/>
  <c r="BI92" i="12"/>
  <c r="BG92" i="12"/>
  <c r="BF92" i="12"/>
  <c r="BE92" i="12"/>
  <c r="BD92" i="12"/>
  <c r="BC92" i="12"/>
  <c r="BB92" i="12"/>
  <c r="BA92" i="12"/>
  <c r="AZ92" i="12"/>
  <c r="AY92" i="12"/>
  <c r="AX92" i="12"/>
  <c r="BI91" i="12"/>
  <c r="BG91" i="12"/>
  <c r="BF91" i="12"/>
  <c r="BE91" i="12"/>
  <c r="BD91" i="12"/>
  <c r="BC91" i="12"/>
  <c r="BB91" i="12"/>
  <c r="BA91" i="12"/>
  <c r="AZ91" i="12"/>
  <c r="AY91" i="12"/>
  <c r="AX91" i="12"/>
  <c r="BI90" i="12"/>
  <c r="BG90" i="12"/>
  <c r="BF90" i="12"/>
  <c r="BE90" i="12"/>
  <c r="BD90" i="12"/>
  <c r="BC90" i="12"/>
  <c r="BB90" i="12"/>
  <c r="BA90" i="12"/>
  <c r="AZ90" i="12"/>
  <c r="AY90" i="12"/>
  <c r="AX90" i="12"/>
  <c r="BI89" i="12"/>
  <c r="BG89" i="12"/>
  <c r="BF89" i="12"/>
  <c r="BE89" i="12"/>
  <c r="BD89" i="12"/>
  <c r="BC89" i="12"/>
  <c r="BB89" i="12"/>
  <c r="BA89" i="12"/>
  <c r="AZ89" i="12"/>
  <c r="AY89" i="12"/>
  <c r="AX89" i="12"/>
  <c r="BI88" i="12"/>
  <c r="BG88" i="12"/>
  <c r="BF88" i="12"/>
  <c r="BE88" i="12"/>
  <c r="BD88" i="12"/>
  <c r="BC88" i="12"/>
  <c r="BB88" i="12"/>
  <c r="BA88" i="12"/>
  <c r="AZ88" i="12"/>
  <c r="AY88" i="12"/>
  <c r="AX88" i="12"/>
  <c r="BI87" i="12"/>
  <c r="BG87" i="12"/>
  <c r="BF87" i="12"/>
  <c r="BE87" i="12"/>
  <c r="BD87" i="12"/>
  <c r="BC87" i="12"/>
  <c r="BB87" i="12"/>
  <c r="BA87" i="12"/>
  <c r="AZ87" i="12"/>
  <c r="AY87" i="12"/>
  <c r="AX87" i="12"/>
  <c r="BI86" i="12"/>
  <c r="BG86" i="12"/>
  <c r="BF86" i="12"/>
  <c r="BE86" i="12"/>
  <c r="BD86" i="12"/>
  <c r="BC86" i="12"/>
  <c r="BB86" i="12"/>
  <c r="BA86" i="12"/>
  <c r="AZ86" i="12"/>
  <c r="AY86" i="12"/>
  <c r="AX86" i="12"/>
  <c r="BI85" i="12"/>
  <c r="BG85" i="12"/>
  <c r="BF85" i="12"/>
  <c r="BE85" i="12"/>
  <c r="BD85" i="12"/>
  <c r="BC85" i="12"/>
  <c r="BB85" i="12"/>
  <c r="BA85" i="12"/>
  <c r="AZ85" i="12"/>
  <c r="AY85" i="12"/>
  <c r="AX85" i="12"/>
  <c r="BI84" i="12"/>
  <c r="BG84" i="12"/>
  <c r="BF84" i="12"/>
  <c r="BE84" i="12"/>
  <c r="BD84" i="12"/>
  <c r="BC84" i="12"/>
  <c r="BB84" i="12"/>
  <c r="BA84" i="12"/>
  <c r="AZ84" i="12"/>
  <c r="AY84" i="12"/>
  <c r="AX84" i="12"/>
  <c r="BI83" i="12"/>
  <c r="BG83" i="12"/>
  <c r="BF83" i="12"/>
  <c r="BE83" i="12"/>
  <c r="BD83" i="12"/>
  <c r="BC83" i="12"/>
  <c r="BB83" i="12"/>
  <c r="BA83" i="12"/>
  <c r="AZ83" i="12"/>
  <c r="AY83" i="12"/>
  <c r="AX83" i="12"/>
  <c r="BI82" i="12"/>
  <c r="BG82" i="12"/>
  <c r="BF82" i="12"/>
  <c r="BE82" i="12"/>
  <c r="BD82" i="12"/>
  <c r="BC82" i="12"/>
  <c r="BB82" i="12"/>
  <c r="BA82" i="12"/>
  <c r="AZ82" i="12"/>
  <c r="AY82" i="12"/>
  <c r="AX82" i="12"/>
  <c r="BI81" i="12"/>
  <c r="BG81" i="12"/>
  <c r="BF81" i="12"/>
  <c r="BE81" i="12"/>
  <c r="BD81" i="12"/>
  <c r="BC81" i="12"/>
  <c r="BB81" i="12"/>
  <c r="BA81" i="12"/>
  <c r="AZ81" i="12"/>
  <c r="AY81" i="12"/>
  <c r="AX81" i="12"/>
  <c r="BI80" i="12"/>
  <c r="BG80" i="12"/>
  <c r="BF80" i="12"/>
  <c r="BE80" i="12"/>
  <c r="BD80" i="12"/>
  <c r="BC80" i="12"/>
  <c r="BB80" i="12"/>
  <c r="BA80" i="12"/>
  <c r="AZ80" i="12"/>
  <c r="AY80" i="12"/>
  <c r="AX80" i="12"/>
  <c r="BI79" i="12"/>
  <c r="BG79" i="12"/>
  <c r="BF79" i="12"/>
  <c r="BE79" i="12"/>
  <c r="BD79" i="12"/>
  <c r="BC79" i="12"/>
  <c r="BB79" i="12"/>
  <c r="BA79" i="12"/>
  <c r="AZ79" i="12"/>
  <c r="AY79" i="12"/>
  <c r="AX79" i="12"/>
  <c r="BI78" i="12"/>
  <c r="BG78" i="12"/>
  <c r="BF78" i="12"/>
  <c r="BE78" i="12"/>
  <c r="BD78" i="12"/>
  <c r="BC78" i="12"/>
  <c r="BB78" i="12"/>
  <c r="BA78" i="12"/>
  <c r="AZ78" i="12"/>
  <c r="AY78" i="12"/>
  <c r="AX78" i="12"/>
  <c r="BI77" i="12"/>
  <c r="BG77" i="12"/>
  <c r="BF77" i="12"/>
  <c r="BE77" i="12"/>
  <c r="BD77" i="12"/>
  <c r="BC77" i="12"/>
  <c r="BB77" i="12"/>
  <c r="BA77" i="12"/>
  <c r="AZ77" i="12"/>
  <c r="AY77" i="12"/>
  <c r="AX77" i="12"/>
  <c r="BI76" i="12"/>
  <c r="BG76" i="12"/>
  <c r="BF76" i="12"/>
  <c r="BE76" i="12"/>
  <c r="BD76" i="12"/>
  <c r="BC76" i="12"/>
  <c r="BB76" i="12"/>
  <c r="BA76" i="12"/>
  <c r="AZ76" i="12"/>
  <c r="AY76" i="12"/>
  <c r="AX76" i="12"/>
  <c r="BI75" i="12"/>
  <c r="BG75" i="12"/>
  <c r="BF75" i="12"/>
  <c r="BE75" i="12"/>
  <c r="BD75" i="12"/>
  <c r="BC75" i="12"/>
  <c r="BB75" i="12"/>
  <c r="BA75" i="12"/>
  <c r="AZ75" i="12"/>
  <c r="AY75" i="12"/>
  <c r="AX75" i="12"/>
  <c r="BI74" i="12"/>
  <c r="BG74" i="12"/>
  <c r="BF74" i="12"/>
  <c r="BE74" i="12"/>
  <c r="BD74" i="12"/>
  <c r="BC74" i="12"/>
  <c r="BB74" i="12"/>
  <c r="BA74" i="12"/>
  <c r="AZ74" i="12"/>
  <c r="AY74" i="12"/>
  <c r="AX74" i="12"/>
  <c r="BI73" i="12"/>
  <c r="BG73" i="12"/>
  <c r="BF73" i="12"/>
  <c r="BE73" i="12"/>
  <c r="BD73" i="12"/>
  <c r="BC73" i="12"/>
  <c r="BB73" i="12"/>
  <c r="BA73" i="12"/>
  <c r="AZ73" i="12"/>
  <c r="AY73" i="12"/>
  <c r="AX73" i="12"/>
  <c r="BI72" i="12"/>
  <c r="BG72" i="12"/>
  <c r="BF72" i="12"/>
  <c r="BE72" i="12"/>
  <c r="BD72" i="12"/>
  <c r="BC72" i="12"/>
  <c r="BB72" i="12"/>
  <c r="BA72" i="12"/>
  <c r="AZ72" i="12"/>
  <c r="AY72" i="12"/>
  <c r="AX72" i="12"/>
  <c r="BI71" i="12"/>
  <c r="BG71" i="12"/>
  <c r="BF71" i="12"/>
  <c r="BE71" i="12"/>
  <c r="BD71" i="12"/>
  <c r="BC71" i="12"/>
  <c r="BB71" i="12"/>
  <c r="BA71" i="12"/>
  <c r="AZ71" i="12"/>
  <c r="AY71" i="12"/>
  <c r="AX71" i="12"/>
  <c r="BI70" i="12"/>
  <c r="BG70" i="12"/>
  <c r="BF70" i="12"/>
  <c r="BE70" i="12"/>
  <c r="BD70" i="12"/>
  <c r="BC70" i="12"/>
  <c r="BB70" i="12"/>
  <c r="BA70" i="12"/>
  <c r="AZ70" i="12"/>
  <c r="AY70" i="12"/>
  <c r="AX70" i="12"/>
  <c r="BI69" i="12"/>
  <c r="BG69" i="12"/>
  <c r="BF69" i="12"/>
  <c r="BE69" i="12"/>
  <c r="BD69" i="12"/>
  <c r="BC69" i="12"/>
  <c r="BB69" i="12"/>
  <c r="BA69" i="12"/>
  <c r="AZ69" i="12"/>
  <c r="AY69" i="12"/>
  <c r="AX69" i="12"/>
  <c r="BI68" i="12"/>
  <c r="BG68" i="12"/>
  <c r="BF68" i="12"/>
  <c r="BE68" i="12"/>
  <c r="BD68" i="12"/>
  <c r="BC68" i="12"/>
  <c r="BB68" i="12"/>
  <c r="BA68" i="12"/>
  <c r="AZ68" i="12"/>
  <c r="AY68" i="12"/>
  <c r="AX68" i="12"/>
  <c r="BI67" i="12"/>
  <c r="BG67" i="12"/>
  <c r="BF67" i="12"/>
  <c r="BE67" i="12"/>
  <c r="BD67" i="12"/>
  <c r="BC67" i="12"/>
  <c r="BB67" i="12"/>
  <c r="BA67" i="12"/>
  <c r="AZ67" i="12"/>
  <c r="AY67" i="12"/>
  <c r="AX67" i="12"/>
  <c r="BI66" i="12"/>
  <c r="BG66" i="12"/>
  <c r="BF66" i="12"/>
  <c r="BE66" i="12"/>
  <c r="BD66" i="12"/>
  <c r="BC66" i="12"/>
  <c r="BB66" i="12"/>
  <c r="BA66" i="12"/>
  <c r="AZ66" i="12"/>
  <c r="AY66" i="12"/>
  <c r="AX66" i="12"/>
  <c r="BI65" i="12"/>
  <c r="BG65" i="12"/>
  <c r="BF65" i="12"/>
  <c r="BE65" i="12"/>
  <c r="BD65" i="12"/>
  <c r="BC65" i="12"/>
  <c r="BB65" i="12"/>
  <c r="BA65" i="12"/>
  <c r="AZ65" i="12"/>
  <c r="AY65" i="12"/>
  <c r="AX65" i="12"/>
  <c r="BI64" i="12"/>
  <c r="BG64" i="12"/>
  <c r="BF64" i="12"/>
  <c r="BE64" i="12"/>
  <c r="BD64" i="12"/>
  <c r="BC64" i="12"/>
  <c r="BB64" i="12"/>
  <c r="BA64" i="12"/>
  <c r="AZ64" i="12"/>
  <c r="AY64" i="12"/>
  <c r="AX64" i="12"/>
  <c r="BI63" i="12"/>
  <c r="BG63" i="12"/>
  <c r="BF63" i="12"/>
  <c r="BE63" i="12"/>
  <c r="BD63" i="12"/>
  <c r="BC63" i="12"/>
  <c r="BB63" i="12"/>
  <c r="BA63" i="12"/>
  <c r="AZ63" i="12"/>
  <c r="AY63" i="12"/>
  <c r="AX63" i="12"/>
  <c r="BI62" i="12"/>
  <c r="BG62" i="12"/>
  <c r="BF62" i="12"/>
  <c r="BE62" i="12"/>
  <c r="BD62" i="12"/>
  <c r="BC62" i="12"/>
  <c r="BB62" i="12"/>
  <c r="BA62" i="12"/>
  <c r="AZ62" i="12"/>
  <c r="AY62" i="12"/>
  <c r="AX62" i="12"/>
  <c r="BI61" i="12"/>
  <c r="BG61" i="12"/>
  <c r="BF61" i="12"/>
  <c r="BE61" i="12"/>
  <c r="BD61" i="12"/>
  <c r="BC61" i="12"/>
  <c r="BB61" i="12"/>
  <c r="BA61" i="12"/>
  <c r="AZ61" i="12"/>
  <c r="AY61" i="12"/>
  <c r="AX61" i="12"/>
  <c r="BI60" i="12"/>
  <c r="BG60" i="12"/>
  <c r="BF60" i="12"/>
  <c r="BE60" i="12"/>
  <c r="BD60" i="12"/>
  <c r="BC60" i="12"/>
  <c r="BB60" i="12"/>
  <c r="BA60" i="12"/>
  <c r="AZ60" i="12"/>
  <c r="AY60" i="12"/>
  <c r="AX60" i="12"/>
  <c r="BI59" i="12"/>
  <c r="BG59" i="12"/>
  <c r="BF59" i="12"/>
  <c r="BE59" i="12"/>
  <c r="BD59" i="12"/>
  <c r="BC59" i="12"/>
  <c r="BB59" i="12"/>
  <c r="BA59" i="12"/>
  <c r="AZ59" i="12"/>
  <c r="AY59" i="12"/>
  <c r="AX59" i="12"/>
  <c r="BI58" i="12"/>
  <c r="BG58" i="12"/>
  <c r="BF58" i="12"/>
  <c r="BE58" i="12"/>
  <c r="BD58" i="12"/>
  <c r="BC58" i="12"/>
  <c r="BB58" i="12"/>
  <c r="BA58" i="12"/>
  <c r="AZ58" i="12"/>
  <c r="AY58" i="12"/>
  <c r="AX58" i="12"/>
  <c r="BI57" i="12"/>
  <c r="BG57" i="12"/>
  <c r="BF57" i="12"/>
  <c r="BE57" i="12"/>
  <c r="BD57" i="12"/>
  <c r="BC57" i="12"/>
  <c r="BB57" i="12"/>
  <c r="BA57" i="12"/>
  <c r="AZ57" i="12"/>
  <c r="AY57" i="12"/>
  <c r="AX57" i="12"/>
  <c r="BI56" i="12"/>
  <c r="BG56" i="12"/>
  <c r="BF56" i="12"/>
  <c r="BE56" i="12"/>
  <c r="BD56" i="12"/>
  <c r="BC56" i="12"/>
  <c r="BB56" i="12"/>
  <c r="BA56" i="12"/>
  <c r="AZ56" i="12"/>
  <c r="AY56" i="12"/>
  <c r="AX56" i="12"/>
  <c r="BI55" i="12"/>
  <c r="BG55" i="12"/>
  <c r="BF55" i="12"/>
  <c r="BE55" i="12"/>
  <c r="BD55" i="12"/>
  <c r="BC55" i="12"/>
  <c r="BB55" i="12"/>
  <c r="BA55" i="12"/>
  <c r="AZ55" i="12"/>
  <c r="AY55" i="12"/>
  <c r="AX55" i="12"/>
  <c r="BI54" i="12"/>
  <c r="BG54" i="12"/>
  <c r="BF54" i="12"/>
  <c r="BE54" i="12"/>
  <c r="BD54" i="12"/>
  <c r="BC54" i="12"/>
  <c r="BB54" i="12"/>
  <c r="BA54" i="12"/>
  <c r="AZ54" i="12"/>
  <c r="AY54" i="12"/>
  <c r="AX54" i="12"/>
  <c r="BI53" i="12"/>
  <c r="BG53" i="12"/>
  <c r="BF53" i="12"/>
  <c r="BE53" i="12"/>
  <c r="BD53" i="12"/>
  <c r="BC53" i="12"/>
  <c r="BB53" i="12"/>
  <c r="BA53" i="12"/>
  <c r="AZ53" i="12"/>
  <c r="AY53" i="12"/>
  <c r="AX53" i="12"/>
  <c r="BI52" i="12"/>
  <c r="BG52" i="12"/>
  <c r="BF52" i="12"/>
  <c r="BE52" i="12"/>
  <c r="BD52" i="12"/>
  <c r="BC52" i="12"/>
  <c r="BB52" i="12"/>
  <c r="BA52" i="12"/>
  <c r="AZ52" i="12"/>
  <c r="AY52" i="12"/>
  <c r="AX52" i="12"/>
  <c r="BI51" i="12"/>
  <c r="BG51" i="12"/>
  <c r="BF51" i="12"/>
  <c r="BE51" i="12"/>
  <c r="BD51" i="12"/>
  <c r="BC51" i="12"/>
  <c r="BB51" i="12"/>
  <c r="BA51" i="12"/>
  <c r="AZ51" i="12"/>
  <c r="AY51" i="12"/>
  <c r="AX51" i="12"/>
  <c r="BI50" i="12"/>
  <c r="BG50" i="12"/>
  <c r="BF50" i="12"/>
  <c r="BE50" i="12"/>
  <c r="BD50" i="12"/>
  <c r="BC50" i="12"/>
  <c r="BB50" i="12"/>
  <c r="BA50" i="12"/>
  <c r="AZ50" i="12"/>
  <c r="AY50" i="12"/>
  <c r="AX50" i="12"/>
  <c r="BI49" i="12"/>
  <c r="BG49" i="12"/>
  <c r="BF49" i="12"/>
  <c r="BE49" i="12"/>
  <c r="BD49" i="12"/>
  <c r="BC49" i="12"/>
  <c r="BB49" i="12"/>
  <c r="BA49" i="12"/>
  <c r="AZ49" i="12"/>
  <c r="AY49" i="12"/>
  <c r="AX49" i="12"/>
  <c r="BI48" i="12"/>
  <c r="BG48" i="12"/>
  <c r="BF48" i="12"/>
  <c r="BE48" i="12"/>
  <c r="BD48" i="12"/>
  <c r="BC48" i="12"/>
  <c r="BB48" i="12"/>
  <c r="BA48" i="12"/>
  <c r="AZ48" i="12"/>
  <c r="AY48" i="12"/>
  <c r="AX48" i="12"/>
  <c r="BI47" i="12"/>
  <c r="BG47" i="12"/>
  <c r="BF47" i="12"/>
  <c r="BE47" i="12"/>
  <c r="BD47" i="12"/>
  <c r="BC47" i="12"/>
  <c r="BB47" i="12"/>
  <c r="BA47" i="12"/>
  <c r="AZ47" i="12"/>
  <c r="AY47" i="12"/>
  <c r="AX47" i="12"/>
  <c r="BI46" i="12"/>
  <c r="BG46" i="12"/>
  <c r="BF46" i="12"/>
  <c r="BE46" i="12"/>
  <c r="BD46" i="12"/>
  <c r="BC46" i="12"/>
  <c r="BB46" i="12"/>
  <c r="BA46" i="12"/>
  <c r="AZ46" i="12"/>
  <c r="AY46" i="12"/>
  <c r="AX46" i="12"/>
  <c r="BI45" i="12"/>
  <c r="BG45" i="12"/>
  <c r="BF45" i="12"/>
  <c r="BE45" i="12"/>
  <c r="BD45" i="12"/>
  <c r="BC45" i="12"/>
  <c r="BB45" i="12"/>
  <c r="BA45" i="12"/>
  <c r="AZ45" i="12"/>
  <c r="AY45" i="12"/>
  <c r="AX45" i="12"/>
  <c r="BI44" i="12"/>
  <c r="BG44" i="12"/>
  <c r="BF44" i="12"/>
  <c r="BE44" i="12"/>
  <c r="BD44" i="12"/>
  <c r="BC44" i="12"/>
  <c r="BB44" i="12"/>
  <c r="BA44" i="12"/>
  <c r="AZ44" i="12"/>
  <c r="AY44" i="12"/>
  <c r="AX44" i="12"/>
  <c r="BI43" i="12"/>
  <c r="BG43" i="12"/>
  <c r="BF43" i="12"/>
  <c r="BE43" i="12"/>
  <c r="BD43" i="12"/>
  <c r="BC43" i="12"/>
  <c r="BB43" i="12"/>
  <c r="BA43" i="12"/>
  <c r="AZ43" i="12"/>
  <c r="AY43" i="12"/>
  <c r="AX43" i="12"/>
  <c r="BI42" i="12"/>
  <c r="BG42" i="12"/>
  <c r="BF42" i="12"/>
  <c r="BE42" i="12"/>
  <c r="BD42" i="12"/>
  <c r="BC42" i="12"/>
  <c r="BB42" i="12"/>
  <c r="BA42" i="12"/>
  <c r="AZ42" i="12"/>
  <c r="AY42" i="12"/>
  <c r="AX42" i="12"/>
  <c r="BI41" i="12"/>
  <c r="BG41" i="12"/>
  <c r="BF41" i="12"/>
  <c r="BE41" i="12"/>
  <c r="BD41" i="12"/>
  <c r="BC41" i="12"/>
  <c r="BB41" i="12"/>
  <c r="BA41" i="12"/>
  <c r="AZ41" i="12"/>
  <c r="AY41" i="12"/>
  <c r="AX41" i="12"/>
  <c r="BI40" i="12"/>
  <c r="BG40" i="12"/>
  <c r="BF40" i="12"/>
  <c r="BE40" i="12"/>
  <c r="BD40" i="12"/>
  <c r="BC40" i="12"/>
  <c r="BB40" i="12"/>
  <c r="BA40" i="12"/>
  <c r="AZ40" i="12"/>
  <c r="AY40" i="12"/>
  <c r="AX40" i="12"/>
  <c r="BI39" i="12"/>
  <c r="BG39" i="12"/>
  <c r="BF39" i="12"/>
  <c r="BE39" i="12"/>
  <c r="BD39" i="12"/>
  <c r="BC39" i="12"/>
  <c r="BB39" i="12"/>
  <c r="BA39" i="12"/>
  <c r="AZ39" i="12"/>
  <c r="AY39" i="12"/>
  <c r="AX39" i="12"/>
  <c r="BI38" i="12"/>
  <c r="BG38" i="12"/>
  <c r="BF38" i="12"/>
  <c r="BE38" i="12"/>
  <c r="BD38" i="12"/>
  <c r="BC38" i="12"/>
  <c r="BB38" i="12"/>
  <c r="BA38" i="12"/>
  <c r="AZ38" i="12"/>
  <c r="AY38" i="12"/>
  <c r="AX38" i="12"/>
  <c r="BI37" i="12"/>
  <c r="BG37" i="12"/>
  <c r="BF37" i="12"/>
  <c r="BE37" i="12"/>
  <c r="BD37" i="12"/>
  <c r="BC37" i="12"/>
  <c r="BB37" i="12"/>
  <c r="BA37" i="12"/>
  <c r="AZ37" i="12"/>
  <c r="AY37" i="12"/>
  <c r="AX37" i="12"/>
  <c r="BI36" i="12"/>
  <c r="BG36" i="12"/>
  <c r="BF36" i="12"/>
  <c r="BE36" i="12"/>
  <c r="BD36" i="12"/>
  <c r="BC36" i="12"/>
  <c r="BB36" i="12"/>
  <c r="BA36" i="12"/>
  <c r="AZ36" i="12"/>
  <c r="AY36" i="12"/>
  <c r="AX36" i="12"/>
  <c r="BI35" i="12"/>
  <c r="BG35" i="12"/>
  <c r="BF35" i="12"/>
  <c r="BE35" i="12"/>
  <c r="BD35" i="12"/>
  <c r="BC35" i="12"/>
  <c r="BB35" i="12"/>
  <c r="BA35" i="12"/>
  <c r="AZ35" i="12"/>
  <c r="AY35" i="12"/>
  <c r="AX35" i="12"/>
  <c r="BI34" i="12"/>
  <c r="BG34" i="12"/>
  <c r="BF34" i="12"/>
  <c r="BE34" i="12"/>
  <c r="BD34" i="12"/>
  <c r="BC34" i="12"/>
  <c r="BB34" i="12"/>
  <c r="BA34" i="12"/>
  <c r="AZ34" i="12"/>
  <c r="AY34" i="12"/>
  <c r="AX34" i="12"/>
  <c r="BI33" i="12"/>
  <c r="BG33" i="12"/>
  <c r="BF33" i="12"/>
  <c r="BE33" i="12"/>
  <c r="BD33" i="12"/>
  <c r="BC33" i="12"/>
  <c r="BB33" i="12"/>
  <c r="BA33" i="12"/>
  <c r="AZ33" i="12"/>
  <c r="AY33" i="12"/>
  <c r="AX33" i="12"/>
  <c r="BI32" i="12"/>
  <c r="BG32" i="12"/>
  <c r="BF32" i="12"/>
  <c r="BE32" i="12"/>
  <c r="BD32" i="12"/>
  <c r="BC32" i="12"/>
  <c r="BB32" i="12"/>
  <c r="BA32" i="12"/>
  <c r="AZ32" i="12"/>
  <c r="AY32" i="12"/>
  <c r="AX32" i="12"/>
  <c r="BI31" i="12"/>
  <c r="BG31" i="12"/>
  <c r="BF31" i="12"/>
  <c r="BE31" i="12"/>
  <c r="BD31" i="12"/>
  <c r="BC31" i="12"/>
  <c r="BB31" i="12"/>
  <c r="BA31" i="12"/>
  <c r="AZ31" i="12"/>
  <c r="AY31" i="12"/>
  <c r="AX31" i="12"/>
  <c r="BI30" i="12"/>
  <c r="BG30" i="12"/>
  <c r="BF30" i="12"/>
  <c r="BE30" i="12"/>
  <c r="BD30" i="12"/>
  <c r="BC30" i="12"/>
  <c r="BB30" i="12"/>
  <c r="BA30" i="12"/>
  <c r="AZ30" i="12"/>
  <c r="AY30" i="12"/>
  <c r="AX30" i="12"/>
  <c r="BI29" i="12"/>
  <c r="BG29" i="12"/>
  <c r="BF29" i="12"/>
  <c r="BE29" i="12"/>
  <c r="BD29" i="12"/>
  <c r="BC29" i="12"/>
  <c r="BB29" i="12"/>
  <c r="BA29" i="12"/>
  <c r="AZ29" i="12"/>
  <c r="AY29" i="12"/>
  <c r="AX29" i="12"/>
  <c r="BI28" i="12"/>
  <c r="BG28" i="12"/>
  <c r="BF28" i="12"/>
  <c r="BE28" i="12"/>
  <c r="BD28" i="12"/>
  <c r="BC28" i="12"/>
  <c r="BB28" i="12"/>
  <c r="BA28" i="12"/>
  <c r="AZ28" i="12"/>
  <c r="AY28" i="12"/>
  <c r="AX28" i="12"/>
  <c r="BI27" i="12"/>
  <c r="BG27" i="12"/>
  <c r="BF27" i="12"/>
  <c r="BE27" i="12"/>
  <c r="BD27" i="12"/>
  <c r="BC27" i="12"/>
  <c r="BB27" i="12"/>
  <c r="BA27" i="12"/>
  <c r="AZ27" i="12"/>
  <c r="AY27" i="12"/>
  <c r="AX27" i="12"/>
  <c r="BI26" i="12"/>
  <c r="BG26" i="12"/>
  <c r="BF26" i="12"/>
  <c r="BE26" i="12"/>
  <c r="BD26" i="12"/>
  <c r="BC26" i="12"/>
  <c r="BB26" i="12"/>
  <c r="BA26" i="12"/>
  <c r="AZ26" i="12"/>
  <c r="AY26" i="12"/>
  <c r="AX26" i="12"/>
  <c r="BI25" i="12"/>
  <c r="BG25" i="12"/>
  <c r="BF25" i="12"/>
  <c r="BE25" i="12"/>
  <c r="BD25" i="12"/>
  <c r="BC25" i="12"/>
  <c r="BB25" i="12"/>
  <c r="BA25" i="12"/>
  <c r="AZ25" i="12"/>
  <c r="AY25" i="12"/>
  <c r="AX25" i="12"/>
  <c r="BI24" i="12"/>
  <c r="BG24" i="12"/>
  <c r="BF24" i="12"/>
  <c r="BE24" i="12"/>
  <c r="BD24" i="12"/>
  <c r="BC24" i="12"/>
  <c r="BB24" i="12"/>
  <c r="BA24" i="12"/>
  <c r="AZ24" i="12"/>
  <c r="AY24" i="12"/>
  <c r="AX24" i="12"/>
  <c r="BI23" i="12"/>
  <c r="BG23" i="12"/>
  <c r="BF23" i="12"/>
  <c r="BE23" i="12"/>
  <c r="BD23" i="12"/>
  <c r="BC23" i="12"/>
  <c r="BB23" i="12"/>
  <c r="BA23" i="12"/>
  <c r="AZ23" i="12"/>
  <c r="AY23" i="12"/>
  <c r="AX23" i="12"/>
  <c r="BI22" i="12"/>
  <c r="BG22" i="12"/>
  <c r="BF22" i="12"/>
  <c r="BE22" i="12"/>
  <c r="BD22" i="12"/>
  <c r="BC22" i="12"/>
  <c r="BB22" i="12"/>
  <c r="BA22" i="12"/>
  <c r="AZ22" i="12"/>
  <c r="AY22" i="12"/>
  <c r="AX22" i="12"/>
  <c r="BI21" i="12"/>
  <c r="BG21" i="12"/>
  <c r="BF21" i="12"/>
  <c r="BE21" i="12"/>
  <c r="BD21" i="12"/>
  <c r="BC21" i="12"/>
  <c r="BB21" i="12"/>
  <c r="BA21" i="12"/>
  <c r="AZ21" i="12"/>
  <c r="AY21" i="12"/>
  <c r="AX21" i="12"/>
  <c r="BI20" i="12"/>
  <c r="BG20" i="12"/>
  <c r="BF20" i="12"/>
  <c r="BE20" i="12"/>
  <c r="BD20" i="12"/>
  <c r="BC20" i="12"/>
  <c r="BB20" i="12"/>
  <c r="BA20" i="12"/>
  <c r="AZ20" i="12"/>
  <c r="AY20" i="12"/>
  <c r="AX20" i="12"/>
  <c r="BI19" i="12"/>
  <c r="BG19" i="12"/>
  <c r="BF19" i="12"/>
  <c r="BE19" i="12"/>
  <c r="BD19" i="12"/>
  <c r="BC19" i="12"/>
  <c r="BB19" i="12"/>
  <c r="BA19" i="12"/>
  <c r="AZ19" i="12"/>
  <c r="AY19" i="12"/>
  <c r="AX19" i="12"/>
  <c r="BI18" i="12"/>
  <c r="BG18" i="12"/>
  <c r="BF18" i="12"/>
  <c r="BE18" i="12"/>
  <c r="BD18" i="12"/>
  <c r="BC18" i="12"/>
  <c r="BB18" i="12"/>
  <c r="BA18" i="12"/>
  <c r="AZ18" i="12"/>
  <c r="AY18" i="12"/>
  <c r="AX18" i="12"/>
  <c r="BI17" i="12"/>
  <c r="BG17" i="12"/>
  <c r="BF17" i="12"/>
  <c r="BE17" i="12"/>
  <c r="BD17" i="12"/>
  <c r="BC17" i="12"/>
  <c r="BB17" i="12"/>
  <c r="BA17" i="12"/>
  <c r="AZ17" i="12"/>
  <c r="AY17" i="12"/>
  <c r="AX17" i="12"/>
  <c r="BI16" i="12"/>
  <c r="BG16" i="12"/>
  <c r="BF16" i="12"/>
  <c r="BE16" i="12"/>
  <c r="BD16" i="12"/>
  <c r="BC16" i="12"/>
  <c r="BB16" i="12"/>
  <c r="BA16" i="12"/>
  <c r="AZ16" i="12"/>
  <c r="AY16" i="12"/>
  <c r="AX16" i="12"/>
  <c r="BI15" i="12"/>
  <c r="BG15" i="12"/>
  <c r="BF15" i="12"/>
  <c r="BE15" i="12"/>
  <c r="BD15" i="12"/>
  <c r="BC15" i="12"/>
  <c r="BB15" i="12"/>
  <c r="BA15" i="12"/>
  <c r="AZ15" i="12"/>
  <c r="AY15" i="12"/>
  <c r="AX15" i="12"/>
  <c r="BI14" i="12"/>
  <c r="BG14" i="12"/>
  <c r="BF14" i="12"/>
  <c r="BE14" i="12"/>
  <c r="BD14" i="12"/>
  <c r="BC14" i="12"/>
  <c r="BB14" i="12"/>
  <c r="BA14" i="12"/>
  <c r="AZ14" i="12"/>
  <c r="AY14" i="12"/>
  <c r="AX14" i="12"/>
  <c r="BI13" i="12"/>
  <c r="BG13" i="12"/>
  <c r="BF13" i="12"/>
  <c r="BE13" i="12"/>
  <c r="BD13" i="12"/>
  <c r="BC13" i="12"/>
  <c r="BB13" i="12"/>
  <c r="BA13" i="12"/>
  <c r="AZ13" i="12"/>
  <c r="AY13" i="12"/>
  <c r="AX13" i="12"/>
  <c r="BI12" i="12"/>
  <c r="BG12" i="12"/>
  <c r="BF12" i="12"/>
  <c r="BE12" i="12"/>
  <c r="BD12" i="12"/>
  <c r="BC12" i="12"/>
  <c r="BB12" i="12"/>
  <c r="BA12" i="12"/>
  <c r="AZ12" i="12"/>
  <c r="AY12" i="12"/>
  <c r="AX12" i="12"/>
  <c r="BI11" i="12"/>
  <c r="BG11" i="12"/>
  <c r="BF11" i="12"/>
  <c r="BE11" i="12"/>
  <c r="BD11" i="12"/>
  <c r="BC11" i="12"/>
  <c r="BB11" i="12"/>
  <c r="BA11" i="12"/>
  <c r="AZ11" i="12"/>
  <c r="AY11" i="12"/>
  <c r="AX11" i="12"/>
  <c r="BI10" i="12"/>
  <c r="BG10" i="12"/>
  <c r="BF10" i="12"/>
  <c r="BE10" i="12"/>
  <c r="BD10" i="12"/>
  <c r="BC10" i="12"/>
  <c r="BB10" i="12"/>
  <c r="BA10" i="12"/>
  <c r="AZ10" i="12"/>
  <c r="AY10" i="12"/>
  <c r="AX10" i="12"/>
  <c r="BI9" i="12"/>
  <c r="BG9" i="12"/>
  <c r="BF9" i="12"/>
  <c r="BE9" i="12"/>
  <c r="BD9" i="12"/>
  <c r="BC9" i="12"/>
  <c r="BB9" i="12"/>
  <c r="BA9" i="12"/>
  <c r="AZ9" i="12"/>
  <c r="AY9" i="12"/>
  <c r="AX9" i="12"/>
  <c r="BI8" i="12"/>
  <c r="BG8" i="12"/>
  <c r="BF8" i="12"/>
  <c r="BE8" i="12"/>
  <c r="BD8" i="12"/>
  <c r="BC8" i="12"/>
  <c r="BB8" i="12"/>
  <c r="BA8" i="12"/>
  <c r="AZ8" i="12"/>
  <c r="AY8" i="12"/>
  <c r="AX8" i="12"/>
  <c r="BI7" i="12"/>
  <c r="BG7" i="12"/>
  <c r="BF7" i="12"/>
  <c r="BE7" i="12"/>
  <c r="BD7" i="12"/>
  <c r="BC7" i="12"/>
  <c r="BB7" i="12"/>
  <c r="BA7" i="12"/>
  <c r="AZ7" i="12"/>
  <c r="AY7" i="12"/>
  <c r="AX7" i="12"/>
  <c r="BI6" i="12"/>
  <c r="BG6" i="12"/>
  <c r="BF6" i="12"/>
  <c r="BE6" i="12"/>
  <c r="BD6" i="12"/>
  <c r="BC6" i="12"/>
  <c r="BB6" i="12"/>
  <c r="BA6" i="12"/>
  <c r="AZ6" i="12"/>
  <c r="AY6" i="12"/>
  <c r="AX6" i="12"/>
  <c r="BI5" i="12"/>
  <c r="BG5" i="12"/>
  <c r="BF5" i="12"/>
  <c r="BE5" i="12"/>
  <c r="BD5" i="12"/>
  <c r="BC5" i="12"/>
  <c r="BB5" i="12"/>
  <c r="BA5" i="12"/>
  <c r="AZ5" i="12"/>
  <c r="AY5" i="12"/>
  <c r="AX5" i="12"/>
  <c r="BI4" i="12"/>
  <c r="BG4" i="12"/>
  <c r="BF4" i="12"/>
  <c r="BE4" i="12"/>
  <c r="BD4" i="12"/>
  <c r="BC4" i="12"/>
  <c r="BB4" i="12"/>
  <c r="BA4" i="12"/>
  <c r="AZ4" i="12"/>
  <c r="AY4" i="12"/>
  <c r="AX4" i="12"/>
  <c r="BI3" i="12"/>
  <c r="BG3" i="12"/>
  <c r="BF3" i="12"/>
  <c r="BE3" i="12"/>
  <c r="BD3" i="12"/>
  <c r="BC3" i="12"/>
  <c r="BB3" i="12"/>
  <c r="BA3" i="12"/>
  <c r="AZ3" i="12"/>
  <c r="AY3" i="12"/>
  <c r="AX3" i="12"/>
  <c r="BI2" i="12"/>
  <c r="BG2" i="12"/>
  <c r="BF2" i="12"/>
  <c r="BE2" i="12"/>
  <c r="BD2" i="12"/>
  <c r="BC2" i="12"/>
  <c r="BB2" i="12"/>
  <c r="BA2" i="12"/>
  <c r="AZ2" i="12"/>
  <c r="AY2" i="12"/>
  <c r="J83" i="2" l="1"/>
  <c r="J85" i="2"/>
  <c r="J82" i="2"/>
  <c r="J84" i="2"/>
  <c r="H69" i="2"/>
  <c r="H41" i="2"/>
  <c r="J41" i="2" s="1"/>
  <c r="H30" i="2"/>
  <c r="H42" i="2"/>
  <c r="H38" i="2"/>
  <c r="J101" i="2"/>
  <c r="J86" i="2"/>
  <c r="AA477" i="12"/>
  <c r="AA449" i="12"/>
  <c r="AA217" i="12"/>
  <c r="AA394" i="12"/>
  <c r="AA1379" i="12"/>
  <c r="AA1488" i="12"/>
  <c r="AA589" i="12"/>
  <c r="AA615" i="12"/>
  <c r="AA689" i="12"/>
  <c r="AA163" i="12"/>
  <c r="AA312" i="12"/>
  <c r="AA432" i="12"/>
  <c r="AA190" i="12"/>
  <c r="AA457" i="12"/>
  <c r="AA564" i="12"/>
  <c r="AA1314" i="12"/>
  <c r="AA1444" i="12"/>
  <c r="AA252" i="12"/>
  <c r="AA461" i="12"/>
  <c r="AA931" i="12"/>
  <c r="AA212" i="12"/>
  <c r="AA767" i="12"/>
  <c r="AA364" i="12"/>
  <c r="AA1043" i="12"/>
  <c r="AA551" i="12"/>
  <c r="AA1042" i="12"/>
  <c r="AA1061" i="12"/>
  <c r="AA587" i="12"/>
  <c r="AA825" i="12"/>
  <c r="AA1100" i="12"/>
  <c r="AA171" i="12"/>
  <c r="AA568" i="12"/>
  <c r="AA324" i="12"/>
  <c r="AA548" i="12"/>
  <c r="AA898" i="12"/>
  <c r="AA396" i="12"/>
  <c r="AA122" i="12"/>
  <c r="AA557" i="12"/>
  <c r="AA582" i="12"/>
  <c r="AA876" i="12"/>
  <c r="AA766" i="12"/>
  <c r="AA1192" i="12"/>
  <c r="AA878" i="12"/>
  <c r="AA1235" i="12"/>
  <c r="AA788" i="12"/>
  <c r="AA611" i="12"/>
  <c r="AA106" i="12"/>
  <c r="AA625" i="12"/>
  <c r="AA366" i="12"/>
  <c r="AA1129" i="12"/>
  <c r="AA1035" i="12"/>
  <c r="AA1092" i="12"/>
  <c r="AA752" i="12"/>
  <c r="AA131" i="12"/>
  <c r="AA913" i="12"/>
  <c r="AA616" i="12"/>
  <c r="AA791" i="12"/>
  <c r="AA1082" i="12"/>
  <c r="AA1040" i="12"/>
  <c r="AA815" i="12"/>
  <c r="AA14" i="12"/>
  <c r="AA127" i="12"/>
  <c r="AA315" i="12"/>
  <c r="AA402" i="12"/>
  <c r="AA1034" i="12"/>
  <c r="AA1155" i="12"/>
  <c r="AA1312" i="12"/>
  <c r="AA1331" i="12"/>
  <c r="AA1411" i="12"/>
  <c r="AA1317" i="12"/>
  <c r="AA1019" i="12"/>
  <c r="AA15" i="12"/>
  <c r="AA192" i="12"/>
  <c r="AA1148" i="12"/>
  <c r="AA1199" i="12"/>
  <c r="AA1152" i="12"/>
  <c r="AA710" i="12"/>
  <c r="AA928" i="12"/>
  <c r="AA268" i="12"/>
  <c r="AA1041" i="12"/>
  <c r="AA1489" i="12"/>
  <c r="AA1390" i="12"/>
  <c r="AA1428" i="12"/>
  <c r="AA1120" i="12"/>
  <c r="AA980" i="12"/>
  <c r="AA453" i="12"/>
  <c r="AA487" i="12"/>
  <c r="AA448" i="12"/>
  <c r="AA1334" i="12"/>
  <c r="AA165" i="12"/>
  <c r="AA1012" i="12"/>
  <c r="AA1395" i="12"/>
  <c r="AA1415" i="12"/>
  <c r="AA314" i="12"/>
  <c r="AA1307" i="12"/>
  <c r="AA290" i="12"/>
  <c r="AA1093" i="12"/>
  <c r="AA1180" i="12"/>
  <c r="AA1179" i="12"/>
  <c r="AA189" i="12"/>
  <c r="AA729" i="12"/>
  <c r="AA932" i="12"/>
  <c r="AA547" i="12"/>
  <c r="AA1332" i="12"/>
  <c r="AA972" i="12"/>
  <c r="AA101" i="12"/>
  <c r="AA361" i="12"/>
  <c r="AA16" i="12"/>
  <c r="AA1094" i="12"/>
  <c r="AA207" i="12"/>
  <c r="AA191" i="12"/>
  <c r="AA38" i="12"/>
  <c r="AA91" i="12"/>
  <c r="AA460" i="12"/>
  <c r="AA113" i="12"/>
  <c r="AA1028" i="12"/>
  <c r="AA1418" i="12"/>
  <c r="AA1502" i="12"/>
  <c r="AA472" i="12"/>
  <c r="AA1482" i="12"/>
  <c r="AA1267" i="12"/>
  <c r="AA181" i="12"/>
  <c r="AA1465" i="12"/>
  <c r="AA428" i="12"/>
  <c r="AA810" i="12"/>
  <c r="AA732" i="12"/>
  <c r="AA978" i="12"/>
  <c r="AA735" i="12"/>
  <c r="AA880" i="12"/>
  <c r="AA782" i="12"/>
  <c r="AA1481" i="12"/>
  <c r="AA579" i="12"/>
  <c r="AA797" i="12"/>
  <c r="AA962" i="12"/>
  <c r="AA1083" i="12"/>
  <c r="AA1495" i="12"/>
  <c r="AA960" i="12"/>
  <c r="AA1198" i="12"/>
  <c r="AA764" i="12"/>
  <c r="AA565" i="12"/>
  <c r="AA897" i="12"/>
  <c r="AA558" i="12"/>
  <c r="AA1310" i="12"/>
  <c r="AA1050" i="12"/>
  <c r="AA68" i="12"/>
  <c r="AA1044" i="12"/>
  <c r="AA824" i="12"/>
  <c r="AA4" i="12"/>
  <c r="AA30" i="12"/>
  <c r="AA1047" i="12"/>
  <c r="AA614" i="12"/>
  <c r="AA681" i="12"/>
  <c r="AA1191" i="12"/>
  <c r="AA1190" i="12"/>
  <c r="AA504" i="12"/>
  <c r="AA787" i="12"/>
  <c r="AA328" i="12"/>
  <c r="AA444" i="12"/>
  <c r="AA423" i="12"/>
  <c r="AA178" i="12"/>
  <c r="AA499" i="12"/>
  <c r="AA896" i="12"/>
  <c r="AA951" i="12"/>
  <c r="AA1089" i="12"/>
  <c r="AA1113" i="12"/>
  <c r="AA1136" i="12"/>
  <c r="AA1174" i="12"/>
  <c r="AA1202" i="12"/>
  <c r="AA700" i="12"/>
  <c r="AA1389" i="12"/>
  <c r="AA1359" i="12"/>
  <c r="AA829" i="12"/>
  <c r="AA1302" i="12"/>
  <c r="AA985" i="12"/>
  <c r="AA278" i="12"/>
  <c r="AA1285" i="12"/>
  <c r="AA1392" i="12"/>
  <c r="AA439" i="12"/>
  <c r="AA209" i="12"/>
  <c r="AA393" i="12"/>
  <c r="AA65" i="12"/>
  <c r="AA1098" i="12"/>
  <c r="AA995" i="12"/>
  <c r="AA1345" i="12"/>
  <c r="AA1247" i="12"/>
  <c r="AA24" i="12"/>
  <c r="AA1145" i="12"/>
  <c r="AA857" i="12"/>
  <c r="AA837" i="12"/>
  <c r="AA1090" i="12"/>
  <c r="AA956" i="12"/>
  <c r="AA693" i="12"/>
  <c r="AA1171" i="12"/>
  <c r="AA52" i="12"/>
  <c r="AA222" i="12"/>
  <c r="AA194" i="12"/>
  <c r="AA424" i="12"/>
  <c r="AA670" i="12"/>
  <c r="AA1391" i="12"/>
  <c r="AA1097" i="12"/>
  <c r="AA977" i="12"/>
  <c r="AA854" i="12"/>
  <c r="AA651" i="12"/>
  <c r="AA1150" i="12"/>
  <c r="AA736" i="12"/>
  <c r="AA43" i="12"/>
  <c r="AA769" i="12"/>
  <c r="AA1231" i="12"/>
  <c r="AA1114" i="12"/>
  <c r="AA610" i="12"/>
  <c r="AA605" i="12"/>
  <c r="AA663" i="12"/>
  <c r="AA860" i="12"/>
  <c r="AA656" i="12"/>
  <c r="AA649" i="12"/>
  <c r="AA19" i="12"/>
  <c r="AA1064" i="12"/>
  <c r="AA185" i="12"/>
  <c r="AA26" i="12"/>
  <c r="AA1363" i="12"/>
  <c r="AA645" i="12"/>
  <c r="AA655" i="12"/>
  <c r="AA642" i="12"/>
  <c r="AA186" i="12"/>
  <c r="AA757" i="12"/>
  <c r="AA685" i="12"/>
  <c r="AA1387" i="12"/>
  <c r="AA1189" i="12"/>
  <c r="AA933" i="12"/>
  <c r="AA644" i="12"/>
  <c r="AA1088" i="12"/>
  <c r="AA1186" i="12"/>
  <c r="AA1378" i="12"/>
  <c r="AA629" i="12"/>
  <c r="AA458" i="12"/>
  <c r="AA758" i="12"/>
  <c r="AA403" i="12"/>
  <c r="AA751" i="12"/>
  <c r="AA654" i="12"/>
  <c r="AA768" i="12"/>
  <c r="AA965" i="12"/>
  <c r="AA247" i="12"/>
  <c r="AA961" i="12"/>
  <c r="AA489" i="12"/>
  <c r="AA256" i="12"/>
  <c r="AA527" i="12"/>
  <c r="AA822" i="12"/>
  <c r="AA922" i="12"/>
  <c r="AA808" i="12"/>
  <c r="AA834" i="12"/>
  <c r="AA195" i="12"/>
  <c r="AA739" i="12"/>
  <c r="AA742" i="12"/>
  <c r="AA567" i="12"/>
  <c r="AA719" i="12"/>
  <c r="AA678" i="12"/>
  <c r="AA712" i="12"/>
  <c r="AA404" i="12"/>
  <c r="AA345" i="12"/>
  <c r="AA906" i="12"/>
  <c r="AA636" i="12"/>
  <c r="AA112" i="12"/>
  <c r="AA126" i="12"/>
  <c r="AA778" i="12"/>
  <c r="AA81" i="12"/>
  <c r="AA205" i="12"/>
  <c r="AA1373" i="12"/>
  <c r="AA826" i="12"/>
  <c r="AA1356" i="12"/>
  <c r="AA225" i="12"/>
  <c r="AA155" i="12"/>
  <c r="AA246" i="12"/>
  <c r="AA284" i="12"/>
  <c r="AA320" i="12"/>
  <c r="AA313" i="12"/>
  <c r="AA1204" i="12"/>
  <c r="AA441" i="12"/>
  <c r="AA1222" i="12"/>
  <c r="AA1201" i="12"/>
  <c r="AA1200" i="12"/>
  <c r="AA1188" i="12"/>
  <c r="AA1187" i="12"/>
  <c r="AA1184" i="12"/>
  <c r="AA1178" i="12"/>
  <c r="AA1177" i="12"/>
  <c r="AA1176" i="12"/>
  <c r="AA1172" i="12"/>
  <c r="AA1169" i="12"/>
  <c r="AA1167" i="12"/>
  <c r="AA1165" i="12"/>
  <c r="AA1162" i="12"/>
  <c r="AA1161" i="12"/>
  <c r="AA1160" i="12"/>
  <c r="AA1159" i="12"/>
  <c r="AA1156" i="12"/>
  <c r="AA1153" i="12"/>
  <c r="AA1147" i="12"/>
  <c r="AA1450" i="12"/>
  <c r="AA652" i="12"/>
  <c r="AA831" i="12"/>
  <c r="AA1140" i="12"/>
  <c r="AA1063" i="12"/>
  <c r="AA1369" i="12"/>
  <c r="AA674" i="12"/>
  <c r="AA683" i="12"/>
  <c r="AA865" i="12"/>
  <c r="AA737" i="12"/>
  <c r="AA180" i="12"/>
  <c r="AA904" i="12"/>
  <c r="AA118" i="12"/>
  <c r="AA198" i="12"/>
  <c r="AA838" i="12"/>
  <c r="AA798" i="12"/>
  <c r="AA251" i="12"/>
  <c r="AA182" i="12"/>
  <c r="AA248" i="12"/>
  <c r="AA1011" i="12"/>
  <c r="AA929" i="12"/>
  <c r="AA1234" i="12"/>
  <c r="AA310" i="12"/>
  <c r="AA1315" i="12"/>
  <c r="AA919" i="12"/>
  <c r="AA1296" i="12"/>
  <c r="AA372" i="12"/>
  <c r="AA141" i="12"/>
  <c r="AA41" i="12"/>
  <c r="AA2" i="12"/>
  <c r="AA1347" i="12"/>
  <c r="AA161" i="12"/>
  <c r="AA1346" i="12"/>
  <c r="AA90" i="12"/>
  <c r="AA569" i="12"/>
  <c r="AA383" i="12"/>
  <c r="AA595" i="12"/>
  <c r="AA263" i="12"/>
  <c r="AA1305" i="12"/>
  <c r="AA1448" i="12"/>
  <c r="AA974" i="12"/>
  <c r="AA581" i="12"/>
  <c r="AA741" i="12"/>
  <c r="AA1154" i="12"/>
  <c r="AA1045" i="12"/>
  <c r="AA981" i="12"/>
  <c r="AA918" i="12"/>
  <c r="AA1038" i="12"/>
  <c r="AA705" i="12"/>
  <c r="AA1095" i="12"/>
  <c r="AA1087" i="12"/>
  <c r="AA1075" i="12"/>
  <c r="AA220" i="12"/>
  <c r="AA469" i="12"/>
  <c r="AA841" i="12"/>
  <c r="AA468" i="12"/>
  <c r="AA633" i="12"/>
  <c r="AA45" i="12"/>
  <c r="AA421" i="12"/>
  <c r="AA979" i="12"/>
  <c r="AA422" i="12"/>
  <c r="AA718" i="12"/>
  <c r="AA692" i="12"/>
  <c r="AA382" i="12"/>
  <c r="AA694" i="12"/>
  <c r="AA1096" i="12"/>
  <c r="AA1037" i="12"/>
  <c r="AA1052" i="12"/>
  <c r="AA454" i="12"/>
  <c r="AA1311" i="12"/>
  <c r="AA1133" i="12"/>
  <c r="AA371" i="12"/>
  <c r="AA5" i="12"/>
  <c r="AA102" i="12"/>
  <c r="AA1249" i="12"/>
  <c r="AA321" i="12"/>
  <c r="AA720" i="12"/>
  <c r="AA952" i="12"/>
  <c r="AA887" i="12"/>
  <c r="AA1020" i="12"/>
  <c r="AA484" i="12"/>
  <c r="AA431" i="12"/>
  <c r="AA664" i="12"/>
  <c r="AA28" i="12"/>
  <c r="AA561" i="12"/>
  <c r="AA139" i="12"/>
  <c r="AA60" i="12"/>
  <c r="AA289" i="12"/>
  <c r="AA385" i="12"/>
  <c r="AA509" i="12"/>
  <c r="AA967" i="12"/>
  <c r="AA471" i="12"/>
  <c r="AA490" i="12"/>
  <c r="AA577" i="12"/>
  <c r="AA170" i="12"/>
  <c r="AA82" i="12"/>
  <c r="AA874" i="12"/>
  <c r="AA529" i="12"/>
  <c r="AA1018" i="12"/>
  <c r="AA706" i="12"/>
  <c r="AA96" i="12"/>
  <c r="AA523" i="12"/>
  <c r="AA992" i="12"/>
  <c r="AA130" i="12"/>
  <c r="AA66" i="12"/>
  <c r="AA1073" i="12"/>
  <c r="AA1068" i="12"/>
  <c r="AA1060" i="12"/>
  <c r="AA1058" i="12"/>
  <c r="AA1030" i="12"/>
  <c r="AA993" i="12"/>
  <c r="AA957" i="12"/>
  <c r="AA940" i="12"/>
  <c r="AA912" i="12"/>
  <c r="AA909" i="12"/>
  <c r="AA905" i="12"/>
  <c r="AA890" i="12"/>
  <c r="AA889" i="12"/>
  <c r="AA882" i="12"/>
  <c r="AA847" i="12"/>
  <c r="AA1229" i="12"/>
  <c r="AA845" i="12"/>
  <c r="AA799" i="12"/>
  <c r="AA796" i="12"/>
  <c r="AA772" i="12"/>
  <c r="AA763" i="12"/>
  <c r="AA750" i="12"/>
  <c r="AA695" i="12"/>
  <c r="AA613" i="12"/>
  <c r="AA227" i="12"/>
  <c r="AA774" i="12"/>
  <c r="AA1118" i="12"/>
  <c r="AA1408" i="12"/>
  <c r="AA1410" i="12"/>
  <c r="AA1409" i="12"/>
  <c r="AA1010" i="12"/>
  <c r="AA1406" i="12"/>
  <c r="AA1407" i="12"/>
  <c r="AA434" i="12"/>
  <c r="AA546" i="12"/>
  <c r="AA1401" i="12"/>
  <c r="AA545" i="12"/>
  <c r="AA1134" i="12"/>
  <c r="AA1130" i="12"/>
  <c r="AA1125" i="12"/>
  <c r="AA1123" i="12"/>
  <c r="AA1121" i="12"/>
  <c r="AA1103" i="12"/>
  <c r="AA555" i="12"/>
  <c r="AA88" i="12"/>
  <c r="AA93" i="12"/>
  <c r="AA988" i="12"/>
  <c r="AA1024" i="12"/>
  <c r="AA609" i="12"/>
  <c r="AA356" i="12"/>
  <c r="AA519" i="12"/>
  <c r="AA7" i="12"/>
  <c r="AA6" i="12"/>
  <c r="AA231" i="12"/>
  <c r="AA230" i="12"/>
  <c r="AA1351" i="12"/>
  <c r="AA1119" i="12"/>
  <c r="AA200" i="12"/>
  <c r="AA1376" i="12"/>
  <c r="AA309" i="12"/>
  <c r="AA916" i="12"/>
  <c r="AA910" i="12"/>
  <c r="AA408" i="12"/>
  <c r="AA1427" i="12"/>
  <c r="AA1384" i="12"/>
  <c r="AA1383" i="12"/>
  <c r="AA1382" i="12"/>
  <c r="AA1361" i="12"/>
  <c r="AA1226" i="12"/>
  <c r="AA1221" i="12"/>
  <c r="AA1220" i="12"/>
  <c r="AA1104" i="12"/>
  <c r="AA1370" i="12"/>
  <c r="AA76" i="12"/>
  <c r="AA1329" i="12"/>
  <c r="AA675" i="12"/>
  <c r="AA1185" i="12"/>
  <c r="AA1181" i="12"/>
  <c r="AA835" i="12"/>
  <c r="AA202" i="12"/>
  <c r="AA228" i="12"/>
  <c r="AA1077" i="12"/>
  <c r="AA144" i="12"/>
  <c r="AA1403" i="12"/>
  <c r="AA199" i="12"/>
  <c r="AA13" i="12"/>
  <c r="AA1051" i="12"/>
  <c r="AA724" i="12"/>
  <c r="AA534" i="12"/>
  <c r="AA520" i="12"/>
  <c r="AA515" i="12"/>
  <c r="AA447" i="12"/>
  <c r="AA500" i="12"/>
  <c r="AA843" i="12"/>
  <c r="AA179" i="12"/>
  <c r="AA553" i="12"/>
  <c r="AA370" i="12"/>
  <c r="AA866" i="12"/>
  <c r="AA870" i="12"/>
  <c r="AA193" i="12"/>
  <c r="AA792" i="12"/>
  <c r="AA467" i="12"/>
  <c r="AA939" i="12"/>
  <c r="AA176" i="12"/>
  <c r="AA696" i="12"/>
  <c r="AA958" i="12"/>
  <c r="AA120" i="12"/>
  <c r="AA749" i="12"/>
  <c r="AA1033" i="12"/>
  <c r="AA1195" i="12"/>
  <c r="AA374" i="12"/>
  <c r="AA726" i="12"/>
  <c r="AA1197" i="12"/>
  <c r="AA760" i="12"/>
  <c r="AA1062" i="12"/>
  <c r="AA1245" i="12"/>
  <c r="AA970" i="12"/>
  <c r="AA18" i="12"/>
  <c r="AA1250" i="12"/>
  <c r="AA934" i="12"/>
  <c r="AA140" i="12"/>
  <c r="AA386" i="12"/>
  <c r="AA1078" i="12"/>
  <c r="AA1433" i="12"/>
  <c r="AA862" i="12"/>
  <c r="AA293" i="12"/>
  <c r="AA1166" i="12"/>
  <c r="AA602" i="12"/>
  <c r="AA445" i="12"/>
  <c r="AA124" i="12"/>
  <c r="AA110" i="12"/>
  <c r="AA1462" i="12"/>
  <c r="AA1445" i="12"/>
  <c r="AA1423" i="12"/>
  <c r="AA1367" i="12"/>
  <c r="AA786" i="12"/>
  <c r="AA1365" i="12"/>
  <c r="AA338" i="12"/>
  <c r="AA1278" i="12"/>
  <c r="AA1362" i="12"/>
  <c r="AA34" i="12"/>
  <c r="AA671" i="12"/>
  <c r="AA1323" i="12"/>
  <c r="AA1343" i="12"/>
  <c r="AA258" i="12"/>
  <c r="AA620" i="12"/>
  <c r="AA306" i="12"/>
  <c r="AA323" i="12"/>
  <c r="AA311" i="12"/>
  <c r="AA355" i="12"/>
  <c r="AA243" i="12"/>
  <c r="AA606" i="12"/>
  <c r="AA363" i="12"/>
  <c r="AA583" i="12"/>
  <c r="AA580" i="12"/>
  <c r="AA816" i="12"/>
  <c r="AA926" i="12"/>
  <c r="AA1138" i="12"/>
  <c r="AA1434" i="12"/>
  <c r="AA875" i="12"/>
  <c r="AA596" i="12"/>
  <c r="AA1467" i="12"/>
  <c r="AA266" i="12"/>
  <c r="AA1426" i="12"/>
  <c r="AA525" i="12"/>
  <c r="AA677" i="12"/>
  <c r="AA51" i="12"/>
  <c r="AA572" i="12"/>
  <c r="AA78" i="12"/>
  <c r="AA275" i="12"/>
  <c r="AA39" i="12"/>
  <c r="AA47" i="12"/>
  <c r="AA221" i="12"/>
  <c r="AA714" i="12"/>
  <c r="AA1368" i="12"/>
  <c r="AA646" i="12"/>
  <c r="AA1277" i="12"/>
  <c r="AA1216" i="12"/>
  <c r="AA1215" i="12"/>
  <c r="AA1214" i="12"/>
  <c r="AA1213" i="12"/>
  <c r="AA1212" i="12"/>
  <c r="AA1211" i="12"/>
  <c r="AA1210" i="12"/>
  <c r="AA1209" i="12"/>
  <c r="AA1208" i="12"/>
  <c r="AA1207" i="12"/>
  <c r="AA1316" i="12"/>
  <c r="AA318" i="12"/>
  <c r="AA559" i="12"/>
  <c r="AA485" i="12"/>
  <c r="AA903" i="12"/>
  <c r="AA832" i="12"/>
  <c r="AA100" i="12"/>
  <c r="AA375" i="12"/>
  <c r="AA820" i="12"/>
  <c r="AA129" i="12"/>
  <c r="AA944" i="12"/>
  <c r="AA283" i="12"/>
  <c r="AA430" i="12"/>
  <c r="AA455" i="12"/>
  <c r="AA83" i="12"/>
  <c r="AA273" i="12"/>
  <c r="AA167" i="12"/>
  <c r="AA1086" i="12"/>
  <c r="AA814" i="12"/>
  <c r="AA166" i="12"/>
  <c r="AA612" i="12"/>
  <c r="AA452" i="12"/>
  <c r="AA128" i="12"/>
  <c r="AA789" i="12"/>
  <c r="AA265" i="12"/>
  <c r="AA818" i="12"/>
  <c r="AA395" i="12"/>
  <c r="AA272" i="12"/>
  <c r="AA137" i="12"/>
  <c r="AA299" i="12"/>
  <c r="AA976" i="12"/>
  <c r="AA901" i="12"/>
  <c r="AA115" i="12"/>
  <c r="AA550" i="12"/>
  <c r="AA536" i="12"/>
  <c r="AA528" i="12"/>
  <c r="AA512" i="12"/>
  <c r="AA502" i="12"/>
  <c r="AA479" i="12"/>
  <c r="AA474" i="12"/>
  <c r="AA427" i="12"/>
  <c r="AA419" i="12"/>
  <c r="AA416" i="12"/>
  <c r="AA381" i="12"/>
  <c r="AA332" i="12"/>
  <c r="AA317" i="12"/>
  <c r="AA292" i="12"/>
  <c r="AA255" i="12"/>
  <c r="AA219" i="12"/>
  <c r="AA214" i="12"/>
  <c r="AA188" i="12"/>
  <c r="AA158" i="12"/>
  <c r="AA125" i="12"/>
  <c r="AA123" i="12"/>
  <c r="AA75" i="12"/>
  <c r="AA594" i="12"/>
  <c r="AA151" i="12"/>
  <c r="AA150" i="12"/>
  <c r="AA149" i="12"/>
  <c r="AA1206" i="12"/>
  <c r="AA1205" i="12"/>
  <c r="AA240" i="12"/>
  <c r="AA241" i="12"/>
  <c r="AA1358" i="12"/>
  <c r="AA496" i="12"/>
  <c r="AA495" i="12"/>
  <c r="AA494" i="12"/>
  <c r="AA493" i="12"/>
  <c r="AA1074" i="12"/>
  <c r="AA765" i="12"/>
  <c r="AA754" i="12"/>
  <c r="AA297" i="12"/>
  <c r="AA29" i="12"/>
  <c r="AA1079" i="12"/>
  <c r="AA387" i="12"/>
  <c r="AA159" i="12"/>
  <c r="AA119" i="12"/>
  <c r="AA900" i="12"/>
  <c r="AA1400" i="12"/>
  <c r="AA148" i="12"/>
  <c r="AA631" i="12"/>
  <c r="AA885" i="12"/>
  <c r="AA924" i="12"/>
  <c r="AA1328" i="12"/>
  <c r="AA203" i="12"/>
  <c r="AA770" i="12"/>
  <c r="AA1219" i="12"/>
  <c r="AA379" i="12"/>
  <c r="AA661" i="12"/>
  <c r="AA855" i="12"/>
  <c r="AA1158" i="12"/>
  <c r="AA223" i="12"/>
  <c r="AA224" i="12"/>
  <c r="AA850" i="12"/>
  <c r="AA883" i="12"/>
  <c r="AA731" i="12"/>
  <c r="AA138" i="12"/>
  <c r="AA624" i="12"/>
  <c r="AA378" i="12"/>
  <c r="AA839" i="12"/>
  <c r="AA506" i="12"/>
  <c r="AA691" i="12"/>
  <c r="AA713" i="12"/>
  <c r="AA1091" i="12"/>
  <c r="AA1404" i="12"/>
  <c r="AA1268" i="12"/>
  <c r="AA358" i="12"/>
  <c r="AA1025" i="12"/>
  <c r="AA936" i="12"/>
  <c r="AA853" i="12"/>
  <c r="AA701" i="12"/>
  <c r="AA917" i="12"/>
  <c r="AA1413" i="12"/>
  <c r="AA1298" i="12"/>
  <c r="AA1194" i="12"/>
  <c r="AA628" i="12"/>
  <c r="AA107" i="12"/>
  <c r="AA71" i="12"/>
  <c r="AA915" i="12"/>
  <c r="AA1049" i="12"/>
  <c r="AA37" i="12"/>
  <c r="AA811" i="12"/>
  <c r="AA492" i="12"/>
  <c r="AA846" i="12"/>
  <c r="AA1227" i="12"/>
  <c r="AA687" i="12"/>
  <c r="AA1438" i="12"/>
  <c r="AA634" i="12"/>
  <c r="AA518" i="12"/>
  <c r="AA360" i="12"/>
  <c r="AA753" i="12"/>
  <c r="AA1139" i="12"/>
  <c r="AA526" i="12"/>
  <c r="AA507" i="12"/>
  <c r="AA316" i="12"/>
  <c r="AA322" i="12"/>
  <c r="AA730" i="12"/>
  <c r="AA505" i="12"/>
  <c r="AA92" i="12"/>
  <c r="AA930" i="12"/>
  <c r="AA840" i="12"/>
  <c r="AA27" i="12"/>
  <c r="AA470" i="12"/>
  <c r="AA746" i="12"/>
  <c r="AA501" i="12"/>
  <c r="AA1029" i="12"/>
  <c r="AA549" i="12"/>
  <c r="AA285" i="12"/>
  <c r="AA849" i="12"/>
  <c r="AA690" i="12"/>
  <c r="AA1294" i="12"/>
  <c r="AA1366" i="12"/>
  <c r="AA684" i="12"/>
  <c r="AA626" i="12"/>
  <c r="AA55" i="12"/>
  <c r="AA622" i="12"/>
  <c r="AA1142" i="12"/>
  <c r="AA1297" i="12"/>
  <c r="AA257" i="12"/>
  <c r="AA335" i="12"/>
  <c r="AA703" i="12"/>
  <c r="AA975" i="12"/>
  <c r="AA1251" i="12"/>
  <c r="AA1225" i="12"/>
  <c r="AA1163" i="12"/>
  <c r="AA1102" i="12"/>
  <c r="AA1084" i="12"/>
  <c r="AA1057" i="12"/>
  <c r="AA950" i="12"/>
  <c r="AA886" i="12"/>
  <c r="AA819" i="12"/>
  <c r="AA745" i="12"/>
  <c r="AA738" i="12"/>
  <c r="AA665" i="12"/>
  <c r="AA400" i="12"/>
  <c r="AA349" i="12"/>
  <c r="AA331" i="12"/>
  <c r="AA319" i="12"/>
  <c r="AA168" i="12"/>
  <c r="AA121" i="12"/>
  <c r="AA20" i="12"/>
  <c r="AA1466" i="12"/>
  <c r="AA98" i="12"/>
  <c r="AA639" i="12"/>
  <c r="AA907" i="12"/>
  <c r="AA48" i="12"/>
  <c r="AA329" i="12"/>
  <c r="AA412" i="12"/>
  <c r="AA142" i="12"/>
  <c r="AA921" i="12"/>
  <c r="AA1295" i="12"/>
  <c r="AA707" i="12"/>
  <c r="AA373" i="12"/>
  <c r="AA755" i="12"/>
  <c r="AA348" i="12"/>
  <c r="AA1069" i="12"/>
  <c r="AA397" i="12"/>
  <c r="AA1304" i="12"/>
  <c r="AA734" i="12"/>
  <c r="AA812" i="12"/>
  <c r="AA856" i="12"/>
  <c r="AA44" i="12"/>
  <c r="AA653" i="12"/>
  <c r="AA1496" i="12"/>
  <c r="AA556" i="12"/>
  <c r="AA269" i="12"/>
  <c r="AA937" i="12"/>
  <c r="AA67" i="12"/>
  <c r="AA64" i="12"/>
  <c r="AA46" i="12"/>
  <c r="AA530" i="12"/>
  <c r="AA1471" i="12"/>
  <c r="AA881" i="12"/>
  <c r="AA376" i="12"/>
  <c r="AA36" i="12"/>
  <c r="AA643" i="12"/>
  <c r="AA679" i="12"/>
  <c r="AA662" i="12"/>
  <c r="AA414" i="12"/>
  <c r="AA858" i="12"/>
  <c r="AA715" i="12"/>
  <c r="AA1135" i="12"/>
  <c r="AA704" i="12"/>
  <c r="AA1292" i="12"/>
  <c r="AA1071" i="12"/>
  <c r="AA1106" i="12"/>
  <c r="AA1137" i="12"/>
  <c r="AA177" i="12"/>
  <c r="AA923" i="12"/>
  <c r="AA1364" i="12"/>
  <c r="AA184" i="12"/>
  <c r="AA1281" i="12"/>
  <c r="AA920" i="12"/>
  <c r="AA1435" i="12"/>
  <c r="AA1420" i="12"/>
  <c r="AA809" i="12"/>
  <c r="AA868" i="12"/>
  <c r="AA1417" i="12"/>
  <c r="AA1055" i="12"/>
  <c r="AA116" i="12"/>
  <c r="AA795" i="12"/>
  <c r="AA156" i="12"/>
  <c r="AA828" i="12"/>
  <c r="AA174" i="12"/>
  <c r="AA516" i="12"/>
  <c r="AA429" i="12"/>
  <c r="AA709" i="12"/>
  <c r="AA288" i="12"/>
  <c r="AA899" i="12"/>
  <c r="AA947" i="12"/>
  <c r="AA943" i="12"/>
  <c r="AA84" i="12"/>
  <c r="AA476" i="12"/>
  <c r="AA401" i="12"/>
  <c r="AA647" i="12"/>
  <c r="AA413" i="12"/>
  <c r="AA869" i="12"/>
  <c r="AA1059" i="12"/>
  <c r="AA1472" i="12"/>
  <c r="AA801" i="12"/>
  <c r="AA440" i="12"/>
  <c r="AA1397" i="12"/>
  <c r="AA575" i="12"/>
  <c r="AA779" i="12"/>
  <c r="AA983" i="12"/>
  <c r="AA984" i="12"/>
  <c r="AA1036" i="12"/>
  <c r="AA1402" i="12"/>
  <c r="AA852" i="12"/>
  <c r="AA1299" i="12"/>
  <c r="AA114" i="12"/>
  <c r="AA425" i="12"/>
  <c r="AA326" i="12"/>
  <c r="AA601" i="12"/>
  <c r="AA790" i="12"/>
  <c r="AA410" i="12"/>
  <c r="AA1048" i="12"/>
  <c r="AA459" i="12"/>
  <c r="AA598" i="12"/>
  <c r="AA987" i="12"/>
  <c r="AA61" i="12"/>
  <c r="AA1085" i="12"/>
  <c r="AA1350" i="12"/>
  <c r="AA1474" i="12"/>
  <c r="AA270" i="12"/>
  <c r="AA1309" i="12"/>
  <c r="AA998" i="12"/>
  <c r="AA935" i="12"/>
  <c r="AA578" i="12"/>
  <c r="AA1443" i="12"/>
  <c r="AA888" i="12"/>
  <c r="AA172" i="12"/>
  <c r="AA537" i="12"/>
  <c r="AA1056" i="12"/>
  <c r="AA775" i="12"/>
  <c r="AA40" i="12"/>
  <c r="AA442" i="12"/>
  <c r="AA721" i="12"/>
  <c r="AA105" i="12"/>
  <c r="AA77" i="12"/>
  <c r="AA893" i="12"/>
  <c r="AA274" i="12"/>
  <c r="AA563" i="12"/>
  <c r="AA879" i="12"/>
  <c r="AA488" i="12"/>
  <c r="AA771" i="12"/>
  <c r="AA146" i="12"/>
  <c r="AA104" i="12"/>
  <c r="AA336" i="12"/>
  <c r="AA1065" i="12"/>
  <c r="AA658" i="12"/>
  <c r="AA948" i="12"/>
  <c r="AA1322" i="12"/>
  <c r="AA1105" i="12"/>
  <c r="AA640" i="12"/>
  <c r="AA702" i="12"/>
  <c r="AA959" i="12"/>
  <c r="AA1099" i="12"/>
  <c r="AA1218" i="12"/>
  <c r="AA1217" i="12"/>
  <c r="AA1203" i="12"/>
  <c r="AA1116" i="12"/>
  <c r="AA1080" i="12"/>
  <c r="AA1013" i="12"/>
  <c r="AA1006" i="12"/>
  <c r="AA1005" i="12"/>
  <c r="AA1003" i="12"/>
  <c r="AA777" i="12"/>
  <c r="AA776" i="12"/>
  <c r="AA806" i="12"/>
  <c r="AA805" i="12"/>
  <c r="AA1032" i="12"/>
  <c r="AA794" i="12"/>
  <c r="AA986" i="12"/>
  <c r="AA954" i="12"/>
  <c r="AA833" i="12"/>
  <c r="AA1168" i="12"/>
  <c r="AA599" i="12"/>
  <c r="AA253" i="12"/>
  <c r="AA503" i="12"/>
  <c r="AA728" i="12"/>
  <c r="AA1076" i="12"/>
  <c r="AA997" i="12"/>
  <c r="AA1054" i="12"/>
  <c r="AA475" i="12"/>
  <c r="AA267" i="12"/>
  <c r="AA672" i="12"/>
  <c r="AA716" i="12"/>
  <c r="AA1238" i="12"/>
  <c r="AA635" i="12"/>
  <c r="AA1501" i="12"/>
  <c r="AA377" i="12"/>
  <c r="AA942" i="12"/>
  <c r="AA1270" i="12"/>
  <c r="AA1421" i="12"/>
  <c r="AA420" i="12"/>
  <c r="AA657" i="12"/>
  <c r="AA676" i="12"/>
  <c r="AA966" i="12"/>
  <c r="AA1151" i="12"/>
  <c r="AA1237" i="12"/>
  <c r="AA69" i="12"/>
  <c r="AA1422" i="12"/>
  <c r="AA12" i="12"/>
  <c r="AA1279" i="12"/>
  <c r="AA785" i="12"/>
  <c r="AA58" i="12"/>
  <c r="AA894" i="12"/>
  <c r="AA688" i="12"/>
  <c r="AA369" i="12"/>
  <c r="AA521" i="12"/>
  <c r="AA784" i="12"/>
  <c r="AA1337" i="12"/>
  <c r="AA1193" i="12"/>
  <c r="AA1440" i="12"/>
  <c r="AA836" i="12"/>
  <c r="AA1183" i="12"/>
  <c r="AA135" i="12"/>
  <c r="AA817" i="12"/>
  <c r="AA859" i="12"/>
  <c r="AA1021" i="12"/>
  <c r="AA554" i="12"/>
  <c r="AA254" i="12"/>
  <c r="AA86" i="12"/>
  <c r="AA891" i="12"/>
  <c r="AA1282" i="12"/>
  <c r="AA793" i="12"/>
  <c r="AA1319" i="12"/>
  <c r="AA756" i="12"/>
  <c r="AA1287" i="12"/>
  <c r="AA446" i="12"/>
  <c r="AA723" i="12"/>
  <c r="AA1388" i="12"/>
  <c r="AA1117" i="12"/>
  <c r="AA365" i="12"/>
  <c r="AA368" i="12"/>
  <c r="AA588" i="12"/>
  <c r="AA830" i="12"/>
  <c r="AA1500" i="12"/>
  <c r="AA1494" i="12"/>
  <c r="AA1493" i="12"/>
  <c r="AA1492" i="12"/>
  <c r="AA1487" i="12"/>
  <c r="AA1485" i="12"/>
  <c r="AA1236" i="12"/>
  <c r="AA486" i="12"/>
  <c r="AA964" i="12"/>
  <c r="AA650" i="12"/>
  <c r="AA33" i="12"/>
  <c r="AA1357" i="12"/>
  <c r="AA1399" i="12"/>
  <c r="AA544" i="12"/>
  <c r="AA540" i="12"/>
  <c r="AA1004" i="12"/>
  <c r="AA542" i="12"/>
  <c r="AA541" i="12"/>
  <c r="AA543" i="12"/>
  <c r="AA1352" i="12"/>
  <c r="AA351" i="12"/>
  <c r="AA353" i="12"/>
  <c r="AA352" i="12"/>
  <c r="AA350" i="12"/>
  <c r="AA354" i="12"/>
  <c r="AA1001" i="12"/>
  <c r="AA1146" i="12"/>
  <c r="AA1007" i="12"/>
  <c r="AA1002" i="12"/>
  <c r="AA955" i="12"/>
  <c r="AA1341" i="12"/>
  <c r="AA908" i="12"/>
  <c r="AA1144" i="12"/>
  <c r="AA1455" i="12"/>
  <c r="AA1480" i="12"/>
  <c r="AA1479" i="12"/>
  <c r="AA1478" i="12"/>
  <c r="AA1476" i="12"/>
  <c r="AA1475" i="12"/>
  <c r="AA1470" i="12"/>
  <c r="AA1469" i="12"/>
  <c r="AA1464" i="12"/>
  <c r="AA1463" i="12"/>
  <c r="AA1460" i="12"/>
  <c r="AA1459" i="12"/>
  <c r="AA1458" i="12"/>
  <c r="AA1457" i="12"/>
  <c r="AA1451" i="12"/>
  <c r="AA1446" i="12"/>
  <c r="AA1442" i="12"/>
  <c r="AA1441" i="12"/>
  <c r="AA1436" i="12"/>
  <c r="AA1330" i="12"/>
  <c r="AA1430" i="12"/>
  <c r="AA517" i="12"/>
  <c r="AA804" i="12"/>
  <c r="AA803" i="12"/>
  <c r="AA669" i="12"/>
  <c r="AA668" i="12"/>
  <c r="AA621" i="12"/>
  <c r="AA617" i="12"/>
  <c r="AA593" i="12"/>
  <c r="AA999" i="12"/>
  <c r="AA216" i="12"/>
  <c r="AA215" i="12"/>
  <c r="AA533" i="12"/>
  <c r="AA667" i="12"/>
  <c r="AA175" i="12"/>
  <c r="AA823" i="12"/>
  <c r="AA287" i="12"/>
  <c r="AA327" i="12"/>
  <c r="AA17" i="12"/>
  <c r="AA1046" i="12"/>
  <c r="AA333" i="12"/>
  <c r="AA62" i="12"/>
  <c r="AA697" i="12"/>
  <c r="AA902" i="12"/>
  <c r="AA95" i="12"/>
  <c r="AA560" i="12"/>
  <c r="AA482" i="12"/>
  <c r="AA456" i="12"/>
  <c r="AA783" i="12"/>
  <c r="AA426" i="12"/>
  <c r="AA1053" i="12"/>
  <c r="AA109" i="12"/>
  <c r="AA99" i="12"/>
  <c r="AA398" i="12"/>
  <c r="AA844" i="12"/>
  <c r="AA346" i="12"/>
  <c r="AA877" i="12"/>
  <c r="AA827" i="12"/>
  <c r="AA744" i="12"/>
  <c r="AA160" i="12"/>
  <c r="AA698" i="12"/>
  <c r="AA584" i="12"/>
  <c r="AA1031" i="12"/>
  <c r="AA1498" i="12"/>
  <c r="AA478" i="12"/>
  <c r="AA97" i="12"/>
  <c r="AA1336" i="12"/>
  <c r="AA600" i="12"/>
  <c r="AA1110" i="12"/>
  <c r="AA949" i="12"/>
  <c r="AA848" i="12"/>
  <c r="AA1291" i="12"/>
  <c r="AA994" i="12"/>
  <c r="AA1483" i="12"/>
  <c r="AA32" i="12"/>
  <c r="AA1461" i="12"/>
  <c r="AA50" i="12"/>
  <c r="AA390" i="12"/>
  <c r="AA344" i="12"/>
  <c r="AA1027" i="12"/>
  <c r="AA23" i="12"/>
  <c r="AA597" i="12"/>
  <c r="AA1111" i="12"/>
  <c r="AA1447" i="12"/>
  <c r="AA132" i="12"/>
  <c r="AA53" i="12"/>
  <c r="AA8" i="12"/>
  <c r="AA535" i="12"/>
  <c r="AA59" i="12"/>
  <c r="AA524" i="12"/>
  <c r="AA466" i="12"/>
  <c r="AA465" i="12"/>
  <c r="AA464" i="12"/>
  <c r="AA463" i="12"/>
  <c r="AA462" i="12"/>
  <c r="AA451" i="12"/>
  <c r="AA450" i="12"/>
  <c r="AA384" i="12"/>
  <c r="AA638" i="12"/>
  <c r="AA871" i="12"/>
  <c r="AA341" i="12"/>
  <c r="AA867" i="12"/>
  <c r="AA925" i="12"/>
  <c r="AA623" i="12"/>
  <c r="AA1468" i="12"/>
  <c r="AA340" i="12"/>
  <c r="AA261" i="12"/>
  <c r="AA443" i="12"/>
  <c r="AA1432" i="12"/>
  <c r="AA1412" i="12"/>
  <c r="AA1128" i="12"/>
  <c r="AA941" i="12"/>
  <c r="AA990" i="12"/>
  <c r="AA367" i="12"/>
  <c r="AA761" i="12"/>
  <c r="AA145" i="12"/>
  <c r="AA286" i="12"/>
  <c r="AA298" i="12"/>
  <c r="AA1246" i="12"/>
  <c r="AA884" i="12"/>
  <c r="AA187" i="12"/>
  <c r="AA969" i="12"/>
  <c r="AA136" i="12"/>
  <c r="AA842" i="12"/>
  <c r="AA666" i="12"/>
  <c r="AA183" i="12"/>
  <c r="AA641" i="12"/>
  <c r="AA686" i="12"/>
  <c r="AA1306" i="12"/>
  <c r="AA1280" i="12"/>
  <c r="AA437" i="12"/>
  <c r="AA134" i="12"/>
  <c r="AA1112" i="12"/>
  <c r="AA996" i="12"/>
  <c r="AA938" i="12"/>
  <c r="AA1419" i="12"/>
  <c r="AA1429" i="12"/>
  <c r="AA259" i="12"/>
  <c r="AA481" i="12"/>
  <c r="AA821" i="12"/>
  <c r="AA1326" i="12"/>
  <c r="AA1355" i="12"/>
  <c r="AA1354" i="12"/>
  <c r="AA1022" i="12"/>
  <c r="AA153" i="12"/>
  <c r="AA511" i="12"/>
  <c r="AA510" i="12"/>
  <c r="AA608" i="12"/>
  <c r="AA607" i="12"/>
  <c r="AA637" i="12"/>
  <c r="AA531" i="12"/>
  <c r="AA308" i="12"/>
  <c r="AA307" i="12"/>
  <c r="AA305" i="12"/>
  <c r="AA304" i="12"/>
  <c r="AA302" i="12"/>
  <c r="AA982" i="12"/>
  <c r="AA660" i="12"/>
  <c r="AA1473" i="12"/>
  <c r="AA895" i="12"/>
  <c r="AA773" i="12"/>
  <c r="AA85" i="12"/>
  <c r="AA1228" i="12"/>
  <c r="AA574" i="12"/>
  <c r="AA483" i="12"/>
  <c r="AA971" i="12"/>
  <c r="AA586" i="12"/>
  <c r="AA802" i="12"/>
  <c r="AA74" i="12"/>
  <c r="AA405" i="12"/>
  <c r="AA406" i="12"/>
  <c r="AA1424" i="12"/>
  <c r="AA103" i="12"/>
  <c r="AA1416" i="12"/>
  <c r="AA1394" i="12"/>
  <c r="AA1377" i="12"/>
  <c r="AA1349" i="12"/>
  <c r="AA1344" i="12"/>
  <c r="AA133" i="12"/>
  <c r="AA627" i="12"/>
  <c r="AA1066" i="12"/>
  <c r="AA1127" i="12"/>
  <c r="AA576" i="12"/>
  <c r="AA968" i="12"/>
  <c r="AA239" i="12"/>
  <c r="AA233" i="12"/>
  <c r="AA232" i="12"/>
  <c r="AA236" i="12"/>
  <c r="AA235" i="12"/>
  <c r="AA234" i="12"/>
  <c r="AA237" i="12"/>
  <c r="AA339" i="12"/>
  <c r="AA680" i="12"/>
  <c r="AA291" i="12"/>
  <c r="AA143" i="12"/>
  <c r="AA1431" i="12"/>
  <c r="AA682" i="12"/>
  <c r="AA1439" i="12"/>
  <c r="AA54" i="12"/>
  <c r="AA418" i="12"/>
  <c r="AA1023" i="12"/>
  <c r="AA271" i="12"/>
  <c r="AA1009" i="12"/>
  <c r="AA1266" i="12"/>
  <c r="AA927" i="12"/>
  <c r="AA585" i="12"/>
  <c r="AA1338" i="12"/>
  <c r="AA1335" i="12"/>
  <c r="AA1333" i="12"/>
  <c r="AA1325" i="12"/>
  <c r="AA1318" i="12"/>
  <c r="AA1313" i="12"/>
  <c r="AA1308" i="12"/>
  <c r="AA1293" i="12"/>
  <c r="AA1290" i="12"/>
  <c r="AA1289" i="12"/>
  <c r="AA1288" i="12"/>
  <c r="AA1283" i="12"/>
  <c r="AA1275" i="12"/>
  <c r="AA1274" i="12"/>
  <c r="AA1273" i="12"/>
  <c r="AA1265" i="12"/>
  <c r="AA1264" i="12"/>
  <c r="AA1263" i="12"/>
  <c r="AA1261" i="12"/>
  <c r="AA1260" i="12"/>
  <c r="AA1256" i="12"/>
  <c r="AA1255" i="12"/>
  <c r="AA1254" i="12"/>
  <c r="AA1425" i="12"/>
  <c r="AA389" i="12"/>
  <c r="AA1437" i="12"/>
  <c r="AA1115" i="12"/>
  <c r="AA56" i="12"/>
  <c r="AA1223" i="12"/>
  <c r="AA334" i="12"/>
  <c r="AA717" i="12"/>
  <c r="AA238" i="12"/>
  <c r="AA1000" i="12"/>
  <c r="AA1008" i="12"/>
  <c r="AA343" i="12"/>
  <c r="AA566" i="12"/>
  <c r="AA3" i="12"/>
  <c r="AA722" i="12"/>
  <c r="AA604" i="12"/>
  <c r="AA94" i="12"/>
  <c r="AA147" i="12"/>
  <c r="AA1453" i="12"/>
  <c r="AA342" i="12"/>
  <c r="AA347" i="12"/>
  <c r="AA513" i="12"/>
  <c r="AA325" i="12"/>
  <c r="AA399" i="12"/>
  <c r="AA391" i="12"/>
  <c r="AA953" i="12"/>
  <c r="AA498" i="12"/>
  <c r="AA759" i="12"/>
  <c r="AA157" i="12"/>
  <c r="AA79" i="12"/>
  <c r="AA781" i="12"/>
  <c r="AA31" i="12"/>
  <c r="AA380" i="12"/>
  <c r="AA1039" i="12"/>
  <c r="AA264" i="12"/>
  <c r="AA1499" i="12"/>
  <c r="AA1490" i="12"/>
  <c r="AA1484" i="12"/>
  <c r="AA1477" i="12"/>
  <c r="AA1454" i="12"/>
  <c r="AA1452" i="12"/>
  <c r="AA1449" i="12"/>
  <c r="AA1348" i="12"/>
  <c r="AA1339" i="12"/>
  <c r="AA1327" i="12"/>
  <c r="AA1259" i="12"/>
  <c r="AA1243" i="12"/>
  <c r="AA1242" i="12"/>
  <c r="AA1196" i="12"/>
  <c r="AA1182" i="12"/>
  <c r="AA1173" i="12"/>
  <c r="AA1122" i="12"/>
  <c r="AA301" i="12"/>
  <c r="AA300" i="12"/>
  <c r="AA1303" i="12"/>
  <c r="AA632" i="12"/>
  <c r="AA1131" i="12"/>
  <c r="AA89" i="12"/>
  <c r="AA49" i="12"/>
  <c r="AA914" i="12"/>
  <c r="AA673" i="12"/>
  <c r="AA1126" i="12"/>
  <c r="AA1143" i="12"/>
  <c r="AA72" i="12"/>
  <c r="AA435" i="12"/>
  <c r="AA872" i="12"/>
  <c r="AA262" i="12"/>
  <c r="AA1067" i="12"/>
  <c r="AA863" i="12"/>
  <c r="AA1107" i="12"/>
  <c r="AA337" i="12"/>
  <c r="AA708" i="12"/>
  <c r="AA11" i="12"/>
  <c r="AA725" i="12"/>
  <c r="AA173" i="12"/>
  <c r="AA1124" i="12"/>
  <c r="AA573" i="12"/>
  <c r="AA892" i="12"/>
  <c r="AA1101" i="12"/>
  <c r="AA491" i="12"/>
  <c r="AA415" i="12"/>
  <c r="AA552" i="12"/>
  <c r="AA1108" i="12"/>
  <c r="AA1276" i="12"/>
  <c r="AA762" i="12"/>
  <c r="AA1233" i="12"/>
  <c r="AA169" i="12"/>
  <c r="AA727" i="12"/>
  <c r="AA963" i="12"/>
  <c r="AA538" i="12"/>
  <c r="AA747" i="12"/>
  <c r="AA1398" i="12"/>
  <c r="AA70" i="12"/>
  <c r="AA1456" i="12"/>
  <c r="AA861" i="12"/>
  <c r="AA1072" i="12"/>
  <c r="AA1149" i="12"/>
  <c r="AA807" i="12"/>
  <c r="AA1157" i="12"/>
  <c r="AA973" i="12"/>
  <c r="AA330" i="12"/>
  <c r="AA945" i="12"/>
  <c r="AA659" i="12"/>
  <c r="AA303" i="12"/>
  <c r="AA196" i="12"/>
  <c r="AA1324" i="12"/>
  <c r="AA733" i="12"/>
  <c r="AA42" i="12"/>
  <c r="AA1286" i="12"/>
  <c r="AA740" i="12"/>
  <c r="AA1244" i="12"/>
  <c r="AA648" i="12"/>
  <c r="AA1321" i="12"/>
  <c r="AA213" i="12"/>
  <c r="AA211" i="12"/>
  <c r="AA210" i="12"/>
  <c r="AA22" i="12"/>
  <c r="AA1375" i="12"/>
  <c r="AA571" i="12"/>
  <c r="AA1081" i="12"/>
  <c r="AA260" i="12"/>
  <c r="AA1141" i="12"/>
  <c r="AA813" i="12"/>
  <c r="AA117" i="12"/>
  <c r="AA539" i="12"/>
  <c r="AA851" i="12"/>
  <c r="AA699" i="12"/>
  <c r="AA1271" i="12"/>
  <c r="AA1272" i="12"/>
  <c r="AA1380" i="12"/>
  <c r="AA57" i="12"/>
  <c r="AA87" i="12"/>
  <c r="AA108" i="12"/>
  <c r="AA226" i="12"/>
  <c r="AA1486" i="12"/>
  <c r="AA218" i="12"/>
  <c r="AA711" i="12"/>
  <c r="AA1164" i="12"/>
  <c r="AA1258" i="12"/>
  <c r="AA1026" i="12"/>
  <c r="AA1017" i="12"/>
  <c r="AA1016" i="12"/>
  <c r="AA1015" i="12"/>
  <c r="AA1014" i="12"/>
  <c r="AA1253" i="12"/>
  <c r="AA1252" i="12"/>
  <c r="AA1248" i="12"/>
  <c r="AA1241" i="12"/>
  <c r="AA1240" i="12"/>
  <c r="AA1232" i="12"/>
  <c r="AA1224" i="12"/>
  <c r="AA1109" i="12"/>
  <c r="V514" i="12"/>
  <c r="V743" i="12"/>
  <c r="V1414" i="12"/>
  <c r="V1353" i="12"/>
  <c r="V357" i="12"/>
  <c r="V9" i="12"/>
  <c r="V63" i="12"/>
  <c r="V197" i="12"/>
  <c r="V359" i="12"/>
  <c r="V152" i="12"/>
  <c r="V497" i="12"/>
  <c r="V532" i="12"/>
  <c r="V409" i="12"/>
  <c r="V73" i="12"/>
  <c r="V407" i="12"/>
  <c r="V1284" i="12"/>
  <c r="V1396" i="12"/>
  <c r="V590" i="12"/>
  <c r="V164" i="12"/>
  <c r="V154" i="12"/>
  <c r="Q619" i="12"/>
  <c r="Q392" i="12"/>
  <c r="Q438" i="12"/>
  <c r="Q1393" i="12"/>
  <c r="Q208" i="12"/>
  <c r="Q206" i="12"/>
  <c r="Q276" i="12"/>
  <c r="Q204" i="12"/>
  <c r="Q80" i="12"/>
  <c r="Q436" i="12"/>
  <c r="Q1497" i="12"/>
  <c r="Q296" i="12"/>
  <c r="Q21" i="12"/>
  <c r="Q244" i="12"/>
  <c r="Q1300" i="12"/>
  <c r="Q277" i="12"/>
  <c r="Q1301" i="12"/>
  <c r="Q618" i="12"/>
  <c r="Q242" i="12"/>
  <c r="Q201" i="12"/>
  <c r="Q911" i="12"/>
  <c r="Q1381" i="12"/>
  <c r="Q473" i="12"/>
  <c r="Q1320" i="12"/>
  <c r="Q281" i="12"/>
  <c r="Q279" i="12"/>
  <c r="Q280" i="12"/>
  <c r="Q282" i="12"/>
  <c r="Q433" i="12"/>
  <c r="Q1374" i="12"/>
  <c r="Q245" i="12"/>
  <c r="Q229" i="12"/>
  <c r="Q1372" i="12"/>
  <c r="Q946" i="12"/>
  <c r="Q1405" i="12"/>
  <c r="Q388" i="12"/>
  <c r="Q1170" i="12"/>
  <c r="Q1371" i="12"/>
  <c r="Q249" i="12"/>
  <c r="Q10" i="12"/>
  <c r="Q294" i="12"/>
  <c r="Q1386" i="12"/>
  <c r="Q1385" i="12"/>
  <c r="Q1230" i="12"/>
  <c r="Q1175" i="12"/>
  <c r="Q989" i="12"/>
  <c r="Q1491" i="12"/>
  <c r="Q991" i="12"/>
  <c r="Q250" i="12"/>
  <c r="Q1269" i="12"/>
  <c r="Q591" i="12"/>
  <c r="Q592" i="12"/>
  <c r="Q508" i="12"/>
  <c r="Q570" i="12"/>
  <c r="B477" i="12"/>
  <c r="A477" i="12"/>
  <c r="B449" i="12"/>
  <c r="A449" i="12"/>
  <c r="B217" i="12"/>
  <c r="A217" i="12"/>
  <c r="B394" i="12"/>
  <c r="A394" i="12"/>
  <c r="B1379" i="12"/>
  <c r="A1379" i="12"/>
  <c r="B1488" i="12"/>
  <c r="A1488" i="12"/>
  <c r="B589" i="12"/>
  <c r="A589" i="12"/>
  <c r="B615" i="12"/>
  <c r="A615" i="12"/>
  <c r="B689" i="12"/>
  <c r="A689" i="12"/>
  <c r="B163" i="12"/>
  <c r="A163" i="12"/>
  <c r="B312" i="12"/>
  <c r="A312" i="12"/>
  <c r="B432" i="12"/>
  <c r="A432" i="12"/>
  <c r="B190" i="12"/>
  <c r="A190" i="12"/>
  <c r="B457" i="12"/>
  <c r="A457" i="12"/>
  <c r="B564" i="12"/>
  <c r="A564" i="12"/>
  <c r="B1314" i="12"/>
  <c r="A1314" i="12"/>
  <c r="B1444" i="12"/>
  <c r="A1444" i="12"/>
  <c r="B252" i="12"/>
  <c r="A252" i="12"/>
  <c r="B461" i="12"/>
  <c r="A461" i="12"/>
  <c r="B931" i="12"/>
  <c r="A931" i="12"/>
  <c r="B212" i="12"/>
  <c r="A212" i="12"/>
  <c r="B767" i="12"/>
  <c r="A767" i="12"/>
  <c r="B364" i="12"/>
  <c r="A364" i="12"/>
  <c r="B1043" i="12"/>
  <c r="A1043" i="12"/>
  <c r="B551" i="12"/>
  <c r="A551" i="12"/>
  <c r="B1042" i="12"/>
  <c r="A1042" i="12"/>
  <c r="B1061" i="12"/>
  <c r="A1061" i="12"/>
  <c r="B587" i="12"/>
  <c r="A587" i="12"/>
  <c r="B825" i="12"/>
  <c r="A825" i="12"/>
  <c r="B1100" i="12"/>
  <c r="A1100" i="12"/>
  <c r="B171" i="12"/>
  <c r="A171" i="12"/>
  <c r="B568" i="12"/>
  <c r="A568" i="12"/>
  <c r="B324" i="12"/>
  <c r="A324" i="12"/>
  <c r="B548" i="12"/>
  <c r="A548" i="12"/>
  <c r="B898" i="12"/>
  <c r="A898" i="12"/>
  <c r="B396" i="12"/>
  <c r="A396" i="12"/>
  <c r="B122" i="12"/>
  <c r="A122" i="12"/>
  <c r="B557" i="12"/>
  <c r="A557" i="12"/>
  <c r="B582" i="12"/>
  <c r="A582" i="12"/>
  <c r="B876" i="12"/>
  <c r="A876" i="12"/>
  <c r="B766" i="12"/>
  <c r="A766" i="12"/>
  <c r="B1192" i="12"/>
  <c r="A1192" i="12"/>
  <c r="B878" i="12"/>
  <c r="A878" i="12"/>
  <c r="B1235" i="12"/>
  <c r="A1235" i="12"/>
  <c r="B788" i="12"/>
  <c r="A788" i="12"/>
  <c r="B611" i="12"/>
  <c r="A611" i="12"/>
  <c r="B106" i="12"/>
  <c r="A106" i="12"/>
  <c r="B625" i="12"/>
  <c r="A625" i="12"/>
  <c r="B366" i="12"/>
  <c r="A366" i="12"/>
  <c r="B1129" i="12"/>
  <c r="A1129" i="12"/>
  <c r="B1035" i="12"/>
  <c r="A1035" i="12"/>
  <c r="B1092" i="12"/>
  <c r="A1092" i="12"/>
  <c r="B752" i="12"/>
  <c r="A752" i="12"/>
  <c r="B131" i="12"/>
  <c r="A131" i="12"/>
  <c r="B913" i="12"/>
  <c r="A913" i="12"/>
  <c r="B616" i="12"/>
  <c r="A616" i="12"/>
  <c r="B791" i="12"/>
  <c r="A791" i="12"/>
  <c r="B1082" i="12"/>
  <c r="A1082" i="12"/>
  <c r="B1040" i="12"/>
  <c r="A1040" i="12"/>
  <c r="B815" i="12"/>
  <c r="A815" i="12"/>
  <c r="B14" i="12"/>
  <c r="A14" i="12"/>
  <c r="B127" i="12"/>
  <c r="A127" i="12"/>
  <c r="B315" i="12"/>
  <c r="A315" i="12"/>
  <c r="B402" i="12"/>
  <c r="A402" i="12"/>
  <c r="B1034" i="12"/>
  <c r="A1034" i="12"/>
  <c r="B1155" i="12"/>
  <c r="A1155" i="12"/>
  <c r="B1312" i="12"/>
  <c r="A1312" i="12"/>
  <c r="B1331" i="12"/>
  <c r="A1331" i="12"/>
  <c r="B1411" i="12"/>
  <c r="A1411" i="12"/>
  <c r="B1317" i="12"/>
  <c r="A1317" i="12"/>
  <c r="B1019" i="12"/>
  <c r="A1019" i="12"/>
  <c r="B15" i="12"/>
  <c r="A15" i="12"/>
  <c r="B192" i="12"/>
  <c r="A192" i="12"/>
  <c r="B1148" i="12"/>
  <c r="A1148" i="12"/>
  <c r="B1199" i="12"/>
  <c r="A1199" i="12"/>
  <c r="B1152" i="12"/>
  <c r="A1152" i="12"/>
  <c r="B710" i="12"/>
  <c r="A710" i="12"/>
  <c r="B928" i="12"/>
  <c r="A928" i="12"/>
  <c r="B268" i="12"/>
  <c r="A268" i="12"/>
  <c r="B1041" i="12"/>
  <c r="A1041" i="12"/>
  <c r="B1489" i="12"/>
  <c r="A1489" i="12"/>
  <c r="B1390" i="12"/>
  <c r="A1390" i="12"/>
  <c r="B1428" i="12"/>
  <c r="A1428" i="12"/>
  <c r="B1120" i="12"/>
  <c r="A1120" i="12"/>
  <c r="B562" i="12"/>
  <c r="A562" i="12"/>
  <c r="B980" i="12"/>
  <c r="A980" i="12"/>
  <c r="B453" i="12"/>
  <c r="A453" i="12"/>
  <c r="B487" i="12"/>
  <c r="A487" i="12"/>
  <c r="B448" i="12"/>
  <c r="A448" i="12"/>
  <c r="B1334" i="12"/>
  <c r="A1334" i="12"/>
  <c r="B165" i="12"/>
  <c r="A165" i="12"/>
  <c r="B1012" i="12"/>
  <c r="A1012" i="12"/>
  <c r="B1395" i="12"/>
  <c r="A1395" i="12"/>
  <c r="B1415" i="12"/>
  <c r="A1415" i="12"/>
  <c r="B314" i="12"/>
  <c r="A314" i="12"/>
  <c r="B1307" i="12"/>
  <c r="A1307" i="12"/>
  <c r="B290" i="12"/>
  <c r="A290" i="12"/>
  <c r="B1093" i="12"/>
  <c r="A1093" i="12"/>
  <c r="B1180" i="12"/>
  <c r="A1180" i="12"/>
  <c r="B1179" i="12"/>
  <c r="A1179" i="12"/>
  <c r="B189" i="12"/>
  <c r="A189" i="12"/>
  <c r="B729" i="12"/>
  <c r="A729" i="12"/>
  <c r="B932" i="12"/>
  <c r="A932" i="12"/>
  <c r="B547" i="12"/>
  <c r="A547" i="12"/>
  <c r="B1332" i="12"/>
  <c r="A1332" i="12"/>
  <c r="B972" i="12"/>
  <c r="A972" i="12"/>
  <c r="B101" i="12"/>
  <c r="A101" i="12"/>
  <c r="B361" i="12"/>
  <c r="A361" i="12"/>
  <c r="B16" i="12"/>
  <c r="A16" i="12"/>
  <c r="B1094" i="12"/>
  <c r="A1094" i="12"/>
  <c r="B207" i="12"/>
  <c r="A207" i="12"/>
  <c r="B191" i="12"/>
  <c r="A191" i="12"/>
  <c r="B25" i="12"/>
  <c r="A25" i="12"/>
  <c r="B38" i="12"/>
  <c r="A38" i="12"/>
  <c r="B91" i="12"/>
  <c r="A91" i="12"/>
  <c r="B460" i="12"/>
  <c r="A460" i="12"/>
  <c r="B113" i="12"/>
  <c r="A113" i="12"/>
  <c r="B1028" i="12"/>
  <c r="A1028" i="12"/>
  <c r="B1418" i="12"/>
  <c r="A1418" i="12"/>
  <c r="B1502" i="12"/>
  <c r="A1502" i="12"/>
  <c r="B472" i="12"/>
  <c r="A472" i="12"/>
  <c r="B1342" i="12"/>
  <c r="A1342" i="12"/>
  <c r="B1482" i="12"/>
  <c r="A1482" i="12"/>
  <c r="B480" i="12"/>
  <c r="A480" i="12"/>
  <c r="B522" i="12"/>
  <c r="A522" i="12"/>
  <c r="B411" i="12"/>
  <c r="A411" i="12"/>
  <c r="B1262" i="12"/>
  <c r="A1262" i="12"/>
  <c r="B1267" i="12"/>
  <c r="A1267" i="12"/>
  <c r="B181" i="12"/>
  <c r="A181" i="12"/>
  <c r="B1465" i="12"/>
  <c r="A1465" i="12"/>
  <c r="B428" i="12"/>
  <c r="A428" i="12"/>
  <c r="B810" i="12"/>
  <c r="A810" i="12"/>
  <c r="B732" i="12"/>
  <c r="A732" i="12"/>
  <c r="B978" i="12"/>
  <c r="A978" i="12"/>
  <c r="B735" i="12"/>
  <c r="A735" i="12"/>
  <c r="B162" i="12"/>
  <c r="A162" i="12"/>
  <c r="B880" i="12"/>
  <c r="A880" i="12"/>
  <c r="B782" i="12"/>
  <c r="A782" i="12"/>
  <c r="B1481" i="12"/>
  <c r="A1481" i="12"/>
  <c r="B579" i="12"/>
  <c r="A579" i="12"/>
  <c r="B797" i="12"/>
  <c r="A797" i="12"/>
  <c r="B111" i="12"/>
  <c r="A111" i="12"/>
  <c r="B962" i="12"/>
  <c r="A962" i="12"/>
  <c r="B1083" i="12"/>
  <c r="A1083" i="12"/>
  <c r="B1495" i="12"/>
  <c r="A1495" i="12"/>
  <c r="B960" i="12"/>
  <c r="A960" i="12"/>
  <c r="B864" i="12"/>
  <c r="A864" i="12"/>
  <c r="B1198" i="12"/>
  <c r="A1198" i="12"/>
  <c r="B764" i="12"/>
  <c r="A764" i="12"/>
  <c r="B565" i="12"/>
  <c r="A565" i="12"/>
  <c r="B897" i="12"/>
  <c r="A897" i="12"/>
  <c r="B558" i="12"/>
  <c r="A558" i="12"/>
  <c r="B1310" i="12"/>
  <c r="A1310" i="12"/>
  <c r="B1050" i="12"/>
  <c r="A1050" i="12"/>
  <c r="B68" i="12"/>
  <c r="A68" i="12"/>
  <c r="B1044" i="12"/>
  <c r="A1044" i="12"/>
  <c r="B824" i="12"/>
  <c r="A824" i="12"/>
  <c r="B4" i="12"/>
  <c r="A4" i="12"/>
  <c r="B30" i="12"/>
  <c r="A30" i="12"/>
  <c r="B1047" i="12"/>
  <c r="A1047" i="12"/>
  <c r="B614" i="12"/>
  <c r="A614" i="12"/>
  <c r="B681" i="12"/>
  <c r="A681" i="12"/>
  <c r="B1191" i="12"/>
  <c r="A1191" i="12"/>
  <c r="B1190" i="12"/>
  <c r="A1190" i="12"/>
  <c r="B1340" i="12"/>
  <c r="A1340" i="12"/>
  <c r="B873" i="12"/>
  <c r="A873" i="12"/>
  <c r="B504" i="12"/>
  <c r="A504" i="12"/>
  <c r="B787" i="12"/>
  <c r="A787" i="12"/>
  <c r="B328" i="12"/>
  <c r="A328" i="12"/>
  <c r="B780" i="12"/>
  <c r="A780" i="12"/>
  <c r="B444" i="12"/>
  <c r="A444" i="12"/>
  <c r="B423" i="12"/>
  <c r="A423" i="12"/>
  <c r="B178" i="12"/>
  <c r="A178" i="12"/>
  <c r="B362" i="12"/>
  <c r="A362" i="12"/>
  <c r="B499" i="12"/>
  <c r="A499" i="12"/>
  <c r="A514" i="12"/>
  <c r="B748" i="12"/>
  <c r="A748" i="12"/>
  <c r="B896" i="12"/>
  <c r="A896" i="12"/>
  <c r="B951" i="12"/>
  <c r="A951" i="12"/>
  <c r="B1070" i="12"/>
  <c r="A1070" i="12"/>
  <c r="B1089" i="12"/>
  <c r="A1089" i="12"/>
  <c r="B1113" i="12"/>
  <c r="A1113" i="12"/>
  <c r="B1132" i="12"/>
  <c r="A1132" i="12"/>
  <c r="B1136" i="12"/>
  <c r="A1136" i="12"/>
  <c r="B1174" i="12"/>
  <c r="A1174" i="12"/>
  <c r="B1202" i="12"/>
  <c r="A1202" i="12"/>
  <c r="B1257" i="12"/>
  <c r="A1257" i="12"/>
  <c r="B700" i="12"/>
  <c r="A700" i="12"/>
  <c r="B1389" i="12"/>
  <c r="A1389" i="12"/>
  <c r="B1359" i="12"/>
  <c r="A1359" i="12"/>
  <c r="B829" i="12"/>
  <c r="A829" i="12"/>
  <c r="B1302" i="12"/>
  <c r="A1302" i="12"/>
  <c r="B985" i="12"/>
  <c r="A985" i="12"/>
  <c r="B278" i="12"/>
  <c r="A278" i="12"/>
  <c r="B1285" i="12"/>
  <c r="A1285" i="12"/>
  <c r="B1392" i="12"/>
  <c r="A1392" i="12"/>
  <c r="B439" i="12"/>
  <c r="A439" i="12"/>
  <c r="B209" i="12"/>
  <c r="A209" i="12"/>
  <c r="B393" i="12"/>
  <c r="A393" i="12"/>
  <c r="B65" i="12"/>
  <c r="A65" i="12"/>
  <c r="B1098" i="12"/>
  <c r="A1098" i="12"/>
  <c r="B995" i="12"/>
  <c r="A995" i="12"/>
  <c r="B1345" i="12"/>
  <c r="A1345" i="12"/>
  <c r="B1247" i="12"/>
  <c r="A1247" i="12"/>
  <c r="B24" i="12"/>
  <c r="A24" i="12"/>
  <c r="B1145" i="12"/>
  <c r="A1145" i="12"/>
  <c r="B857" i="12"/>
  <c r="A857" i="12"/>
  <c r="B837" i="12"/>
  <c r="A837" i="12"/>
  <c r="B1239" i="12"/>
  <c r="A1239" i="12"/>
  <c r="B1090" i="12"/>
  <c r="A1090" i="12"/>
  <c r="B956" i="12"/>
  <c r="A956" i="12"/>
  <c r="B693" i="12"/>
  <c r="A693" i="12"/>
  <c r="B1171" i="12"/>
  <c r="A1171" i="12"/>
  <c r="B52" i="12"/>
  <c r="A52" i="12"/>
  <c r="B222" i="12"/>
  <c r="A222" i="12"/>
  <c r="B417" i="12"/>
  <c r="A417" i="12"/>
  <c r="B194" i="12"/>
  <c r="A194" i="12"/>
  <c r="B424" i="12"/>
  <c r="A424" i="12"/>
  <c r="B670" i="12"/>
  <c r="A670" i="12"/>
  <c r="B1391" i="12"/>
  <c r="A1391" i="12"/>
  <c r="A630" i="12"/>
  <c r="B1097" i="12"/>
  <c r="A1097" i="12"/>
  <c r="B977" i="12"/>
  <c r="A977" i="12"/>
  <c r="B854" i="12"/>
  <c r="A854" i="12"/>
  <c r="B651" i="12"/>
  <c r="A651" i="12"/>
  <c r="B1150" i="12"/>
  <c r="A1150" i="12"/>
  <c r="B736" i="12"/>
  <c r="A736" i="12"/>
  <c r="B43" i="12"/>
  <c r="A43" i="12"/>
  <c r="B769" i="12"/>
  <c r="A769" i="12"/>
  <c r="B1231" i="12"/>
  <c r="A1231" i="12"/>
  <c r="B1114" i="12"/>
  <c r="A1114" i="12"/>
  <c r="B610" i="12"/>
  <c r="A610" i="12"/>
  <c r="B605" i="12"/>
  <c r="A605" i="12"/>
  <c r="B663" i="12"/>
  <c r="A663" i="12"/>
  <c r="B860" i="12"/>
  <c r="A860" i="12"/>
  <c r="B656" i="12"/>
  <c r="A656" i="12"/>
  <c r="B649" i="12"/>
  <c r="A649" i="12"/>
  <c r="B19" i="12"/>
  <c r="A19" i="12"/>
  <c r="B1064" i="12"/>
  <c r="A1064" i="12"/>
  <c r="B185" i="12"/>
  <c r="A185" i="12"/>
  <c r="A743" i="12"/>
  <c r="B26" i="12"/>
  <c r="A26" i="12"/>
  <c r="B1363" i="12"/>
  <c r="A1363" i="12"/>
  <c r="B645" i="12"/>
  <c r="A645" i="12"/>
  <c r="B655" i="12"/>
  <c r="A655" i="12"/>
  <c r="B642" i="12"/>
  <c r="A642" i="12"/>
  <c r="B186" i="12"/>
  <c r="A186" i="12"/>
  <c r="B757" i="12"/>
  <c r="A757" i="12"/>
  <c r="B685" i="12"/>
  <c r="A685" i="12"/>
  <c r="B1387" i="12"/>
  <c r="A1387" i="12"/>
  <c r="B1189" i="12"/>
  <c r="A1189" i="12"/>
  <c r="B933" i="12"/>
  <c r="A933" i="12"/>
  <c r="B644" i="12"/>
  <c r="A644" i="12"/>
  <c r="B1088" i="12"/>
  <c r="A1088" i="12"/>
  <c r="B1186" i="12"/>
  <c r="A1186" i="12"/>
  <c r="B1378" i="12"/>
  <c r="A1378" i="12"/>
  <c r="B629" i="12"/>
  <c r="A629" i="12"/>
  <c r="B458" i="12"/>
  <c r="A458" i="12"/>
  <c r="B758" i="12"/>
  <c r="A758" i="12"/>
  <c r="B403" i="12"/>
  <c r="A403" i="12"/>
  <c r="B751" i="12"/>
  <c r="A751" i="12"/>
  <c r="B654" i="12"/>
  <c r="A654" i="12"/>
  <c r="B768" i="12"/>
  <c r="A768" i="12"/>
  <c r="B965" i="12"/>
  <c r="A965" i="12"/>
  <c r="B247" i="12"/>
  <c r="A247" i="12"/>
  <c r="B961" i="12"/>
  <c r="A961" i="12"/>
  <c r="B489" i="12"/>
  <c r="A489" i="12"/>
  <c r="B256" i="12"/>
  <c r="A256" i="12"/>
  <c r="B527" i="12"/>
  <c r="A527" i="12"/>
  <c r="B822" i="12"/>
  <c r="A822" i="12"/>
  <c r="B922" i="12"/>
  <c r="A922" i="12"/>
  <c r="B808" i="12"/>
  <c r="A808" i="12"/>
  <c r="B834" i="12"/>
  <c r="A834" i="12"/>
  <c r="B195" i="12"/>
  <c r="A195" i="12"/>
  <c r="B739" i="12"/>
  <c r="A739" i="12"/>
  <c r="B742" i="12"/>
  <c r="A742" i="12"/>
  <c r="B567" i="12"/>
  <c r="A567" i="12"/>
  <c r="B719" i="12"/>
  <c r="A719" i="12"/>
  <c r="B678" i="12"/>
  <c r="A678" i="12"/>
  <c r="B712" i="12"/>
  <c r="A712" i="12"/>
  <c r="B404" i="12"/>
  <c r="A404" i="12"/>
  <c r="B345" i="12"/>
  <c r="A345" i="12"/>
  <c r="B906" i="12"/>
  <c r="A906" i="12"/>
  <c r="B636" i="12"/>
  <c r="A636" i="12"/>
  <c r="B112" i="12"/>
  <c r="A112" i="12"/>
  <c r="B126" i="12"/>
  <c r="A126" i="12"/>
  <c r="B778" i="12"/>
  <c r="A778" i="12"/>
  <c r="B81" i="12"/>
  <c r="A81" i="12"/>
  <c r="B205" i="12"/>
  <c r="A205" i="12"/>
  <c r="B1373" i="12"/>
  <c r="A1373" i="12"/>
  <c r="B826" i="12"/>
  <c r="A826" i="12"/>
  <c r="B1356" i="12"/>
  <c r="A1356" i="12"/>
  <c r="B225" i="12"/>
  <c r="A225" i="12"/>
  <c r="B155" i="12"/>
  <c r="B246" i="12"/>
  <c r="A246" i="12"/>
  <c r="B284" i="12"/>
  <c r="A284" i="12"/>
  <c r="B320" i="12"/>
  <c r="A320" i="12"/>
  <c r="A1414" i="12"/>
  <c r="B313" i="12"/>
  <c r="A313" i="12"/>
  <c r="B1204" i="12"/>
  <c r="A1204" i="12"/>
  <c r="A1353" i="12"/>
  <c r="B441" i="12"/>
  <c r="A441" i="12"/>
  <c r="A357" i="12"/>
  <c r="B1222" i="12"/>
  <c r="A1222" i="12"/>
  <c r="B1201" i="12"/>
  <c r="A1201" i="12"/>
  <c r="B1200" i="12"/>
  <c r="A1200" i="12"/>
  <c r="B1188" i="12"/>
  <c r="A1188" i="12"/>
  <c r="B1187" i="12"/>
  <c r="A1187" i="12"/>
  <c r="B1184" i="12"/>
  <c r="A1184" i="12"/>
  <c r="B1178" i="12"/>
  <c r="A1178" i="12"/>
  <c r="B1177" i="12"/>
  <c r="A1177" i="12"/>
  <c r="B1176" i="12"/>
  <c r="A1176" i="12"/>
  <c r="B1172" i="12"/>
  <c r="A1172" i="12"/>
  <c r="B1169" i="12"/>
  <c r="A1169" i="12"/>
  <c r="B1167" i="12"/>
  <c r="A1167" i="12"/>
  <c r="B1165" i="12"/>
  <c r="A1165" i="12"/>
  <c r="B1162" i="12"/>
  <c r="A1162" i="12"/>
  <c r="B1161" i="12"/>
  <c r="A1161" i="12"/>
  <c r="B1160" i="12"/>
  <c r="A1160" i="12"/>
  <c r="B1159" i="12"/>
  <c r="A1159" i="12"/>
  <c r="B1156" i="12"/>
  <c r="A1156" i="12"/>
  <c r="B1153" i="12"/>
  <c r="A1153" i="12"/>
  <c r="B1147" i="12"/>
  <c r="A1147" i="12"/>
  <c r="B1450" i="12"/>
  <c r="A1450" i="12"/>
  <c r="B652" i="12"/>
  <c r="A652" i="12"/>
  <c r="B831" i="12"/>
  <c r="A831" i="12"/>
  <c r="B1140" i="12"/>
  <c r="A1140" i="12"/>
  <c r="B1063" i="12"/>
  <c r="A1063" i="12"/>
  <c r="B1369" i="12"/>
  <c r="A1369" i="12"/>
  <c r="B674" i="12"/>
  <c r="A674" i="12"/>
  <c r="B683" i="12"/>
  <c r="A683" i="12"/>
  <c r="B865" i="12"/>
  <c r="A865" i="12"/>
  <c r="B737" i="12"/>
  <c r="A737" i="12"/>
  <c r="B180" i="12"/>
  <c r="A180" i="12"/>
  <c r="B904" i="12"/>
  <c r="A904" i="12"/>
  <c r="B118" i="12"/>
  <c r="A118" i="12"/>
  <c r="B198" i="12"/>
  <c r="A198" i="12"/>
  <c r="B838" i="12"/>
  <c r="A838" i="12"/>
  <c r="B798" i="12"/>
  <c r="A798" i="12"/>
  <c r="B251" i="12"/>
  <c r="A251" i="12"/>
  <c r="B182" i="12"/>
  <c r="A182" i="12"/>
  <c r="B248" i="12"/>
  <c r="A248" i="12"/>
  <c r="B1011" i="12"/>
  <c r="A1011" i="12"/>
  <c r="B929" i="12"/>
  <c r="A929" i="12"/>
  <c r="B1234" i="12"/>
  <c r="A1234" i="12"/>
  <c r="B310" i="12"/>
  <c r="A310" i="12"/>
  <c r="B1315" i="12"/>
  <c r="A1315" i="12"/>
  <c r="B919" i="12"/>
  <c r="A919" i="12"/>
  <c r="B1296" i="12"/>
  <c r="A1296" i="12"/>
  <c r="B372" i="12"/>
  <c r="A372" i="12"/>
  <c r="B141" i="12"/>
  <c r="A141" i="12"/>
  <c r="B41" i="12"/>
  <c r="A41" i="12"/>
  <c r="B2" i="12"/>
  <c r="A2" i="12"/>
  <c r="B1347" i="12"/>
  <c r="A1347" i="12"/>
  <c r="B161" i="12"/>
  <c r="A161" i="12"/>
  <c r="B1346" i="12"/>
  <c r="A1346" i="12"/>
  <c r="B90" i="12"/>
  <c r="A90" i="12"/>
  <c r="B569" i="12"/>
  <c r="A569" i="12"/>
  <c r="B383" i="12"/>
  <c r="A383" i="12"/>
  <c r="B595" i="12"/>
  <c r="A595" i="12"/>
  <c r="B263" i="12"/>
  <c r="A263" i="12"/>
  <c r="B1305" i="12"/>
  <c r="A1305" i="12"/>
  <c r="B1448" i="12"/>
  <c r="A1448" i="12"/>
  <c r="B974" i="12"/>
  <c r="A974" i="12"/>
  <c r="B581" i="12"/>
  <c r="A581" i="12"/>
  <c r="B741" i="12"/>
  <c r="A741" i="12"/>
  <c r="B1154" i="12"/>
  <c r="A1154" i="12"/>
  <c r="B1045" i="12"/>
  <c r="A1045" i="12"/>
  <c r="B981" i="12"/>
  <c r="A981" i="12"/>
  <c r="B918" i="12"/>
  <c r="A918" i="12"/>
  <c r="B1038" i="12"/>
  <c r="A1038" i="12"/>
  <c r="B705" i="12"/>
  <c r="A705" i="12"/>
  <c r="B1095" i="12"/>
  <c r="A1095" i="12"/>
  <c r="B1087" i="12"/>
  <c r="A1087" i="12"/>
  <c r="B1075" i="12"/>
  <c r="A1075" i="12"/>
  <c r="B220" i="12"/>
  <c r="A220" i="12"/>
  <c r="B469" i="12"/>
  <c r="A469" i="12"/>
  <c r="B841" i="12"/>
  <c r="A841" i="12"/>
  <c r="B468" i="12"/>
  <c r="A468" i="12"/>
  <c r="B633" i="12"/>
  <c r="A633" i="12"/>
  <c r="B45" i="12"/>
  <c r="A45" i="12"/>
  <c r="B421" i="12"/>
  <c r="A421" i="12"/>
  <c r="B979" i="12"/>
  <c r="A979" i="12"/>
  <c r="B422" i="12"/>
  <c r="A422" i="12"/>
  <c r="B718" i="12"/>
  <c r="A718" i="12"/>
  <c r="B692" i="12"/>
  <c r="A692" i="12"/>
  <c r="B382" i="12"/>
  <c r="A382" i="12"/>
  <c r="B694" i="12"/>
  <c r="A694" i="12"/>
  <c r="B1096" i="12"/>
  <c r="A1096" i="12"/>
  <c r="B1037" i="12"/>
  <c r="B1052" i="12"/>
  <c r="A1052" i="12"/>
  <c r="B454" i="12"/>
  <c r="A454" i="12"/>
  <c r="B1311" i="12"/>
  <c r="A1311" i="12"/>
  <c r="B1133" i="12"/>
  <c r="A1133" i="12"/>
  <c r="B371" i="12"/>
  <c r="A371" i="12"/>
  <c r="A9" i="12"/>
  <c r="B5" i="12"/>
  <c r="A5" i="12"/>
  <c r="B102" i="12"/>
  <c r="A102" i="12"/>
  <c r="B1249" i="12"/>
  <c r="A1249" i="12"/>
  <c r="B321" i="12"/>
  <c r="A321" i="12"/>
  <c r="B720" i="12"/>
  <c r="A720" i="12"/>
  <c r="B952" i="12"/>
  <c r="A952" i="12"/>
  <c r="B887" i="12"/>
  <c r="A887" i="12"/>
  <c r="B1020" i="12"/>
  <c r="A1020" i="12"/>
  <c r="B484" i="12"/>
  <c r="A484" i="12"/>
  <c r="B431" i="12"/>
  <c r="A431" i="12"/>
  <c r="B664" i="12"/>
  <c r="A664" i="12"/>
  <c r="B28" i="12"/>
  <c r="A28" i="12"/>
  <c r="B561" i="12"/>
  <c r="A561" i="12"/>
  <c r="B139" i="12"/>
  <c r="A139" i="12"/>
  <c r="B60" i="12"/>
  <c r="A60" i="12"/>
  <c r="B289" i="12"/>
  <c r="A289" i="12"/>
  <c r="B385" i="12"/>
  <c r="A385" i="12"/>
  <c r="B509" i="12"/>
  <c r="A509" i="12"/>
  <c r="B967" i="12"/>
  <c r="A967" i="12"/>
  <c r="B471" i="12"/>
  <c r="A471" i="12"/>
  <c r="B490" i="12"/>
  <c r="A490" i="12"/>
  <c r="B577" i="12"/>
  <c r="A577" i="12"/>
  <c r="B170" i="12"/>
  <c r="A170" i="12"/>
  <c r="B82" i="12"/>
  <c r="A82" i="12"/>
  <c r="B874" i="12"/>
  <c r="A874" i="12"/>
  <c r="B529" i="12"/>
  <c r="A529" i="12"/>
  <c r="B1018" i="12"/>
  <c r="A1018" i="12"/>
  <c r="B706" i="12"/>
  <c r="A706" i="12"/>
  <c r="B96" i="12"/>
  <c r="A96" i="12"/>
  <c r="B523" i="12"/>
  <c r="A523" i="12"/>
  <c r="B992" i="12"/>
  <c r="A992" i="12"/>
  <c r="B130" i="12"/>
  <c r="A130" i="12"/>
  <c r="B66" i="12"/>
  <c r="A66" i="12"/>
  <c r="B1073" i="12"/>
  <c r="A1073" i="12"/>
  <c r="B1068" i="12"/>
  <c r="A1068" i="12"/>
  <c r="B1060" i="12"/>
  <c r="A1060" i="12"/>
  <c r="B1058" i="12"/>
  <c r="A1058" i="12"/>
  <c r="B1030" i="12"/>
  <c r="A1030" i="12"/>
  <c r="B993" i="12"/>
  <c r="A993" i="12"/>
  <c r="B957" i="12"/>
  <c r="A957" i="12"/>
  <c r="B940" i="12"/>
  <c r="A940" i="12"/>
  <c r="B912" i="12"/>
  <c r="A912" i="12"/>
  <c r="B909" i="12"/>
  <c r="A909" i="12"/>
  <c r="B905" i="12"/>
  <c r="A905" i="12"/>
  <c r="B890" i="12"/>
  <c r="A890" i="12"/>
  <c r="B889" i="12"/>
  <c r="A889" i="12"/>
  <c r="B882" i="12"/>
  <c r="A882" i="12"/>
  <c r="B847" i="12"/>
  <c r="A847" i="12"/>
  <c r="B1229" i="12"/>
  <c r="A1229" i="12"/>
  <c r="B845" i="12"/>
  <c r="A845" i="12"/>
  <c r="B799" i="12"/>
  <c r="A799" i="12"/>
  <c r="B796" i="12"/>
  <c r="A796" i="12"/>
  <c r="B772" i="12"/>
  <c r="A772" i="12"/>
  <c r="B763" i="12"/>
  <c r="A763" i="12"/>
  <c r="B750" i="12"/>
  <c r="A750" i="12"/>
  <c r="B695" i="12"/>
  <c r="A695" i="12"/>
  <c r="B613" i="12"/>
  <c r="A613" i="12"/>
  <c r="B227" i="12"/>
  <c r="A227" i="12"/>
  <c r="B774" i="12"/>
  <c r="A774" i="12"/>
  <c r="B1118" i="12"/>
  <c r="A1118" i="12"/>
  <c r="B1408" i="12"/>
  <c r="A1408" i="12"/>
  <c r="B1410" i="12"/>
  <c r="B1409" i="12"/>
  <c r="B1010" i="12"/>
  <c r="B1406" i="12"/>
  <c r="B1407" i="12"/>
  <c r="B434" i="12"/>
  <c r="A434" i="12"/>
  <c r="B546" i="12"/>
  <c r="A546" i="12"/>
  <c r="B1401" i="12"/>
  <c r="A1401" i="12"/>
  <c r="B545" i="12"/>
  <c r="B1134" i="12"/>
  <c r="A1134" i="12"/>
  <c r="B1130" i="12"/>
  <c r="A1130" i="12"/>
  <c r="B1125" i="12"/>
  <c r="A1125" i="12"/>
  <c r="B1123" i="12"/>
  <c r="A1123" i="12"/>
  <c r="B1121" i="12"/>
  <c r="A1121" i="12"/>
  <c r="B1103" i="12"/>
  <c r="A1103" i="12"/>
  <c r="B555" i="12"/>
  <c r="A555" i="12"/>
  <c r="B88" i="12"/>
  <c r="A88" i="12"/>
  <c r="B93" i="12"/>
  <c r="A93" i="12"/>
  <c r="B988" i="12"/>
  <c r="A988" i="12"/>
  <c r="B1024" i="12"/>
  <c r="A1024" i="12"/>
  <c r="B609" i="12"/>
  <c r="A609" i="12"/>
  <c r="B356" i="12"/>
  <c r="A356" i="12"/>
  <c r="B519" i="12"/>
  <c r="A519" i="12"/>
  <c r="B7" i="12"/>
  <c r="A7" i="12"/>
  <c r="B6" i="12"/>
  <c r="A6" i="12"/>
  <c r="B231" i="12"/>
  <c r="A231" i="12"/>
  <c r="B230" i="12"/>
  <c r="A230" i="12"/>
  <c r="B1351" i="12"/>
  <c r="A1351" i="12"/>
  <c r="B1119" i="12"/>
  <c r="A1119" i="12"/>
  <c r="B200" i="12"/>
  <c r="A200" i="12"/>
  <c r="B1376" i="12"/>
  <c r="A1376" i="12"/>
  <c r="B309" i="12"/>
  <c r="A309" i="12"/>
  <c r="B916" i="12"/>
  <c r="A916" i="12"/>
  <c r="A63" i="12"/>
  <c r="A197" i="12"/>
  <c r="B910" i="12"/>
  <c r="A910" i="12"/>
  <c r="B408" i="12"/>
  <c r="A408" i="12"/>
  <c r="A359" i="12"/>
  <c r="A152" i="12"/>
  <c r="B1427" i="12"/>
  <c r="A1427" i="12"/>
  <c r="B1384" i="12"/>
  <c r="A1384" i="12"/>
  <c r="B1383" i="12"/>
  <c r="A1383" i="12"/>
  <c r="B1382" i="12"/>
  <c r="A1382" i="12"/>
  <c r="B1361" i="12"/>
  <c r="A1361" i="12"/>
  <c r="B1226" i="12"/>
  <c r="A1226" i="12"/>
  <c r="B1221" i="12"/>
  <c r="A1221" i="12"/>
  <c r="B1220" i="12"/>
  <c r="A1220" i="12"/>
  <c r="B1104" i="12"/>
  <c r="A1104" i="12"/>
  <c r="B1370" i="12"/>
  <c r="A1370" i="12"/>
  <c r="B76" i="12"/>
  <c r="A76" i="12"/>
  <c r="B1329" i="12"/>
  <c r="A1329" i="12"/>
  <c r="B675" i="12"/>
  <c r="A675" i="12"/>
  <c r="B1185" i="12"/>
  <c r="A1185" i="12"/>
  <c r="B1181" i="12"/>
  <c r="A1181" i="12"/>
  <c r="B835" i="12"/>
  <c r="A835" i="12"/>
  <c r="B202" i="12"/>
  <c r="A202" i="12"/>
  <c r="B228" i="12"/>
  <c r="A228" i="12"/>
  <c r="B1077" i="12"/>
  <c r="A1077" i="12"/>
  <c r="B144" i="12"/>
  <c r="A144" i="12"/>
  <c r="B1403" i="12"/>
  <c r="A1403" i="12"/>
  <c r="B199" i="12"/>
  <c r="A199" i="12"/>
  <c r="B13" i="12"/>
  <c r="A13" i="12"/>
  <c r="B1051" i="12"/>
  <c r="A1051" i="12"/>
  <c r="B724" i="12"/>
  <c r="A724" i="12"/>
  <c r="B534" i="12"/>
  <c r="A534" i="12"/>
  <c r="B520" i="12"/>
  <c r="A520" i="12"/>
  <c r="B515" i="12"/>
  <c r="A515" i="12"/>
  <c r="B447" i="12"/>
  <c r="A447" i="12"/>
  <c r="B500" i="12"/>
  <c r="A500" i="12"/>
  <c r="B843" i="12"/>
  <c r="A843" i="12"/>
  <c r="B179" i="12"/>
  <c r="A179" i="12"/>
  <c r="B553" i="12"/>
  <c r="A553" i="12"/>
  <c r="B370" i="12"/>
  <c r="A370" i="12"/>
  <c r="B866" i="12"/>
  <c r="A866" i="12"/>
  <c r="B870" i="12"/>
  <c r="A870" i="12"/>
  <c r="B193" i="12"/>
  <c r="A193" i="12"/>
  <c r="B792" i="12"/>
  <c r="A792" i="12"/>
  <c r="B467" i="12"/>
  <c r="A467" i="12"/>
  <c r="B939" i="12"/>
  <c r="A939" i="12"/>
  <c r="B176" i="12"/>
  <c r="A176" i="12"/>
  <c r="B696" i="12"/>
  <c r="A696" i="12"/>
  <c r="B958" i="12"/>
  <c r="A958" i="12"/>
  <c r="B120" i="12"/>
  <c r="A120" i="12"/>
  <c r="B749" i="12"/>
  <c r="A749" i="12"/>
  <c r="B1033" i="12"/>
  <c r="A1033" i="12"/>
  <c r="B1195" i="12"/>
  <c r="A1195" i="12"/>
  <c r="B374" i="12"/>
  <c r="A374" i="12"/>
  <c r="B726" i="12"/>
  <c r="A726" i="12"/>
  <c r="B1197" i="12"/>
  <c r="A1197" i="12"/>
  <c r="B760" i="12"/>
  <c r="A760" i="12"/>
  <c r="B1062" i="12"/>
  <c r="A1062" i="12"/>
  <c r="B1245" i="12"/>
  <c r="A1245" i="12"/>
  <c r="B970" i="12"/>
  <c r="A970" i="12"/>
  <c r="B18" i="12"/>
  <c r="A18" i="12"/>
  <c r="B1250" i="12"/>
  <c r="A1250" i="12"/>
  <c r="B934" i="12"/>
  <c r="A934" i="12"/>
  <c r="B140" i="12"/>
  <c r="A140" i="12"/>
  <c r="B386" i="12"/>
  <c r="A386" i="12"/>
  <c r="B1078" i="12"/>
  <c r="A1078" i="12"/>
  <c r="B1433" i="12"/>
  <c r="A1433" i="12"/>
  <c r="B862" i="12"/>
  <c r="A862" i="12"/>
  <c r="B293" i="12"/>
  <c r="A293" i="12"/>
  <c r="B1166" i="12"/>
  <c r="A1166" i="12"/>
  <c r="B602" i="12"/>
  <c r="A602" i="12"/>
  <c r="B445" i="12"/>
  <c r="A445" i="12"/>
  <c r="B124" i="12"/>
  <c r="A124" i="12"/>
  <c r="B110" i="12"/>
  <c r="A110" i="12"/>
  <c r="B1462" i="12"/>
  <c r="A1462" i="12"/>
  <c r="B1445" i="12"/>
  <c r="A1445" i="12"/>
  <c r="B1423" i="12"/>
  <c r="A1423" i="12"/>
  <c r="B1367" i="12"/>
  <c r="A1367" i="12"/>
  <c r="B786" i="12"/>
  <c r="A786" i="12"/>
  <c r="B1365" i="12"/>
  <c r="A1365" i="12"/>
  <c r="B338" i="12"/>
  <c r="A338" i="12"/>
  <c r="B1278" i="12"/>
  <c r="A1278" i="12"/>
  <c r="B1362" i="12"/>
  <c r="A1362" i="12"/>
  <c r="B34" i="12"/>
  <c r="A34" i="12"/>
  <c r="B671" i="12"/>
  <c r="A671" i="12"/>
  <c r="B1323" i="12"/>
  <c r="A1323" i="12"/>
  <c r="B1343" i="12"/>
  <c r="A1343" i="12"/>
  <c r="B258" i="12"/>
  <c r="A258" i="12"/>
  <c r="B620" i="12"/>
  <c r="A620" i="12"/>
  <c r="B306" i="12"/>
  <c r="A306" i="12"/>
  <c r="B323" i="12"/>
  <c r="A323" i="12"/>
  <c r="B311" i="12"/>
  <c r="A311" i="12"/>
  <c r="B355" i="12"/>
  <c r="A355" i="12"/>
  <c r="B243" i="12"/>
  <c r="A243" i="12"/>
  <c r="B606" i="12"/>
  <c r="A606" i="12"/>
  <c r="B363" i="12"/>
  <c r="A363" i="12"/>
  <c r="B583" i="12"/>
  <c r="A583" i="12"/>
  <c r="B580" i="12"/>
  <c r="A580" i="12"/>
  <c r="B816" i="12"/>
  <c r="A816" i="12"/>
  <c r="B926" i="12"/>
  <c r="A926" i="12"/>
  <c r="B1138" i="12"/>
  <c r="A1138" i="12"/>
  <c r="B1434" i="12"/>
  <c r="A1434" i="12"/>
  <c r="B875" i="12"/>
  <c r="A875" i="12"/>
  <c r="B596" i="12"/>
  <c r="A596" i="12"/>
  <c r="B1467" i="12"/>
  <c r="A1467" i="12"/>
  <c r="B266" i="12"/>
  <c r="A266" i="12"/>
  <c r="B1426" i="12"/>
  <c r="A1426" i="12"/>
  <c r="B525" i="12"/>
  <c r="A525" i="12"/>
  <c r="B677" i="12"/>
  <c r="A677" i="12"/>
  <c r="B51" i="12"/>
  <c r="A51" i="12"/>
  <c r="B572" i="12"/>
  <c r="A572" i="12"/>
  <c r="B78" i="12"/>
  <c r="A78" i="12"/>
  <c r="B275" i="12"/>
  <c r="A275" i="12"/>
  <c r="B39" i="12"/>
  <c r="A39" i="12"/>
  <c r="B47" i="12"/>
  <c r="A47" i="12"/>
  <c r="B221" i="12"/>
  <c r="A221" i="12"/>
  <c r="B714" i="12"/>
  <c r="A714" i="12"/>
  <c r="B1368" i="12"/>
  <c r="A1368" i="12"/>
  <c r="B646" i="12"/>
  <c r="A646" i="12"/>
  <c r="B1277" i="12"/>
  <c r="A1277" i="12"/>
  <c r="B1216" i="12"/>
  <c r="A1216" i="12"/>
  <c r="B1215" i="12"/>
  <c r="B1214" i="12"/>
  <c r="B1213" i="12"/>
  <c r="B1212" i="12"/>
  <c r="B1211" i="12"/>
  <c r="B1210" i="12"/>
  <c r="B1209" i="12"/>
  <c r="B1208" i="12"/>
  <c r="B1207" i="12"/>
  <c r="A1207" i="12"/>
  <c r="B1316" i="12"/>
  <c r="A1316" i="12"/>
  <c r="B318" i="12"/>
  <c r="A318" i="12"/>
  <c r="B559" i="12"/>
  <c r="A559" i="12"/>
  <c r="B485" i="12"/>
  <c r="A485" i="12"/>
  <c r="B903" i="12"/>
  <c r="A903" i="12"/>
  <c r="B832" i="12"/>
  <c r="A832" i="12"/>
  <c r="B100" i="12"/>
  <c r="A100" i="12"/>
  <c r="B375" i="12"/>
  <c r="A375" i="12"/>
  <c r="B820" i="12"/>
  <c r="A820" i="12"/>
  <c r="B129" i="12"/>
  <c r="A129" i="12"/>
  <c r="B944" i="12"/>
  <c r="A944" i="12"/>
  <c r="B603" i="12"/>
  <c r="A603" i="12"/>
  <c r="B283" i="12"/>
  <c r="A283" i="12"/>
  <c r="B430" i="12"/>
  <c r="A430" i="12"/>
  <c r="B455" i="12"/>
  <c r="A455" i="12"/>
  <c r="B83" i="12"/>
  <c r="A83" i="12"/>
  <c r="B273" i="12"/>
  <c r="A273" i="12"/>
  <c r="B167" i="12"/>
  <c r="A167" i="12"/>
  <c r="B1086" i="12"/>
  <c r="A1086" i="12"/>
  <c r="B814" i="12"/>
  <c r="A814" i="12"/>
  <c r="B166" i="12"/>
  <c r="A166" i="12"/>
  <c r="B612" i="12"/>
  <c r="A612" i="12"/>
  <c r="B452" i="12"/>
  <c r="A452" i="12"/>
  <c r="B128" i="12"/>
  <c r="A128" i="12"/>
  <c r="B789" i="12"/>
  <c r="A789" i="12"/>
  <c r="B265" i="12"/>
  <c r="A265" i="12"/>
  <c r="B818" i="12"/>
  <c r="A818" i="12"/>
  <c r="B395" i="12"/>
  <c r="A395" i="12"/>
  <c r="B272" i="12"/>
  <c r="A272" i="12"/>
  <c r="B137" i="12"/>
  <c r="A137" i="12"/>
  <c r="B299" i="12"/>
  <c r="A299" i="12"/>
  <c r="B976" i="12"/>
  <c r="A976" i="12"/>
  <c r="B901" i="12"/>
  <c r="A901" i="12"/>
  <c r="B115" i="12"/>
  <c r="A115" i="12"/>
  <c r="B550" i="12"/>
  <c r="A550" i="12"/>
  <c r="B536" i="12"/>
  <c r="A536" i="12"/>
  <c r="B528" i="12"/>
  <c r="A528" i="12"/>
  <c r="B512" i="12"/>
  <c r="A512" i="12"/>
  <c r="B502" i="12"/>
  <c r="A502" i="12"/>
  <c r="B479" i="12"/>
  <c r="A479" i="12"/>
  <c r="B474" i="12"/>
  <c r="A474" i="12"/>
  <c r="B427" i="12"/>
  <c r="A427" i="12"/>
  <c r="B419" i="12"/>
  <c r="A419" i="12"/>
  <c r="B416" i="12"/>
  <c r="A416" i="12"/>
  <c r="B381" i="12"/>
  <c r="A381" i="12"/>
  <c r="B332" i="12"/>
  <c r="A332" i="12"/>
  <c r="B317" i="12"/>
  <c r="A317" i="12"/>
  <c r="B292" i="12"/>
  <c r="A292" i="12"/>
  <c r="B255" i="12"/>
  <c r="A255" i="12"/>
  <c r="B219" i="12"/>
  <c r="A219" i="12"/>
  <c r="B214" i="12"/>
  <c r="A214" i="12"/>
  <c r="B188" i="12"/>
  <c r="A188" i="12"/>
  <c r="B158" i="12"/>
  <c r="A158" i="12"/>
  <c r="B125" i="12"/>
  <c r="A125" i="12"/>
  <c r="B123" i="12"/>
  <c r="A123" i="12"/>
  <c r="B75" i="12"/>
  <c r="A75" i="12"/>
  <c r="B594" i="12"/>
  <c r="A594" i="12"/>
  <c r="B151" i="12"/>
  <c r="A151" i="12"/>
  <c r="B150" i="12"/>
  <c r="A150" i="12"/>
  <c r="B149" i="12"/>
  <c r="A149" i="12"/>
  <c r="B1206" i="12"/>
  <c r="B1205" i="12"/>
  <c r="A1205" i="12"/>
  <c r="B240" i="12"/>
  <c r="A240" i="12"/>
  <c r="B241" i="12"/>
  <c r="A241" i="12"/>
  <c r="B1358" i="12"/>
  <c r="B496" i="12"/>
  <c r="A496" i="12"/>
  <c r="B495" i="12"/>
  <c r="A495" i="12"/>
  <c r="B494" i="12"/>
  <c r="A494" i="12"/>
  <c r="B493" i="12"/>
  <c r="A493" i="12"/>
  <c r="A497" i="12"/>
  <c r="B1074" i="12"/>
  <c r="A1074" i="12"/>
  <c r="B765" i="12"/>
  <c r="A765" i="12"/>
  <c r="B754" i="12"/>
  <c r="A754" i="12"/>
  <c r="B297" i="12"/>
  <c r="A297" i="12"/>
  <c r="B29" i="12"/>
  <c r="A29" i="12"/>
  <c r="B1079" i="12"/>
  <c r="A1079" i="12"/>
  <c r="B387" i="12"/>
  <c r="A387" i="12"/>
  <c r="B159" i="12"/>
  <c r="A159" i="12"/>
  <c r="B119" i="12"/>
  <c r="A119" i="12"/>
  <c r="B900" i="12"/>
  <c r="A900" i="12"/>
  <c r="B1400" i="12"/>
  <c r="A1400" i="12"/>
  <c r="B148" i="12"/>
  <c r="A148" i="12"/>
  <c r="B631" i="12"/>
  <c r="A631" i="12"/>
  <c r="B885" i="12"/>
  <c r="A885" i="12"/>
  <c r="B924" i="12"/>
  <c r="A924" i="12"/>
  <c r="B1328" i="12"/>
  <c r="A1328" i="12"/>
  <c r="B203" i="12"/>
  <c r="A203" i="12"/>
  <c r="B770" i="12"/>
  <c r="A770" i="12"/>
  <c r="B1219" i="12"/>
  <c r="A1219" i="12"/>
  <c r="B379" i="12"/>
  <c r="A379" i="12"/>
  <c r="B661" i="12"/>
  <c r="A661" i="12"/>
  <c r="B855" i="12"/>
  <c r="A855" i="12"/>
  <c r="B1158" i="12"/>
  <c r="A1158" i="12"/>
  <c r="B223" i="12"/>
  <c r="A223" i="12"/>
  <c r="B224" i="12"/>
  <c r="A224" i="12"/>
  <c r="B850" i="12"/>
  <c r="A850" i="12"/>
  <c r="B883" i="12"/>
  <c r="A883" i="12"/>
  <c r="B731" i="12"/>
  <c r="A731" i="12"/>
  <c r="B138" i="12"/>
  <c r="A138" i="12"/>
  <c r="B624" i="12"/>
  <c r="A624" i="12"/>
  <c r="B378" i="12"/>
  <c r="A378" i="12"/>
  <c r="B839" i="12"/>
  <c r="A839" i="12"/>
  <c r="B506" i="12"/>
  <c r="A506" i="12"/>
  <c r="B691" i="12"/>
  <c r="A691" i="12"/>
  <c r="B713" i="12"/>
  <c r="A713" i="12"/>
  <c r="B1091" i="12"/>
  <c r="A1091" i="12"/>
  <c r="B1404" i="12"/>
  <c r="A1404" i="12"/>
  <c r="B1268" i="12"/>
  <c r="A1268" i="12"/>
  <c r="B358" i="12"/>
  <c r="A358" i="12"/>
  <c r="B1025" i="12"/>
  <c r="A1025" i="12"/>
  <c r="B936" i="12"/>
  <c r="A936" i="12"/>
  <c r="B853" i="12"/>
  <c r="A853" i="12"/>
  <c r="B701" i="12"/>
  <c r="A701" i="12"/>
  <c r="B917" i="12"/>
  <c r="A917" i="12"/>
  <c r="B1413" i="12"/>
  <c r="A1413" i="12"/>
  <c r="B1298" i="12"/>
  <c r="A1298" i="12"/>
  <c r="B1194" i="12"/>
  <c r="A1194" i="12"/>
  <c r="B628" i="12"/>
  <c r="A628" i="12"/>
  <c r="B107" i="12"/>
  <c r="A107" i="12"/>
  <c r="B71" i="12"/>
  <c r="A71" i="12"/>
  <c r="B915" i="12"/>
  <c r="A915" i="12"/>
  <c r="B1049" i="12"/>
  <c r="A1049" i="12"/>
  <c r="B37" i="12"/>
  <c r="A37" i="12"/>
  <c r="B811" i="12"/>
  <c r="A811" i="12"/>
  <c r="B492" i="12"/>
  <c r="A492" i="12"/>
  <c r="B846" i="12"/>
  <c r="A846" i="12"/>
  <c r="B1227" i="12"/>
  <c r="A1227" i="12"/>
  <c r="B687" i="12"/>
  <c r="A687" i="12"/>
  <c r="B1438" i="12"/>
  <c r="A1438" i="12"/>
  <c r="B634" i="12"/>
  <c r="A634" i="12"/>
  <c r="B518" i="12"/>
  <c r="A518" i="12"/>
  <c r="B360" i="12"/>
  <c r="A360" i="12"/>
  <c r="B753" i="12"/>
  <c r="A753" i="12"/>
  <c r="B1139" i="12"/>
  <c r="A1139" i="12"/>
  <c r="B526" i="12"/>
  <c r="A526" i="12"/>
  <c r="B507" i="12"/>
  <c r="A507" i="12"/>
  <c r="B316" i="12"/>
  <c r="A316" i="12"/>
  <c r="B322" i="12"/>
  <c r="A322" i="12"/>
  <c r="B730" i="12"/>
  <c r="A730" i="12"/>
  <c r="B505" i="12"/>
  <c r="A505" i="12"/>
  <c r="B92" i="12"/>
  <c r="A92" i="12"/>
  <c r="B930" i="12"/>
  <c r="A930" i="12"/>
  <c r="B840" i="12"/>
  <c r="A840" i="12"/>
  <c r="B27" i="12"/>
  <c r="A27" i="12"/>
  <c r="B470" i="12"/>
  <c r="A470" i="12"/>
  <c r="B746" i="12"/>
  <c r="A746" i="12"/>
  <c r="B501" i="12"/>
  <c r="A501" i="12"/>
  <c r="B1029" i="12"/>
  <c r="A1029" i="12"/>
  <c r="B549" i="12"/>
  <c r="A549" i="12"/>
  <c r="B285" i="12"/>
  <c r="A285" i="12"/>
  <c r="B849" i="12"/>
  <c r="A849" i="12"/>
  <c r="B690" i="12"/>
  <c r="A690" i="12"/>
  <c r="B1294" i="12"/>
  <c r="A1294" i="12"/>
  <c r="B1366" i="12"/>
  <c r="A1366" i="12"/>
  <c r="B684" i="12"/>
  <c r="A684" i="12"/>
  <c r="B626" i="12"/>
  <c r="A626" i="12"/>
  <c r="B55" i="12"/>
  <c r="A55" i="12"/>
  <c r="B622" i="12"/>
  <c r="A622" i="12"/>
  <c r="B1142" i="12"/>
  <c r="A1142" i="12"/>
  <c r="B1297" i="12"/>
  <c r="A1297" i="12"/>
  <c r="B257" i="12"/>
  <c r="A257" i="12"/>
  <c r="B335" i="12"/>
  <c r="A335" i="12"/>
  <c r="B703" i="12"/>
  <c r="A703" i="12"/>
  <c r="B975" i="12"/>
  <c r="A975" i="12"/>
  <c r="B1251" i="12"/>
  <c r="A1251" i="12"/>
  <c r="B1225" i="12"/>
  <c r="A1225" i="12"/>
  <c r="B1163" i="12"/>
  <c r="A1163" i="12"/>
  <c r="B1102" i="12"/>
  <c r="A1102" i="12"/>
  <c r="B1084" i="12"/>
  <c r="A1084" i="12"/>
  <c r="B1057" i="12"/>
  <c r="A1057" i="12"/>
  <c r="B950" i="12"/>
  <c r="A950" i="12"/>
  <c r="B886" i="12"/>
  <c r="A886" i="12"/>
  <c r="B819" i="12"/>
  <c r="A819" i="12"/>
  <c r="B745" i="12"/>
  <c r="A745" i="12"/>
  <c r="B738" i="12"/>
  <c r="A738" i="12"/>
  <c r="B665" i="12"/>
  <c r="A665" i="12"/>
  <c r="B400" i="12"/>
  <c r="A400" i="12"/>
  <c r="B349" i="12"/>
  <c r="A349" i="12"/>
  <c r="B331" i="12"/>
  <c r="A331" i="12"/>
  <c r="B319" i="12"/>
  <c r="A319" i="12"/>
  <c r="B168" i="12"/>
  <c r="A168" i="12"/>
  <c r="B121" i="12"/>
  <c r="A121" i="12"/>
  <c r="B20" i="12"/>
  <c r="A20" i="12"/>
  <c r="B1466" i="12"/>
  <c r="A1466" i="12"/>
  <c r="B98" i="12"/>
  <c r="A98" i="12"/>
  <c r="B639" i="12"/>
  <c r="A639" i="12"/>
  <c r="B907" i="12"/>
  <c r="A907" i="12"/>
  <c r="B48" i="12"/>
  <c r="A48" i="12"/>
  <c r="B329" i="12"/>
  <c r="A329" i="12"/>
  <c r="B412" i="12"/>
  <c r="A412" i="12"/>
  <c r="B142" i="12"/>
  <c r="A142" i="12"/>
  <c r="B921" i="12"/>
  <c r="A921" i="12"/>
  <c r="B1295" i="12"/>
  <c r="A1295" i="12"/>
  <c r="B707" i="12"/>
  <c r="A707" i="12"/>
  <c r="B373" i="12"/>
  <c r="A373" i="12"/>
  <c r="B755" i="12"/>
  <c r="A755" i="12"/>
  <c r="B348" i="12"/>
  <c r="A348" i="12"/>
  <c r="B1069" i="12"/>
  <c r="A1069" i="12"/>
  <c r="B397" i="12"/>
  <c r="A397" i="12"/>
  <c r="B1304" i="12"/>
  <c r="A1304" i="12"/>
  <c r="B734" i="12"/>
  <c r="A734" i="12"/>
  <c r="B812" i="12"/>
  <c r="A812" i="12"/>
  <c r="B856" i="12"/>
  <c r="A856" i="12"/>
  <c r="B44" i="12"/>
  <c r="A44" i="12"/>
  <c r="B653" i="12"/>
  <c r="A653" i="12"/>
  <c r="B1496" i="12"/>
  <c r="A1496" i="12"/>
  <c r="B556" i="12"/>
  <c r="A556" i="12"/>
  <c r="B269" i="12"/>
  <c r="A269" i="12"/>
  <c r="B937" i="12"/>
  <c r="A937" i="12"/>
  <c r="B67" i="12"/>
  <c r="A67" i="12"/>
  <c r="B64" i="12"/>
  <c r="A64" i="12"/>
  <c r="B46" i="12"/>
  <c r="A46" i="12"/>
  <c r="B530" i="12"/>
  <c r="A530" i="12"/>
  <c r="B1471" i="12"/>
  <c r="A1471" i="12"/>
  <c r="B881" i="12"/>
  <c r="A881" i="12"/>
  <c r="B376" i="12"/>
  <c r="A376" i="12"/>
  <c r="B36" i="12"/>
  <c r="A36" i="12"/>
  <c r="B643" i="12"/>
  <c r="A643" i="12"/>
  <c r="B679" i="12"/>
  <c r="A679" i="12"/>
  <c r="B662" i="12"/>
  <c r="A662" i="12"/>
  <c r="B414" i="12"/>
  <c r="A414" i="12"/>
  <c r="B858" i="12"/>
  <c r="A858" i="12"/>
  <c r="B715" i="12"/>
  <c r="A715" i="12"/>
  <c r="B1135" i="12"/>
  <c r="A1135" i="12"/>
  <c r="B704" i="12"/>
  <c r="A704" i="12"/>
  <c r="B1292" i="12"/>
  <c r="A1292" i="12"/>
  <c r="B1071" i="12"/>
  <c r="A1071" i="12"/>
  <c r="B1106" i="12"/>
  <c r="A1106" i="12"/>
  <c r="B1137" i="12"/>
  <c r="A1137" i="12"/>
  <c r="B177" i="12"/>
  <c r="A177" i="12"/>
  <c r="B923" i="12"/>
  <c r="A923" i="12"/>
  <c r="B1364" i="12"/>
  <c r="A1364" i="12"/>
  <c r="B184" i="12"/>
  <c r="A184" i="12"/>
  <c r="B1281" i="12"/>
  <c r="A1281" i="12"/>
  <c r="B920" i="12"/>
  <c r="A920" i="12"/>
  <c r="B1435" i="12"/>
  <c r="A1435" i="12"/>
  <c r="B1420" i="12"/>
  <c r="A1420" i="12"/>
  <c r="B809" i="12"/>
  <c r="A809" i="12"/>
  <c r="B868" i="12"/>
  <c r="A868" i="12"/>
  <c r="B1417" i="12"/>
  <c r="A1417" i="12"/>
  <c r="B1055" i="12"/>
  <c r="A1055" i="12"/>
  <c r="B116" i="12"/>
  <c r="A116" i="12"/>
  <c r="B795" i="12"/>
  <c r="A795" i="12"/>
  <c r="B156" i="12"/>
  <c r="A156" i="12"/>
  <c r="B828" i="12"/>
  <c r="A828" i="12"/>
  <c r="B174" i="12"/>
  <c r="A174" i="12"/>
  <c r="B516" i="12"/>
  <c r="A516" i="12"/>
  <c r="B429" i="12"/>
  <c r="A429" i="12"/>
  <c r="B709" i="12"/>
  <c r="A709" i="12"/>
  <c r="B288" i="12"/>
  <c r="A288" i="12"/>
  <c r="B899" i="12"/>
  <c r="A899" i="12"/>
  <c r="B947" i="12"/>
  <c r="A947" i="12"/>
  <c r="B943" i="12"/>
  <c r="A943" i="12"/>
  <c r="B84" i="12"/>
  <c r="A84" i="12"/>
  <c r="B476" i="12"/>
  <c r="A476" i="12"/>
  <c r="B401" i="12"/>
  <c r="A401" i="12"/>
  <c r="B647" i="12"/>
  <c r="A647" i="12"/>
  <c r="B413" i="12"/>
  <c r="A413" i="12"/>
  <c r="B869" i="12"/>
  <c r="A869" i="12"/>
  <c r="B1059" i="12"/>
  <c r="A1059" i="12"/>
  <c r="B1472" i="12"/>
  <c r="A1472" i="12"/>
  <c r="B801" i="12"/>
  <c r="B440" i="12"/>
  <c r="A440" i="12"/>
  <c r="B1397" i="12"/>
  <c r="A1397" i="12"/>
  <c r="B575" i="12"/>
  <c r="A575" i="12"/>
  <c r="B779" i="12"/>
  <c r="A779" i="12"/>
  <c r="B983" i="12"/>
  <c r="A983" i="12"/>
  <c r="B984" i="12"/>
  <c r="A984" i="12"/>
  <c r="B1036" i="12"/>
  <c r="A1036" i="12"/>
  <c r="B1402" i="12"/>
  <c r="A1402" i="12"/>
  <c r="B852" i="12"/>
  <c r="A852" i="12"/>
  <c r="B1299" i="12"/>
  <c r="A1299" i="12"/>
  <c r="B114" i="12"/>
  <c r="A114" i="12"/>
  <c r="B425" i="12"/>
  <c r="A425" i="12"/>
  <c r="B326" i="12"/>
  <c r="A326" i="12"/>
  <c r="B601" i="12"/>
  <c r="A601" i="12"/>
  <c r="B790" i="12"/>
  <c r="A790" i="12"/>
  <c r="B410" i="12"/>
  <c r="A410" i="12"/>
  <c r="B1048" i="12"/>
  <c r="A1048" i="12"/>
  <c r="B459" i="12"/>
  <c r="A459" i="12"/>
  <c r="B598" i="12"/>
  <c r="A598" i="12"/>
  <c r="B987" i="12"/>
  <c r="A987" i="12"/>
  <c r="B61" i="12"/>
  <c r="A61" i="12"/>
  <c r="B1085" i="12"/>
  <c r="A1085" i="12"/>
  <c r="B1350" i="12"/>
  <c r="A1350" i="12"/>
  <c r="B1474" i="12"/>
  <c r="A1474" i="12"/>
  <c r="B270" i="12"/>
  <c r="A270" i="12"/>
  <c r="B1309" i="12"/>
  <c r="A1309" i="12"/>
  <c r="B998" i="12"/>
  <c r="A998" i="12"/>
  <c r="B935" i="12"/>
  <c r="A935" i="12"/>
  <c r="B578" i="12"/>
  <c r="A578" i="12"/>
  <c r="B1443" i="12"/>
  <c r="A1443" i="12"/>
  <c r="B888" i="12"/>
  <c r="A888" i="12"/>
  <c r="B172" i="12"/>
  <c r="A172" i="12"/>
  <c r="B537" i="12"/>
  <c r="A537" i="12"/>
  <c r="B1056" i="12"/>
  <c r="A1056" i="12"/>
  <c r="B775" i="12"/>
  <c r="A775" i="12"/>
  <c r="B40" i="12"/>
  <c r="A40" i="12"/>
  <c r="B442" i="12"/>
  <c r="A442" i="12"/>
  <c r="B721" i="12"/>
  <c r="A721" i="12"/>
  <c r="B105" i="12"/>
  <c r="A105" i="12"/>
  <c r="B77" i="12"/>
  <c r="A77" i="12"/>
  <c r="B893" i="12"/>
  <c r="A893" i="12"/>
  <c r="B274" i="12"/>
  <c r="A274" i="12"/>
  <c r="B563" i="12"/>
  <c r="A563" i="12"/>
  <c r="B879" i="12"/>
  <c r="A879" i="12"/>
  <c r="B488" i="12"/>
  <c r="A488" i="12"/>
  <c r="B771" i="12"/>
  <c r="A771" i="12"/>
  <c r="B146" i="12"/>
  <c r="A146" i="12"/>
  <c r="B104" i="12"/>
  <c r="A104" i="12"/>
  <c r="B336" i="12"/>
  <c r="A336" i="12"/>
  <c r="B1065" i="12"/>
  <c r="A1065" i="12"/>
  <c r="B658" i="12"/>
  <c r="A658" i="12"/>
  <c r="B948" i="12"/>
  <c r="A948" i="12"/>
  <c r="B1322" i="12"/>
  <c r="A1322" i="12"/>
  <c r="B1105" i="12"/>
  <c r="A1105" i="12"/>
  <c r="B640" i="12"/>
  <c r="A640" i="12"/>
  <c r="B702" i="12"/>
  <c r="A702" i="12"/>
  <c r="B959" i="12"/>
  <c r="A959" i="12"/>
  <c r="B1099" i="12"/>
  <c r="A1099" i="12"/>
  <c r="B1218" i="12"/>
  <c r="A1218" i="12"/>
  <c r="B1217" i="12"/>
  <c r="A1217" i="12"/>
  <c r="B1203" i="12"/>
  <c r="A1203" i="12"/>
  <c r="B1116" i="12"/>
  <c r="A1116" i="12"/>
  <c r="B1080" i="12"/>
  <c r="A1080" i="12"/>
  <c r="B1013" i="12"/>
  <c r="A1013" i="12"/>
  <c r="B1006" i="12"/>
  <c r="B1005" i="12"/>
  <c r="B1003" i="12"/>
  <c r="B777" i="12"/>
  <c r="A777" i="12"/>
  <c r="B776" i="12"/>
  <c r="A776" i="12"/>
  <c r="B806" i="12"/>
  <c r="B805" i="12"/>
  <c r="B1032" i="12"/>
  <c r="A1032" i="12"/>
  <c r="B794" i="12"/>
  <c r="A794" i="12"/>
  <c r="B986" i="12"/>
  <c r="A986" i="12"/>
  <c r="B954" i="12"/>
  <c r="A954" i="12"/>
  <c r="B833" i="12"/>
  <c r="A833" i="12"/>
  <c r="B1168" i="12"/>
  <c r="A1168" i="12"/>
  <c r="B599" i="12"/>
  <c r="A599" i="12"/>
  <c r="A532" i="12"/>
  <c r="B253" i="12"/>
  <c r="A253" i="12"/>
  <c r="B503" i="12"/>
  <c r="A503" i="12"/>
  <c r="B728" i="12"/>
  <c r="A728" i="12"/>
  <c r="B1076" i="12"/>
  <c r="A1076" i="12"/>
  <c r="B997" i="12"/>
  <c r="A997" i="12"/>
  <c r="B1054" i="12"/>
  <c r="A1054" i="12"/>
  <c r="B475" i="12"/>
  <c r="A475" i="12"/>
  <c r="B267" i="12"/>
  <c r="A267" i="12"/>
  <c r="B672" i="12"/>
  <c r="A672" i="12"/>
  <c r="B716" i="12"/>
  <c r="A716" i="12"/>
  <c r="B1238" i="12"/>
  <c r="A1238" i="12"/>
  <c r="B635" i="12"/>
  <c r="A635" i="12"/>
  <c r="B1501" i="12"/>
  <c r="A1501" i="12"/>
  <c r="B377" i="12"/>
  <c r="A377" i="12"/>
  <c r="B942" i="12"/>
  <c r="A942" i="12"/>
  <c r="B1270" i="12"/>
  <c r="A1270" i="12"/>
  <c r="B1421" i="12"/>
  <c r="A1421" i="12"/>
  <c r="B420" i="12"/>
  <c r="A420" i="12"/>
  <c r="B657" i="12"/>
  <c r="A657" i="12"/>
  <c r="B676" i="12"/>
  <c r="A676" i="12"/>
  <c r="B966" i="12"/>
  <c r="A966" i="12"/>
  <c r="B1151" i="12"/>
  <c r="A1151" i="12"/>
  <c r="B1237" i="12"/>
  <c r="A1237" i="12"/>
  <c r="B69" i="12"/>
  <c r="A69" i="12"/>
  <c r="B1422" i="12"/>
  <c r="A1422" i="12"/>
  <c r="B12" i="12"/>
  <c r="A12" i="12"/>
  <c r="B1279" i="12"/>
  <c r="A1279" i="12"/>
  <c r="B785" i="12"/>
  <c r="A785" i="12"/>
  <c r="B58" i="12"/>
  <c r="A58" i="12"/>
  <c r="B894" i="12"/>
  <c r="A894" i="12"/>
  <c r="B688" i="12"/>
  <c r="A688" i="12"/>
  <c r="B369" i="12"/>
  <c r="A369" i="12"/>
  <c r="B521" i="12"/>
  <c r="A521" i="12"/>
  <c r="B784" i="12"/>
  <c r="A784" i="12"/>
  <c r="B1337" i="12"/>
  <c r="A1337" i="12"/>
  <c r="B1193" i="12"/>
  <c r="A1193" i="12"/>
  <c r="B1440" i="12"/>
  <c r="A1440" i="12"/>
  <c r="B836" i="12"/>
  <c r="A836" i="12"/>
  <c r="B1183" i="12"/>
  <c r="A1183" i="12"/>
  <c r="B135" i="12"/>
  <c r="A135" i="12"/>
  <c r="B817" i="12"/>
  <c r="A817" i="12"/>
  <c r="B859" i="12"/>
  <c r="A859" i="12"/>
  <c r="B1021" i="12"/>
  <c r="A1021" i="12"/>
  <c r="B554" i="12"/>
  <c r="A554" i="12"/>
  <c r="B254" i="12"/>
  <c r="A254" i="12"/>
  <c r="B86" i="12"/>
  <c r="A86" i="12"/>
  <c r="B891" i="12"/>
  <c r="A891" i="12"/>
  <c r="B1282" i="12"/>
  <c r="A1282" i="12"/>
  <c r="B793" i="12"/>
  <c r="A793" i="12"/>
  <c r="B1319" i="12"/>
  <c r="A1319" i="12"/>
  <c r="B756" i="12"/>
  <c r="A756" i="12"/>
  <c r="B1287" i="12"/>
  <c r="A1287" i="12"/>
  <c r="B446" i="12"/>
  <c r="A446" i="12"/>
  <c r="B723" i="12"/>
  <c r="A723" i="12"/>
  <c r="B1388" i="12"/>
  <c r="A1388" i="12"/>
  <c r="B1117" i="12"/>
  <c r="A1117" i="12"/>
  <c r="B365" i="12"/>
  <c r="A365" i="12"/>
  <c r="B368" i="12"/>
  <c r="A368" i="12"/>
  <c r="B588" i="12"/>
  <c r="A588" i="12"/>
  <c r="B830" i="12"/>
  <c r="A830" i="12"/>
  <c r="B1500" i="12"/>
  <c r="A1500" i="12"/>
  <c r="B1494" i="12"/>
  <c r="A1494" i="12"/>
  <c r="B1493" i="12"/>
  <c r="A1493" i="12"/>
  <c r="B1492" i="12"/>
  <c r="A1492" i="12"/>
  <c r="B1487" i="12"/>
  <c r="A1487" i="12"/>
  <c r="B1485" i="12"/>
  <c r="A1485" i="12"/>
  <c r="B1236" i="12"/>
  <c r="A1236" i="12"/>
  <c r="B486" i="12"/>
  <c r="A486" i="12"/>
  <c r="B964" i="12"/>
  <c r="A964" i="12"/>
  <c r="B650" i="12"/>
  <c r="A650" i="12"/>
  <c r="B33" i="12"/>
  <c r="A33" i="12"/>
  <c r="B1357" i="12"/>
  <c r="B1399" i="12"/>
  <c r="A1399" i="12"/>
  <c r="B544" i="12"/>
  <c r="B540" i="12"/>
  <c r="B1004" i="12"/>
  <c r="B542" i="12"/>
  <c r="B541" i="12"/>
  <c r="B543" i="12"/>
  <c r="B1352" i="12"/>
  <c r="A1352" i="12"/>
  <c r="B351" i="12"/>
  <c r="B353" i="12"/>
  <c r="B352" i="12"/>
  <c r="B350" i="12"/>
  <c r="B354" i="12"/>
  <c r="B1001" i="12"/>
  <c r="B1146" i="12"/>
  <c r="B1007" i="12"/>
  <c r="B1002" i="12"/>
  <c r="B955" i="12"/>
  <c r="A955" i="12"/>
  <c r="B1341" i="12"/>
  <c r="A1341" i="12"/>
  <c r="B908" i="12"/>
  <c r="A908" i="12"/>
  <c r="B1144" i="12"/>
  <c r="A1144" i="12"/>
  <c r="B1455" i="12"/>
  <c r="A1455" i="12"/>
  <c r="B1480" i="12"/>
  <c r="A1480" i="12"/>
  <c r="B1479" i="12"/>
  <c r="A1479" i="12"/>
  <c r="B1478" i="12"/>
  <c r="A1478" i="12"/>
  <c r="B1476" i="12"/>
  <c r="A1476" i="12"/>
  <c r="B1475" i="12"/>
  <c r="A1475" i="12"/>
  <c r="B1470" i="12"/>
  <c r="A1470" i="12"/>
  <c r="B1469" i="12"/>
  <c r="A1469" i="12"/>
  <c r="B1464" i="12"/>
  <c r="A1464" i="12"/>
  <c r="B1463" i="12"/>
  <c r="A1463" i="12"/>
  <c r="B1460" i="12"/>
  <c r="A1460" i="12"/>
  <c r="B1459" i="12"/>
  <c r="A1459" i="12"/>
  <c r="B1458" i="12"/>
  <c r="A1458" i="12"/>
  <c r="B1457" i="12"/>
  <c r="A1457" i="12"/>
  <c r="B1451" i="12"/>
  <c r="A1451" i="12"/>
  <c r="B1446" i="12"/>
  <c r="A1446" i="12"/>
  <c r="B1442" i="12"/>
  <c r="A1442" i="12"/>
  <c r="B1441" i="12"/>
  <c r="A1441" i="12"/>
  <c r="B1436" i="12"/>
  <c r="A1436" i="12"/>
  <c r="B1330" i="12"/>
  <c r="A1330" i="12"/>
  <c r="B1430" i="12"/>
  <c r="A1430" i="12"/>
  <c r="B517" i="12"/>
  <c r="A517" i="12"/>
  <c r="B804" i="12"/>
  <c r="B803" i="12"/>
  <c r="A803" i="12"/>
  <c r="B669" i="12"/>
  <c r="B668" i="12"/>
  <c r="B621" i="12"/>
  <c r="B617" i="12"/>
  <c r="A617" i="12"/>
  <c r="B593" i="12"/>
  <c r="A593" i="12"/>
  <c r="B999" i="12"/>
  <c r="B216" i="12"/>
  <c r="B215" i="12"/>
  <c r="A409" i="12"/>
  <c r="B533" i="12"/>
  <c r="A533" i="12"/>
  <c r="B667" i="12"/>
  <c r="A667" i="12"/>
  <c r="B175" i="12"/>
  <c r="A175" i="12"/>
  <c r="B823" i="12"/>
  <c r="A823" i="12"/>
  <c r="B287" i="12"/>
  <c r="A287" i="12"/>
  <c r="B327" i="12"/>
  <c r="A327" i="12"/>
  <c r="B17" i="12"/>
  <c r="A17" i="12"/>
  <c r="B1046" i="12"/>
  <c r="A1046" i="12"/>
  <c r="B333" i="12"/>
  <c r="A333" i="12"/>
  <c r="B62" i="12"/>
  <c r="A62" i="12"/>
  <c r="B697" i="12"/>
  <c r="A697" i="12"/>
  <c r="B902" i="12"/>
  <c r="A902" i="12"/>
  <c r="B95" i="12"/>
  <c r="A95" i="12"/>
  <c r="B560" i="12"/>
  <c r="A560" i="12"/>
  <c r="B482" i="12"/>
  <c r="A482" i="12"/>
  <c r="B456" i="12"/>
  <c r="A456" i="12"/>
  <c r="B783" i="12"/>
  <c r="A783" i="12"/>
  <c r="B426" i="12"/>
  <c r="A426" i="12"/>
  <c r="B1053" i="12"/>
  <c r="A1053" i="12"/>
  <c r="B109" i="12"/>
  <c r="A109" i="12"/>
  <c r="B99" i="12"/>
  <c r="A99" i="12"/>
  <c r="B398" i="12"/>
  <c r="A398" i="12"/>
  <c r="B844" i="12"/>
  <c r="A844" i="12"/>
  <c r="B346" i="12"/>
  <c r="A346" i="12"/>
  <c r="B877" i="12"/>
  <c r="A877" i="12"/>
  <c r="B827" i="12"/>
  <c r="A827" i="12"/>
  <c r="B744" i="12"/>
  <c r="A744" i="12"/>
  <c r="B160" i="12"/>
  <c r="A160" i="12"/>
  <c r="B698" i="12"/>
  <c r="A698" i="12"/>
  <c r="B584" i="12"/>
  <c r="A584" i="12"/>
  <c r="B1031" i="12"/>
  <c r="A1031" i="12"/>
  <c r="B1498" i="12"/>
  <c r="A1498" i="12"/>
  <c r="B478" i="12"/>
  <c r="A478" i="12"/>
  <c r="B97" i="12"/>
  <c r="A97" i="12"/>
  <c r="B1336" i="12"/>
  <c r="A1336" i="12"/>
  <c r="B600" i="12"/>
  <c r="A600" i="12"/>
  <c r="B1110" i="12"/>
  <c r="A1110" i="12"/>
  <c r="B949" i="12"/>
  <c r="A949" i="12"/>
  <c r="B848" i="12"/>
  <c r="A848" i="12"/>
  <c r="B1291" i="12"/>
  <c r="A1291" i="12"/>
  <c r="B994" i="12"/>
  <c r="A994" i="12"/>
  <c r="B1483" i="12"/>
  <c r="A1483" i="12"/>
  <c r="B32" i="12"/>
  <c r="A32" i="12"/>
  <c r="B1461" i="12"/>
  <c r="A1461" i="12"/>
  <c r="B50" i="12"/>
  <c r="A50" i="12"/>
  <c r="B390" i="12"/>
  <c r="A390" i="12"/>
  <c r="B344" i="12"/>
  <c r="A344" i="12"/>
  <c r="B1027" i="12"/>
  <c r="A1027" i="12"/>
  <c r="B23" i="12"/>
  <c r="A23" i="12"/>
  <c r="B597" i="12"/>
  <c r="A597" i="12"/>
  <c r="B1111" i="12"/>
  <c r="A1111" i="12"/>
  <c r="B1447" i="12"/>
  <c r="A1447" i="12"/>
  <c r="B132" i="12"/>
  <c r="A132" i="12"/>
  <c r="B53" i="12"/>
  <c r="A53" i="12"/>
  <c r="B8" i="12"/>
  <c r="A8" i="12"/>
  <c r="B535" i="12"/>
  <c r="A535" i="12"/>
  <c r="B59" i="12"/>
  <c r="A59" i="12"/>
  <c r="B524" i="12"/>
  <c r="A524" i="12"/>
  <c r="B466" i="12"/>
  <c r="B465" i="12"/>
  <c r="B464" i="12"/>
  <c r="B463" i="12"/>
  <c r="B462" i="12"/>
  <c r="A462" i="12"/>
  <c r="B451" i="12"/>
  <c r="A451" i="12"/>
  <c r="B450" i="12"/>
  <c r="A450" i="12"/>
  <c r="B384" i="12"/>
  <c r="A384" i="12"/>
  <c r="B638" i="12"/>
  <c r="A638" i="12"/>
  <c r="B871" i="12"/>
  <c r="A871" i="12"/>
  <c r="B341" i="12"/>
  <c r="A341" i="12"/>
  <c r="B867" i="12"/>
  <c r="A867" i="12"/>
  <c r="B925" i="12"/>
  <c r="A925" i="12"/>
  <c r="B623" i="12"/>
  <c r="A623" i="12"/>
  <c r="B1468" i="12"/>
  <c r="A1468" i="12"/>
  <c r="B340" i="12"/>
  <c r="A340" i="12"/>
  <c r="B261" i="12"/>
  <c r="A261" i="12"/>
  <c r="B443" i="12"/>
  <c r="A443" i="12"/>
  <c r="B1432" i="12"/>
  <c r="A1432" i="12"/>
  <c r="B1412" i="12"/>
  <c r="A1412" i="12"/>
  <c r="B1128" i="12"/>
  <c r="A1128" i="12"/>
  <c r="B941" i="12"/>
  <c r="A941" i="12"/>
  <c r="B990" i="12"/>
  <c r="A990" i="12"/>
  <c r="B367" i="12"/>
  <c r="A367" i="12"/>
  <c r="B761" i="12"/>
  <c r="A761" i="12"/>
  <c r="B145" i="12"/>
  <c r="A145" i="12"/>
  <c r="B286" i="12"/>
  <c r="A286" i="12"/>
  <c r="B298" i="12"/>
  <c r="A298" i="12"/>
  <c r="B1246" i="12"/>
  <c r="A1246" i="12"/>
  <c r="B884" i="12"/>
  <c r="A884" i="12"/>
  <c r="B187" i="12"/>
  <c r="B969" i="12"/>
  <c r="A969" i="12"/>
  <c r="B136" i="12"/>
  <c r="A136" i="12"/>
  <c r="B842" i="12"/>
  <c r="A842" i="12"/>
  <c r="B666" i="12"/>
  <c r="A666" i="12"/>
  <c r="B183" i="12"/>
  <c r="A183" i="12"/>
  <c r="B641" i="12"/>
  <c r="A641" i="12"/>
  <c r="B686" i="12"/>
  <c r="A686" i="12"/>
  <c r="B1306" i="12"/>
  <c r="A1306" i="12"/>
  <c r="B1280" i="12"/>
  <c r="A1280" i="12"/>
  <c r="B437" i="12"/>
  <c r="A437" i="12"/>
  <c r="B134" i="12"/>
  <c r="A134" i="12"/>
  <c r="B1112" i="12"/>
  <c r="A1112" i="12"/>
  <c r="B996" i="12"/>
  <c r="A996" i="12"/>
  <c r="B938" i="12"/>
  <c r="A938" i="12"/>
  <c r="B1419" i="12"/>
  <c r="A1419" i="12"/>
  <c r="B1429" i="12"/>
  <c r="A1429" i="12"/>
  <c r="B259" i="12"/>
  <c r="A259" i="12"/>
  <c r="B481" i="12"/>
  <c r="A481" i="12"/>
  <c r="B821" i="12"/>
  <c r="A821" i="12"/>
  <c r="B1326" i="12"/>
  <c r="A1326" i="12"/>
  <c r="B1355" i="12"/>
  <c r="A1355" i="12"/>
  <c r="B1354" i="12"/>
  <c r="B1022" i="12"/>
  <c r="A1022" i="12"/>
  <c r="B153" i="12"/>
  <c r="A153" i="12"/>
  <c r="B511" i="12"/>
  <c r="B510" i="12"/>
  <c r="A510" i="12"/>
  <c r="B608" i="12"/>
  <c r="A608" i="12"/>
  <c r="B607" i="12"/>
  <c r="B637" i="12"/>
  <c r="A637" i="12"/>
  <c r="B531" i="12"/>
  <c r="A531" i="12"/>
  <c r="B308" i="12"/>
  <c r="A308" i="12"/>
  <c r="B307" i="12"/>
  <c r="A307" i="12"/>
  <c r="B305" i="12"/>
  <c r="A305" i="12"/>
  <c r="B304" i="12"/>
  <c r="A304" i="12"/>
  <c r="B302" i="12"/>
  <c r="A302" i="12"/>
  <c r="B982" i="12"/>
  <c r="A982" i="12"/>
  <c r="B660" i="12"/>
  <c r="A660" i="12"/>
  <c r="B1473" i="12"/>
  <c r="A1473" i="12"/>
  <c r="B895" i="12"/>
  <c r="A895" i="12"/>
  <c r="B773" i="12"/>
  <c r="A773" i="12"/>
  <c r="B85" i="12"/>
  <c r="A85" i="12"/>
  <c r="B1228" i="12"/>
  <c r="A1228" i="12"/>
  <c r="B574" i="12"/>
  <c r="A574" i="12"/>
  <c r="B483" i="12"/>
  <c r="A483" i="12"/>
  <c r="B971" i="12"/>
  <c r="A971" i="12"/>
  <c r="B586" i="12"/>
  <c r="A586" i="12"/>
  <c r="B802" i="12"/>
  <c r="B74" i="12"/>
  <c r="A74" i="12"/>
  <c r="A73" i="12"/>
  <c r="A407" i="12"/>
  <c r="B405" i="12"/>
  <c r="B406" i="12"/>
  <c r="B1424" i="12"/>
  <c r="A1424" i="12"/>
  <c r="B103" i="12"/>
  <c r="A103" i="12"/>
  <c r="B1416" i="12"/>
  <c r="A1416" i="12"/>
  <c r="B1394" i="12"/>
  <c r="A1394" i="12"/>
  <c r="B1377" i="12"/>
  <c r="A1377" i="12"/>
  <c r="B1349" i="12"/>
  <c r="A1349" i="12"/>
  <c r="B1344" i="12"/>
  <c r="A1344" i="12"/>
  <c r="B133" i="12"/>
  <c r="A133" i="12"/>
  <c r="B627" i="12"/>
  <c r="A627" i="12"/>
  <c r="B1066" i="12"/>
  <c r="A1066" i="12"/>
  <c r="B1127" i="12"/>
  <c r="A1127" i="12"/>
  <c r="B576" i="12"/>
  <c r="B968" i="12"/>
  <c r="A968" i="12"/>
  <c r="B239" i="12"/>
  <c r="B233" i="12"/>
  <c r="B232" i="12"/>
  <c r="B236" i="12"/>
  <c r="B235" i="12"/>
  <c r="B234" i="12"/>
  <c r="B237" i="12"/>
  <c r="B339" i="12"/>
  <c r="A339" i="12"/>
  <c r="B680" i="12"/>
  <c r="A680" i="12"/>
  <c r="B291" i="12"/>
  <c r="A291" i="12"/>
  <c r="B143" i="12"/>
  <c r="A143" i="12"/>
  <c r="B1431" i="12"/>
  <c r="A1431" i="12"/>
  <c r="B682" i="12"/>
  <c r="A682" i="12"/>
  <c r="B1439" i="12"/>
  <c r="A1439" i="12"/>
  <c r="B54" i="12"/>
  <c r="A54" i="12"/>
  <c r="B418" i="12"/>
  <c r="A418" i="12"/>
  <c r="B1023" i="12"/>
  <c r="A1023" i="12"/>
  <c r="A1284" i="12"/>
  <c r="B271" i="12"/>
  <c r="A271" i="12"/>
  <c r="B1009" i="12"/>
  <c r="B1266" i="12"/>
  <c r="B927" i="12"/>
  <c r="A927" i="12"/>
  <c r="B585" i="12"/>
  <c r="A585" i="12"/>
  <c r="B1338" i="12"/>
  <c r="A1338" i="12"/>
  <c r="B1335" i="12"/>
  <c r="A1335" i="12"/>
  <c r="B1333" i="12"/>
  <c r="A1333" i="12"/>
  <c r="B1325" i="12"/>
  <c r="A1325" i="12"/>
  <c r="B1318" i="12"/>
  <c r="A1318" i="12"/>
  <c r="B1313" i="12"/>
  <c r="A1313" i="12"/>
  <c r="B1308" i="12"/>
  <c r="A1308" i="12"/>
  <c r="B1293" i="12"/>
  <c r="A1293" i="12"/>
  <c r="B1290" i="12"/>
  <c r="A1290" i="12"/>
  <c r="B1289" i="12"/>
  <c r="A1289" i="12"/>
  <c r="B1288" i="12"/>
  <c r="A1288" i="12"/>
  <c r="B1283" i="12"/>
  <c r="A1283" i="12"/>
  <c r="B1275" i="12"/>
  <c r="A1275" i="12"/>
  <c r="B1274" i="12"/>
  <c r="A1274" i="12"/>
  <c r="B1273" i="12"/>
  <c r="A1273" i="12"/>
  <c r="B1265" i="12"/>
  <c r="A1265" i="12"/>
  <c r="B1264" i="12"/>
  <c r="A1264" i="12"/>
  <c r="B1263" i="12"/>
  <c r="A1263" i="12"/>
  <c r="B1261" i="12"/>
  <c r="A1261" i="12"/>
  <c r="B1260" i="12"/>
  <c r="A1260" i="12"/>
  <c r="B1256" i="12"/>
  <c r="A1256" i="12"/>
  <c r="B1255" i="12"/>
  <c r="A1255" i="12"/>
  <c r="B1254" i="12"/>
  <c r="A1254" i="12"/>
  <c r="B1425" i="12"/>
  <c r="A1425" i="12"/>
  <c r="B389" i="12"/>
  <c r="A389" i="12"/>
  <c r="B1437" i="12"/>
  <c r="A1437" i="12"/>
  <c r="B1115" i="12"/>
  <c r="A1115" i="12"/>
  <c r="B56" i="12"/>
  <c r="A56" i="12"/>
  <c r="B1223" i="12"/>
  <c r="A1223" i="12"/>
  <c r="B334" i="12"/>
  <c r="A334" i="12"/>
  <c r="B717" i="12"/>
  <c r="A717" i="12"/>
  <c r="B238" i="12"/>
  <c r="B1000" i="12"/>
  <c r="B1008" i="12"/>
  <c r="B343" i="12"/>
  <c r="A343" i="12"/>
  <c r="B566" i="12"/>
  <c r="A566" i="12"/>
  <c r="B3" i="12"/>
  <c r="A3" i="12"/>
  <c r="B722" i="12"/>
  <c r="A722" i="12"/>
  <c r="B604" i="12"/>
  <c r="A604" i="12"/>
  <c r="B94" i="12"/>
  <c r="A94" i="12"/>
  <c r="B147" i="12"/>
  <c r="A147" i="12"/>
  <c r="B1453" i="12"/>
  <c r="A1453" i="12"/>
  <c r="B342" i="12"/>
  <c r="A342" i="12"/>
  <c r="B347" i="12"/>
  <c r="A347" i="12"/>
  <c r="B513" i="12"/>
  <c r="A513" i="12"/>
  <c r="B325" i="12"/>
  <c r="A325" i="12"/>
  <c r="B399" i="12"/>
  <c r="A399" i="12"/>
  <c r="B391" i="12"/>
  <c r="A391" i="12"/>
  <c r="B953" i="12"/>
  <c r="A953" i="12"/>
  <c r="B498" i="12"/>
  <c r="A498" i="12"/>
  <c r="B759" i="12"/>
  <c r="A759" i="12"/>
  <c r="B157" i="12"/>
  <c r="A157" i="12"/>
  <c r="B79" i="12"/>
  <c r="A79" i="12"/>
  <c r="B781" i="12"/>
  <c r="A781" i="12"/>
  <c r="B31" i="12"/>
  <c r="A31" i="12"/>
  <c r="B380" i="12"/>
  <c r="A380" i="12"/>
  <c r="B1039" i="12"/>
  <c r="A1039" i="12"/>
  <c r="B264" i="12"/>
  <c r="A264" i="12"/>
  <c r="A1396" i="12"/>
  <c r="A590" i="12"/>
  <c r="A164" i="12"/>
  <c r="A154" i="12"/>
  <c r="B1499" i="12"/>
  <c r="A1499" i="12"/>
  <c r="B1490" i="12"/>
  <c r="A1490" i="12"/>
  <c r="B1484" i="12"/>
  <c r="A1484" i="12"/>
  <c r="B1477" i="12"/>
  <c r="A1477" i="12"/>
  <c r="B1454" i="12"/>
  <c r="A1454" i="12"/>
  <c r="B1452" i="12"/>
  <c r="A1452" i="12"/>
  <c r="B1449" i="12"/>
  <c r="A1449" i="12"/>
  <c r="B1348" i="12"/>
  <c r="A1348" i="12"/>
  <c r="B1339" i="12"/>
  <c r="A1339" i="12"/>
  <c r="B1327" i="12"/>
  <c r="A1327" i="12"/>
  <c r="B1259" i="12"/>
  <c r="A1259" i="12"/>
  <c r="B1243" i="12"/>
  <c r="A1243" i="12"/>
  <c r="B1242" i="12"/>
  <c r="A1242" i="12"/>
  <c r="B1196" i="12"/>
  <c r="A1196" i="12"/>
  <c r="B1182" i="12"/>
  <c r="A1182" i="12"/>
  <c r="B1173" i="12"/>
  <c r="A1173" i="12"/>
  <c r="B1122" i="12"/>
  <c r="A1122" i="12"/>
  <c r="B301" i="12"/>
  <c r="A301" i="12"/>
  <c r="B300" i="12"/>
  <c r="A300" i="12"/>
  <c r="B1303" i="12"/>
  <c r="A1303" i="12"/>
  <c r="B632" i="12"/>
  <c r="A632" i="12"/>
  <c r="B1131" i="12"/>
  <c r="A1131" i="12"/>
  <c r="B89" i="12"/>
  <c r="A89" i="12"/>
  <c r="B49" i="12"/>
  <c r="A49" i="12"/>
  <c r="B914" i="12"/>
  <c r="A914" i="12"/>
  <c r="B673" i="12"/>
  <c r="A673" i="12"/>
  <c r="B1126" i="12"/>
  <c r="A1126" i="12"/>
  <c r="B1143" i="12"/>
  <c r="A1143" i="12"/>
  <c r="B72" i="12"/>
  <c r="A72" i="12"/>
  <c r="B435" i="12"/>
  <c r="A435" i="12"/>
  <c r="B872" i="12"/>
  <c r="A872" i="12"/>
  <c r="B262" i="12"/>
  <c r="A262" i="12"/>
  <c r="B1067" i="12"/>
  <c r="A1067" i="12"/>
  <c r="B863" i="12"/>
  <c r="A863" i="12"/>
  <c r="B1107" i="12"/>
  <c r="A1107" i="12"/>
  <c r="B337" i="12"/>
  <c r="A337" i="12"/>
  <c r="B708" i="12"/>
  <c r="A708" i="12"/>
  <c r="B11" i="12"/>
  <c r="A11" i="12"/>
  <c r="B725" i="12"/>
  <c r="A725" i="12"/>
  <c r="B173" i="12"/>
  <c r="A173" i="12"/>
  <c r="B1124" i="12"/>
  <c r="A1124" i="12"/>
  <c r="B573" i="12"/>
  <c r="A573" i="12"/>
  <c r="B892" i="12"/>
  <c r="A892" i="12"/>
  <c r="B1101" i="12"/>
  <c r="A1101" i="12"/>
  <c r="B491" i="12"/>
  <c r="A491" i="12"/>
  <c r="B415" i="12"/>
  <c r="A415" i="12"/>
  <c r="B552" i="12"/>
  <c r="A552" i="12"/>
  <c r="B1108" i="12"/>
  <c r="A1108" i="12"/>
  <c r="B1276" i="12"/>
  <c r="A1276" i="12"/>
  <c r="B762" i="12"/>
  <c r="A762" i="12"/>
  <c r="B1233" i="12"/>
  <c r="A1233" i="12"/>
  <c r="B169" i="12"/>
  <c r="A169" i="12"/>
  <c r="B727" i="12"/>
  <c r="A727" i="12"/>
  <c r="B963" i="12"/>
  <c r="A963" i="12"/>
  <c r="B538" i="12"/>
  <c r="A538" i="12"/>
  <c r="B747" i="12"/>
  <c r="A747" i="12"/>
  <c r="B1398" i="12"/>
  <c r="A1398" i="12"/>
  <c r="B70" i="12"/>
  <c r="A70" i="12"/>
  <c r="B1456" i="12"/>
  <c r="A1456" i="12"/>
  <c r="B861" i="12"/>
  <c r="A861" i="12"/>
  <c r="B1072" i="12"/>
  <c r="A1072" i="12"/>
  <c r="B1149" i="12"/>
  <c r="A1149" i="12"/>
  <c r="B807" i="12"/>
  <c r="A807" i="12"/>
  <c r="B1157" i="12"/>
  <c r="A1157" i="12"/>
  <c r="B973" i="12"/>
  <c r="A973" i="12"/>
  <c r="B330" i="12"/>
  <c r="A330" i="12"/>
  <c r="B945" i="12"/>
  <c r="A945" i="12"/>
  <c r="B659" i="12"/>
  <c r="A659" i="12"/>
  <c r="B303" i="12"/>
  <c r="A303" i="12"/>
  <c r="B196" i="12"/>
  <c r="A196" i="12"/>
  <c r="B1324" i="12"/>
  <c r="A1324" i="12"/>
  <c r="B733" i="12"/>
  <c r="A733" i="12"/>
  <c r="B42" i="12"/>
  <c r="A42" i="12"/>
  <c r="B1286" i="12"/>
  <c r="A1286" i="12"/>
  <c r="B740" i="12"/>
  <c r="A740" i="12"/>
  <c r="B1244" i="12"/>
  <c r="A1244" i="12"/>
  <c r="B648" i="12"/>
  <c r="A648" i="12"/>
  <c r="B1321" i="12"/>
  <c r="A1321" i="12"/>
  <c r="B213" i="12"/>
  <c r="A213" i="12"/>
  <c r="B211" i="12"/>
  <c r="A211" i="12"/>
  <c r="B210" i="12"/>
  <c r="A210" i="12"/>
  <c r="B22" i="12"/>
  <c r="A22" i="12"/>
  <c r="B1375" i="12"/>
  <c r="A1375" i="12"/>
  <c r="B571" i="12"/>
  <c r="A571" i="12"/>
  <c r="B1081" i="12"/>
  <c r="A1081" i="12"/>
  <c r="B260" i="12"/>
  <c r="A260" i="12"/>
  <c r="B1141" i="12"/>
  <c r="A1141" i="12"/>
  <c r="B813" i="12"/>
  <c r="A813" i="12"/>
  <c r="B117" i="12"/>
  <c r="A117" i="12"/>
  <c r="B539" i="12"/>
  <c r="A539" i="12"/>
  <c r="B851" i="12"/>
  <c r="A851" i="12"/>
  <c r="B699" i="12"/>
  <c r="A699" i="12"/>
  <c r="B1271" i="12"/>
  <c r="B1272" i="12"/>
  <c r="B1380" i="12"/>
  <c r="A1380" i="12"/>
  <c r="B57" i="12"/>
  <c r="A57" i="12"/>
  <c r="B87" i="12"/>
  <c r="A87" i="12"/>
  <c r="B108" i="12"/>
  <c r="A108" i="12"/>
  <c r="B226" i="12"/>
  <c r="A226" i="12"/>
  <c r="B1486" i="12"/>
  <c r="A1486" i="12"/>
  <c r="B218" i="12"/>
  <c r="A218" i="12"/>
  <c r="B711" i="12"/>
  <c r="A711" i="12"/>
  <c r="B1164" i="12"/>
  <c r="A1164" i="12"/>
  <c r="B1258" i="12"/>
  <c r="A1258" i="12"/>
  <c r="B1026" i="12"/>
  <c r="A1026" i="12"/>
  <c r="B1017" i="12"/>
  <c r="B1016" i="12"/>
  <c r="B1015" i="12"/>
  <c r="B1014" i="12"/>
  <c r="B1253" i="12"/>
  <c r="A1253" i="12"/>
  <c r="B1252" i="12"/>
  <c r="A1252" i="12"/>
  <c r="B1248" i="12"/>
  <c r="A1248" i="12"/>
  <c r="B1241" i="12"/>
  <c r="A1241" i="12"/>
  <c r="B1240" i="12"/>
  <c r="A1240" i="12"/>
  <c r="B1232" i="12"/>
  <c r="A1232" i="12"/>
  <c r="B1224" i="12"/>
  <c r="A1224" i="12"/>
  <c r="B1109" i="12"/>
  <c r="A1109" i="12"/>
  <c r="C67" i="2"/>
  <c r="B67" i="2"/>
  <c r="J117" i="2"/>
  <c r="J118" i="2"/>
  <c r="C122" i="2"/>
  <c r="B122" i="2"/>
  <c r="C118" i="2"/>
  <c r="B118" i="2"/>
  <c r="C117" i="2"/>
  <c r="B117" i="2"/>
  <c r="F117" i="2" l="1"/>
  <c r="F122" i="2"/>
  <c r="D118" i="2"/>
  <c r="E83" i="2"/>
  <c r="F5" i="2"/>
  <c r="D7" i="2"/>
  <c r="E8" i="2"/>
  <c r="F9" i="2"/>
  <c r="D11" i="2"/>
  <c r="E12" i="2"/>
  <c r="F13" i="2"/>
  <c r="D17" i="2"/>
  <c r="E18" i="2"/>
  <c r="F19" i="2"/>
  <c r="D21" i="2"/>
  <c r="E22" i="2"/>
  <c r="F25" i="2"/>
  <c r="D27" i="2"/>
  <c r="E28" i="2"/>
  <c r="F29" i="2"/>
  <c r="D31" i="2"/>
  <c r="E32" i="2"/>
  <c r="F33" i="2"/>
  <c r="D37" i="2"/>
  <c r="E38" i="2"/>
  <c r="F39" i="2"/>
  <c r="D42" i="2"/>
  <c r="E46" i="2"/>
  <c r="F47" i="2"/>
  <c r="D49" i="2"/>
  <c r="E50" i="2"/>
  <c r="F51" i="2"/>
  <c r="D55" i="2"/>
  <c r="E56" i="2"/>
  <c r="F57" i="2"/>
  <c r="D60" i="2"/>
  <c r="E61" i="2"/>
  <c r="F62" i="2"/>
  <c r="D64" i="2"/>
  <c r="E67" i="2"/>
  <c r="F68" i="2"/>
  <c r="D70" i="2"/>
  <c r="E71" i="2"/>
  <c r="F72" i="2"/>
  <c r="D74" i="2"/>
  <c r="E75" i="2"/>
  <c r="F76" i="2"/>
  <c r="D80" i="2"/>
  <c r="E88" i="2"/>
  <c r="F91" i="2"/>
  <c r="D93" i="2"/>
  <c r="E94" i="2"/>
  <c r="F95" i="2"/>
  <c r="D108" i="2"/>
  <c r="E109" i="2"/>
  <c r="F110" i="2"/>
  <c r="D112" i="2"/>
  <c r="E113" i="2"/>
  <c r="F114" i="2"/>
  <c r="D120" i="2"/>
  <c r="E121" i="2"/>
  <c r="F123" i="2"/>
  <c r="D125" i="2"/>
  <c r="E126" i="2"/>
  <c r="F127" i="2"/>
  <c r="D129" i="2"/>
  <c r="E132" i="2"/>
  <c r="F133" i="2"/>
  <c r="D135" i="2"/>
  <c r="E136" i="2"/>
  <c r="F137" i="2"/>
  <c r="D141" i="2"/>
  <c r="E142" i="2"/>
  <c r="F143" i="2"/>
  <c r="D145" i="2"/>
  <c r="E148" i="2"/>
  <c r="F149" i="2"/>
  <c r="D152" i="2"/>
  <c r="E153" i="2"/>
  <c r="F164" i="2"/>
  <c r="D166" i="2"/>
  <c r="E167" i="2"/>
  <c r="F168" i="2"/>
  <c r="D172" i="2"/>
  <c r="E173" i="2"/>
  <c r="F174" i="2"/>
  <c r="D176" i="2"/>
  <c r="E177" i="2"/>
  <c r="F180" i="2"/>
  <c r="D182" i="2"/>
  <c r="E183" i="2"/>
  <c r="F184" i="2"/>
  <c r="D84" i="2"/>
  <c r="E82" i="2"/>
  <c r="E85" i="2"/>
  <c r="D6" i="2"/>
  <c r="E7" i="2"/>
  <c r="F8" i="2"/>
  <c r="D10" i="2"/>
  <c r="E11" i="2"/>
  <c r="F12" i="2"/>
  <c r="D14" i="2"/>
  <c r="E17" i="2"/>
  <c r="F18" i="2"/>
  <c r="D20" i="2"/>
  <c r="E21" i="2"/>
  <c r="F22" i="2"/>
  <c r="D26" i="2"/>
  <c r="E27" i="2"/>
  <c r="F28" i="2"/>
  <c r="D30" i="2"/>
  <c r="E31" i="2"/>
  <c r="F32" i="2"/>
  <c r="D36" i="2"/>
  <c r="E37" i="2"/>
  <c r="F38" i="2"/>
  <c r="D40" i="2"/>
  <c r="E42" i="2"/>
  <c r="F46" i="2"/>
  <c r="D48" i="2"/>
  <c r="E49" i="2"/>
  <c r="F50" i="2"/>
  <c r="D52" i="2"/>
  <c r="E55" i="2"/>
  <c r="F56" i="2"/>
  <c r="D58" i="2"/>
  <c r="E60" i="2"/>
  <c r="F61" i="2"/>
  <c r="D63" i="2"/>
  <c r="E64" i="2"/>
  <c r="F67" i="2"/>
  <c r="D69" i="2"/>
  <c r="E70" i="2"/>
  <c r="F71" i="2"/>
  <c r="D73" i="2"/>
  <c r="E74" i="2"/>
  <c r="F75" i="2"/>
  <c r="D79" i="2"/>
  <c r="E80" i="2"/>
  <c r="F88" i="2"/>
  <c r="D92" i="2"/>
  <c r="E93" i="2"/>
  <c r="F94" i="2"/>
  <c r="D96" i="2"/>
  <c r="E108" i="2"/>
  <c r="F109" i="2"/>
  <c r="D111" i="2"/>
  <c r="E112" i="2"/>
  <c r="F113" i="2"/>
  <c r="D119" i="2"/>
  <c r="E120" i="2"/>
  <c r="F121" i="2"/>
  <c r="D124" i="2"/>
  <c r="E125" i="2"/>
  <c r="F126" i="2"/>
  <c r="D128" i="2"/>
  <c r="E129" i="2"/>
  <c r="F132" i="2"/>
  <c r="D134" i="2"/>
  <c r="E135" i="2"/>
  <c r="F136" i="2"/>
  <c r="D140" i="2"/>
  <c r="E141" i="2"/>
  <c r="F142" i="2"/>
  <c r="D144" i="2"/>
  <c r="E145" i="2"/>
  <c r="F148" i="2"/>
  <c r="D151" i="2"/>
  <c r="E152" i="2"/>
  <c r="F153" i="2"/>
  <c r="D165" i="2"/>
  <c r="E166" i="2"/>
  <c r="F167" i="2"/>
  <c r="D169" i="2"/>
  <c r="E172" i="2"/>
  <c r="F173" i="2"/>
  <c r="D175" i="2"/>
  <c r="E176" i="2"/>
  <c r="F177" i="2"/>
  <c r="D181" i="2"/>
  <c r="E182" i="2"/>
  <c r="F183" i="2"/>
  <c r="D185" i="2"/>
  <c r="D41" i="2"/>
  <c r="E84" i="2"/>
  <c r="F82" i="2"/>
  <c r="F85" i="2"/>
  <c r="F83" i="2"/>
  <c r="D5" i="2"/>
  <c r="E6" i="2"/>
  <c r="F7" i="2"/>
  <c r="D9" i="2"/>
  <c r="E10" i="2"/>
  <c r="F11" i="2"/>
  <c r="D13" i="2"/>
  <c r="E14" i="2"/>
  <c r="F17" i="2"/>
  <c r="D19" i="2"/>
  <c r="E20" i="2"/>
  <c r="F21" i="2"/>
  <c r="D25" i="2"/>
  <c r="E26" i="2"/>
  <c r="F27" i="2"/>
  <c r="D29" i="2"/>
  <c r="E30" i="2"/>
  <c r="F31" i="2"/>
  <c r="D33" i="2"/>
  <c r="E36" i="2"/>
  <c r="F37" i="2"/>
  <c r="D39" i="2"/>
  <c r="E40" i="2"/>
  <c r="F42" i="2"/>
  <c r="D47" i="2"/>
  <c r="E48" i="2"/>
  <c r="F49" i="2"/>
  <c r="D51" i="2"/>
  <c r="E52" i="2"/>
  <c r="F55" i="2"/>
  <c r="D57" i="2"/>
  <c r="E58" i="2"/>
  <c r="F60" i="2"/>
  <c r="D62" i="2"/>
  <c r="E63" i="2"/>
  <c r="F64" i="2"/>
  <c r="D68" i="2"/>
  <c r="E69" i="2"/>
  <c r="F70" i="2"/>
  <c r="D72" i="2"/>
  <c r="E73" i="2"/>
  <c r="F74" i="2"/>
  <c r="D76" i="2"/>
  <c r="E79" i="2"/>
  <c r="F80" i="2"/>
  <c r="D91" i="2"/>
  <c r="E92" i="2"/>
  <c r="F93" i="2"/>
  <c r="D95" i="2"/>
  <c r="E96" i="2"/>
  <c r="F108" i="2"/>
  <c r="D110" i="2"/>
  <c r="E111" i="2"/>
  <c r="F112" i="2"/>
  <c r="D114" i="2"/>
  <c r="E119" i="2"/>
  <c r="F120" i="2"/>
  <c r="D123" i="2"/>
  <c r="E124" i="2"/>
  <c r="F125" i="2"/>
  <c r="D127" i="2"/>
  <c r="E128" i="2"/>
  <c r="F129" i="2"/>
  <c r="D133" i="2"/>
  <c r="E134" i="2"/>
  <c r="F135" i="2"/>
  <c r="D137" i="2"/>
  <c r="E140" i="2"/>
  <c r="F141" i="2"/>
  <c r="D143" i="2"/>
  <c r="E144" i="2"/>
  <c r="F145" i="2"/>
  <c r="D149" i="2"/>
  <c r="E151" i="2"/>
  <c r="F152" i="2"/>
  <c r="D164" i="2"/>
  <c r="E165" i="2"/>
  <c r="F166" i="2"/>
  <c r="D168" i="2"/>
  <c r="E169" i="2"/>
  <c r="F172" i="2"/>
  <c r="D174" i="2"/>
  <c r="E175" i="2"/>
  <c r="F176" i="2"/>
  <c r="D180" i="2"/>
  <c r="E181" i="2"/>
  <c r="F182" i="2"/>
  <c r="D184" i="2"/>
  <c r="E185" i="2"/>
  <c r="E41" i="2"/>
  <c r="F84" i="2"/>
  <c r="E5" i="2"/>
  <c r="F6" i="2"/>
  <c r="D8" i="2"/>
  <c r="E9" i="2"/>
  <c r="F10" i="2"/>
  <c r="D12" i="2"/>
  <c r="E13" i="2"/>
  <c r="F14" i="2"/>
  <c r="D18" i="2"/>
  <c r="E19" i="2"/>
  <c r="F20" i="2"/>
  <c r="D22" i="2"/>
  <c r="E25" i="2"/>
  <c r="F26" i="2"/>
  <c r="D28" i="2"/>
  <c r="E29" i="2"/>
  <c r="F30" i="2"/>
  <c r="D32" i="2"/>
  <c r="E33" i="2"/>
  <c r="F36" i="2"/>
  <c r="D38" i="2"/>
  <c r="E39" i="2"/>
  <c r="F40" i="2"/>
  <c r="D46" i="2"/>
  <c r="E47" i="2"/>
  <c r="F48" i="2"/>
  <c r="D50" i="2"/>
  <c r="E51" i="2"/>
  <c r="F52" i="2"/>
  <c r="D56" i="2"/>
  <c r="E57" i="2"/>
  <c r="F58" i="2"/>
  <c r="D61" i="2"/>
  <c r="E62" i="2"/>
  <c r="F63" i="2"/>
  <c r="D67" i="2"/>
  <c r="E68" i="2"/>
  <c r="F69" i="2"/>
  <c r="D71" i="2"/>
  <c r="E72" i="2"/>
  <c r="F73" i="2"/>
  <c r="D75" i="2"/>
  <c r="E76" i="2"/>
  <c r="F79" i="2"/>
  <c r="D88" i="2"/>
  <c r="E91" i="2"/>
  <c r="F92" i="2"/>
  <c r="D94" i="2"/>
  <c r="E95" i="2"/>
  <c r="F96" i="2"/>
  <c r="D109" i="2"/>
  <c r="E110" i="2"/>
  <c r="F111" i="2"/>
  <c r="D113" i="2"/>
  <c r="E114" i="2"/>
  <c r="F119" i="2"/>
  <c r="D121" i="2"/>
  <c r="E123" i="2"/>
  <c r="F124" i="2"/>
  <c r="D126" i="2"/>
  <c r="E127" i="2"/>
  <c r="F128" i="2"/>
  <c r="D132" i="2"/>
  <c r="E133" i="2"/>
  <c r="F134" i="2"/>
  <c r="D136" i="2"/>
  <c r="E137" i="2"/>
  <c r="F140" i="2"/>
  <c r="D142" i="2"/>
  <c r="E143" i="2"/>
  <c r="F144" i="2"/>
  <c r="D148" i="2"/>
  <c r="E149" i="2"/>
  <c r="F151" i="2"/>
  <c r="D153" i="2"/>
  <c r="E164" i="2"/>
  <c r="F165" i="2"/>
  <c r="D167" i="2"/>
  <c r="E168" i="2"/>
  <c r="F169" i="2"/>
  <c r="D173" i="2"/>
  <c r="E174" i="2"/>
  <c r="F175" i="2"/>
  <c r="D177" i="2"/>
  <c r="E180" i="2"/>
  <c r="F181" i="2"/>
  <c r="D183" i="2"/>
  <c r="E184" i="2"/>
  <c r="F185" i="2"/>
  <c r="F41" i="2"/>
  <c r="D82" i="2"/>
  <c r="D85" i="2"/>
  <c r="D83" i="2"/>
  <c r="E118" i="2"/>
  <c r="F118" i="2"/>
  <c r="D117" i="2"/>
  <c r="E122" i="2"/>
  <c r="D122" i="2"/>
  <c r="E117" i="2"/>
  <c r="H35" i="2"/>
  <c r="H131" i="2"/>
  <c r="I116" i="2"/>
  <c r="H116" i="2"/>
  <c r="J114" i="2"/>
  <c r="J113" i="2"/>
  <c r="J112" i="2"/>
  <c r="J111" i="2"/>
  <c r="J110" i="2"/>
  <c r="I35" i="2"/>
  <c r="J33" i="2"/>
  <c r="J31" i="2"/>
  <c r="H78" i="2"/>
  <c r="J109" i="2"/>
  <c r="J108" i="2"/>
  <c r="J107" i="2"/>
  <c r="J106" i="2"/>
  <c r="J76" i="2"/>
  <c r="J75" i="2"/>
  <c r="J74" i="2"/>
  <c r="J73" i="2"/>
  <c r="J63" i="2"/>
  <c r="J62" i="2"/>
  <c r="J61" i="2"/>
  <c r="J60" i="2"/>
  <c r="J13" i="2"/>
  <c r="J12" i="2"/>
  <c r="J11" i="2"/>
  <c r="J10" i="2"/>
  <c r="J32" i="2" l="1"/>
  <c r="I54" i="2" l="1"/>
  <c r="H54" i="2"/>
  <c r="J52" i="2"/>
  <c r="J40" i="2"/>
  <c r="J50" i="2"/>
  <c r="J105" i="2"/>
  <c r="J124" i="2"/>
  <c r="J125" i="2"/>
  <c r="J128" i="2"/>
  <c r="J123" i="2"/>
  <c r="J126" i="2"/>
  <c r="J129" i="2"/>
  <c r="J120" i="2"/>
  <c r="I187" i="2" l="1"/>
  <c r="D23" i="1" s="1"/>
  <c r="H23" i="1" s="1"/>
  <c r="H187" i="2"/>
  <c r="C23" i="1" s="1"/>
  <c r="I179" i="2"/>
  <c r="H179" i="2"/>
  <c r="C22" i="1" s="1"/>
  <c r="I171" i="2"/>
  <c r="H171" i="2"/>
  <c r="C21" i="1" s="1"/>
  <c r="E21" i="1" s="1"/>
  <c r="I21" i="1" s="1"/>
  <c r="I163" i="2"/>
  <c r="D20" i="1" s="1"/>
  <c r="H163" i="2"/>
  <c r="I155" i="2"/>
  <c r="D18" i="1" s="1"/>
  <c r="H155" i="2"/>
  <c r="I147" i="2"/>
  <c r="D17" i="1" s="1"/>
  <c r="H17" i="1" s="1"/>
  <c r="H147" i="2"/>
  <c r="C17" i="1" s="1"/>
  <c r="I139" i="2"/>
  <c r="H139" i="2"/>
  <c r="C16" i="1" s="1"/>
  <c r="I131" i="2"/>
  <c r="D15" i="1" s="1"/>
  <c r="C14" i="1"/>
  <c r="I98" i="2"/>
  <c r="D13" i="1"/>
  <c r="H13" i="1" s="1"/>
  <c r="H98" i="2"/>
  <c r="C13" i="1" s="1"/>
  <c r="G13" i="1" s="1"/>
  <c r="I90" i="2"/>
  <c r="D12" i="1" s="1"/>
  <c r="H12" i="1" s="1"/>
  <c r="H90" i="2"/>
  <c r="C12" i="1" s="1"/>
  <c r="I78" i="2"/>
  <c r="D11" i="1" s="1"/>
  <c r="H11" i="1" s="1"/>
  <c r="C11" i="1"/>
  <c r="I66" i="2"/>
  <c r="D10" i="1" s="1"/>
  <c r="H10" i="1" s="1"/>
  <c r="H66" i="2"/>
  <c r="C10" i="1" s="1"/>
  <c r="I44" i="2"/>
  <c r="D8" i="1" s="1"/>
  <c r="H44" i="2"/>
  <c r="C8" i="1" s="1"/>
  <c r="D7" i="1"/>
  <c r="H7" i="1" s="1"/>
  <c r="C7" i="1"/>
  <c r="I24" i="2"/>
  <c r="H24" i="2"/>
  <c r="I16" i="2"/>
  <c r="D5" i="1" s="1"/>
  <c r="H5" i="1" s="1"/>
  <c r="H16" i="2"/>
  <c r="C5" i="1" s="1"/>
  <c r="D22" i="1"/>
  <c r="H22" i="1" s="1"/>
  <c r="D21" i="1"/>
  <c r="H21" i="1" s="1"/>
  <c r="D16" i="1"/>
  <c r="H16" i="1" s="1"/>
  <c r="D14" i="1"/>
  <c r="H14" i="1" s="1"/>
  <c r="D9" i="1"/>
  <c r="H9" i="1" s="1"/>
  <c r="D6" i="1"/>
  <c r="C20" i="1"/>
  <c r="G20" i="1" s="1"/>
  <c r="C18" i="1"/>
  <c r="C15" i="1"/>
  <c r="C9" i="1"/>
  <c r="C6" i="1"/>
  <c r="G6" i="1" s="1"/>
  <c r="J185" i="2"/>
  <c r="J184" i="2"/>
  <c r="J183" i="2"/>
  <c r="J182" i="2"/>
  <c r="J181" i="2"/>
  <c r="J180" i="2"/>
  <c r="J187" i="2" s="1"/>
  <c r="J177" i="2"/>
  <c r="J176" i="2"/>
  <c r="J175" i="2"/>
  <c r="J174" i="2"/>
  <c r="J173" i="2"/>
  <c r="J172" i="2"/>
  <c r="J169" i="2"/>
  <c r="J168" i="2"/>
  <c r="J167" i="2"/>
  <c r="J166" i="2"/>
  <c r="J165" i="2"/>
  <c r="J164" i="2"/>
  <c r="J171" i="2" s="1"/>
  <c r="J161" i="2"/>
  <c r="J160" i="2"/>
  <c r="J159" i="2"/>
  <c r="J158" i="2"/>
  <c r="J157" i="2"/>
  <c r="J156" i="2"/>
  <c r="J153" i="2"/>
  <c r="J152" i="2"/>
  <c r="J151" i="2"/>
  <c r="J150" i="2"/>
  <c r="J149" i="2"/>
  <c r="J148" i="2"/>
  <c r="J145" i="2"/>
  <c r="J144" i="2"/>
  <c r="J143" i="2"/>
  <c r="J142" i="2"/>
  <c r="J141" i="2"/>
  <c r="J140" i="2"/>
  <c r="J137" i="2"/>
  <c r="J136" i="2"/>
  <c r="J135" i="2"/>
  <c r="J134" i="2"/>
  <c r="J133" i="2"/>
  <c r="J132" i="2"/>
  <c r="J127" i="2"/>
  <c r="J122" i="2"/>
  <c r="J121" i="2"/>
  <c r="J119" i="2"/>
  <c r="J104" i="2"/>
  <c r="J103" i="2"/>
  <c r="J102" i="2"/>
  <c r="J100" i="2"/>
  <c r="J99" i="2"/>
  <c r="J96" i="2"/>
  <c r="J95" i="2"/>
  <c r="J94" i="2"/>
  <c r="J93" i="2"/>
  <c r="J92" i="2"/>
  <c r="J91" i="2"/>
  <c r="J88" i="2"/>
  <c r="J87" i="2"/>
  <c r="J81" i="2"/>
  <c r="J80" i="2"/>
  <c r="J79" i="2"/>
  <c r="J72" i="2"/>
  <c r="J71" i="2"/>
  <c r="J70" i="2"/>
  <c r="J69" i="2"/>
  <c r="J68" i="2"/>
  <c r="J67" i="2"/>
  <c r="J64" i="2"/>
  <c r="J59" i="2"/>
  <c r="J58" i="2"/>
  <c r="J57" i="2"/>
  <c r="J56" i="2"/>
  <c r="J55" i="2"/>
  <c r="J51" i="2"/>
  <c r="J49" i="2"/>
  <c r="J48" i="2"/>
  <c r="J47" i="2"/>
  <c r="J46" i="2"/>
  <c r="J45" i="2"/>
  <c r="J42" i="2"/>
  <c r="J39" i="2"/>
  <c r="J38" i="2"/>
  <c r="J37" i="2"/>
  <c r="J36" i="2"/>
  <c r="J30" i="2"/>
  <c r="J29" i="2"/>
  <c r="J28" i="2"/>
  <c r="J27" i="2"/>
  <c r="J26" i="2"/>
  <c r="J25" i="2"/>
  <c r="J22" i="2"/>
  <c r="J21" i="2"/>
  <c r="J20" i="2"/>
  <c r="J19" i="2"/>
  <c r="J18" i="2"/>
  <c r="J17" i="2"/>
  <c r="J14" i="2"/>
  <c r="J9" i="2"/>
  <c r="J8" i="2"/>
  <c r="J7" i="2"/>
  <c r="J6" i="2"/>
  <c r="J5" i="2"/>
  <c r="E19" i="1"/>
  <c r="I19" i="1" s="1"/>
  <c r="H19" i="1"/>
  <c r="G19" i="1"/>
  <c r="H20" i="1" l="1"/>
  <c r="E20" i="1"/>
  <c r="I20" i="1" s="1"/>
  <c r="J163" i="2"/>
  <c r="J179" i="2"/>
  <c r="J131" i="2"/>
  <c r="E9" i="1"/>
  <c r="E13" i="1"/>
  <c r="I13" i="1" s="1"/>
  <c r="J54" i="2"/>
  <c r="J16" i="2"/>
  <c r="J66" i="2"/>
  <c r="J78" i="2"/>
  <c r="J35" i="2"/>
  <c r="J90" i="2"/>
  <c r="J44" i="2"/>
  <c r="E22" i="1"/>
  <c r="I22" i="1" s="1"/>
  <c r="G22" i="1"/>
  <c r="E18" i="1"/>
  <c r="H18" i="1"/>
  <c r="J147" i="2"/>
  <c r="J139" i="2"/>
  <c r="G21" i="1"/>
  <c r="E16" i="1"/>
  <c r="H15" i="1"/>
  <c r="E15" i="1"/>
  <c r="J116" i="2"/>
  <c r="E6" i="1"/>
  <c r="I6" i="1" s="1"/>
  <c r="E5" i="1"/>
  <c r="E8" i="1"/>
  <c r="H8" i="1"/>
  <c r="D24" i="1"/>
  <c r="E23" i="1"/>
  <c r="I23" i="1" s="1"/>
  <c r="H6" i="1"/>
  <c r="G23" i="1"/>
  <c r="E14" i="1"/>
  <c r="J155" i="2"/>
  <c r="J98" i="2"/>
  <c r="J24" i="2"/>
  <c r="E17" i="1"/>
  <c r="E10" i="1"/>
  <c r="E7" i="1"/>
  <c r="E11" i="1"/>
  <c r="E12" i="1"/>
  <c r="C24" i="1"/>
  <c r="G16" i="1" s="1"/>
  <c r="H24" i="1" l="1"/>
  <c r="G8" i="1"/>
  <c r="G18" i="1"/>
  <c r="G7" i="1"/>
  <c r="G9" i="1"/>
  <c r="G10" i="1"/>
  <c r="G5" i="1"/>
  <c r="E24" i="1"/>
  <c r="G12" i="1"/>
  <c r="G15" i="1"/>
  <c r="G17" i="1"/>
  <c r="G14" i="1"/>
  <c r="G11" i="1"/>
  <c r="I16" i="1" l="1"/>
  <c r="I8" i="1"/>
  <c r="I18" i="1"/>
  <c r="I7" i="1"/>
  <c r="I9" i="1"/>
  <c r="I15" i="1"/>
  <c r="I5" i="1"/>
  <c r="I11" i="1"/>
  <c r="I10" i="1"/>
  <c r="I12" i="1"/>
  <c r="I14" i="1"/>
  <c r="I17" i="1"/>
  <c r="G24" i="1"/>
  <c r="I24" i="1" l="1"/>
</calcChain>
</file>

<file path=xl/sharedStrings.xml><?xml version="1.0" encoding="utf-8"?>
<sst xmlns="http://schemas.openxmlformats.org/spreadsheetml/2006/main" count="33231" uniqueCount="7258">
  <si>
    <t>PPS Funds Flow Summary by Partner Type - DY2, Q4 (IPP Module 1.4 and Module 1.10)</t>
  </si>
  <si>
    <t>Partner Category</t>
  </si>
  <si>
    <t>Quarterly Funds Flow Update - DY2, Q4</t>
  </si>
  <si>
    <t>Funds Flow - Waiver Dollars</t>
  </si>
  <si>
    <t>Funds Flow - Non-Waiver Dollars</t>
  </si>
  <si>
    <t>Funds Flow - All Dollars</t>
  </si>
  <si>
    <t>% of Funds Flow - Waiver Dollars</t>
  </si>
  <si>
    <t>% of Funds Flow - Non-Waiver Dollars</t>
  </si>
  <si>
    <t>% of Funds Flow - All Dollars</t>
  </si>
  <si>
    <t>Practitioner - Primary Care</t>
  </si>
  <si>
    <t>Practitioner - Non-Primary Care</t>
  </si>
  <si>
    <t>Hospital - Inpatient/ED</t>
  </si>
  <si>
    <t>Hospital - Ambulatory</t>
  </si>
  <si>
    <t>Clinic</t>
  </si>
  <si>
    <t>Mental Health</t>
  </si>
  <si>
    <t>Substance Abuse</t>
  </si>
  <si>
    <t>Case Management</t>
  </si>
  <si>
    <t>Health Home</t>
  </si>
  <si>
    <t>Community Based Organization (Tier 1)</t>
  </si>
  <si>
    <t>Nursing Home</t>
  </si>
  <si>
    <t>Pharmacy</t>
  </si>
  <si>
    <t>Hospice</t>
  </si>
  <si>
    <t>Home Care</t>
  </si>
  <si>
    <t>PPS PMO</t>
  </si>
  <si>
    <t>Non-PPS Network</t>
  </si>
  <si>
    <t>Other (Define)</t>
  </si>
  <si>
    <t>Total</t>
  </si>
  <si>
    <t>PPS Funds Flow - Partner Level Detail</t>
  </si>
  <si>
    <t>Partner Information</t>
  </si>
  <si>
    <t>NPI</t>
  </si>
  <si>
    <t>MMIS ID</t>
  </si>
  <si>
    <t>Partner Name</t>
  </si>
  <si>
    <t>Safety Net</t>
  </si>
  <si>
    <t>State Assigned Category</t>
  </si>
  <si>
    <t>INSERT ROWS ABOVE FOR ADDITIONAL PARTNERS IN THIS CATEGORY - DO NOT ENTER DATA IN THIS ROW</t>
  </si>
  <si>
    <t>1st Tier Funds Flow Partner (from Funds Flow Partner Detail)</t>
  </si>
  <si>
    <t>2nd Tier Funds Flow Recipient Partner Information</t>
  </si>
  <si>
    <t>Partner Funds Flow Data</t>
  </si>
  <si>
    <t>Partner Project Participation</t>
  </si>
  <si>
    <t>NPI or MMIS ID</t>
  </si>
  <si>
    <t>Hub (Y/N)</t>
  </si>
  <si>
    <t>DY2, Q4 Funds Flow  Update</t>
  </si>
  <si>
    <t>Prov Part 2.a.i</t>
  </si>
  <si>
    <t>Prov Part 2.a.iii</t>
  </si>
  <si>
    <t>Prov Part 2.a.iv</t>
  </si>
  <si>
    <t>Prov Part 2.b.iii</t>
  </si>
  <si>
    <t>Prov Part 3.a.i</t>
  </si>
  <si>
    <t>Prov Part 3.a.ii</t>
  </si>
  <si>
    <t>Prov Part 3.b.i</t>
  </si>
  <si>
    <t>Prov Part 3.d.iii</t>
  </si>
  <si>
    <t>Prov Part 4.b.i</t>
  </si>
  <si>
    <t>Prov Part 4.b.ii</t>
  </si>
  <si>
    <t>PPS Partner Engagement by Project</t>
  </si>
  <si>
    <t>Partner Type</t>
  </si>
  <si>
    <t>2.a.i.</t>
  </si>
  <si>
    <t>2.b.iv.</t>
  </si>
  <si>
    <t>2.b.vii.</t>
  </si>
  <si>
    <t>2.c.i.</t>
  </si>
  <si>
    <t>2.d.i.</t>
  </si>
  <si>
    <t>3.a.i.</t>
  </si>
  <si>
    <t>3.a.ii.</t>
  </si>
  <si>
    <t>3.b.i.</t>
  </si>
  <si>
    <t>3.g.i.</t>
  </si>
  <si>
    <t>Committed</t>
  </si>
  <si>
    <t>Engaged</t>
  </si>
  <si>
    <t>Hospital</t>
  </si>
  <si>
    <t>Case Management / Health Home</t>
  </si>
  <si>
    <t>Community Based Organizations</t>
  </si>
  <si>
    <t>All Other</t>
  </si>
  <si>
    <t>Community-based navigators participating in project</t>
  </si>
  <si>
    <t>PAM(R) Providers</t>
  </si>
  <si>
    <t>Expected Number of Crisis Intervention Programs Established</t>
  </si>
  <si>
    <t>NPI ID</t>
  </si>
  <si>
    <t>DSRIP Provider Name</t>
  </si>
  <si>
    <t>Entity ID</t>
  </si>
  <si>
    <t>Entity Name</t>
  </si>
  <si>
    <t>OPWDD Tax ID</t>
  </si>
  <si>
    <t>DSRIP Contact Name</t>
  </si>
  <si>
    <t>DSRIP Contact Phone</t>
  </si>
  <si>
    <t>Phone Extension</t>
  </si>
  <si>
    <t>DSRIP Contact Email</t>
  </si>
  <si>
    <t>DSRIP Provider Type</t>
  </si>
  <si>
    <t>Provider Category</t>
  </si>
  <si>
    <t>DSRIP Street</t>
  </si>
  <si>
    <t>DSRIP City</t>
  </si>
  <si>
    <t>DSRIP State</t>
  </si>
  <si>
    <t>DSRIP Postal Code</t>
  </si>
  <si>
    <t>NPI Name</t>
  </si>
  <si>
    <t>NPI Street</t>
  </si>
  <si>
    <t>NPI City</t>
  </si>
  <si>
    <t>NPI State</t>
  </si>
  <si>
    <t>NPI Postal Code</t>
  </si>
  <si>
    <t>MMIS Name</t>
  </si>
  <si>
    <t>MMIS Street</t>
  </si>
  <si>
    <t>MMIS City</t>
  </si>
  <si>
    <t>MMIS State</t>
  </si>
  <si>
    <t>MMIS Postal Code</t>
  </si>
  <si>
    <t>MMIS Provider Type</t>
  </si>
  <si>
    <t>DSRIP Partner Type</t>
  </si>
  <si>
    <t>Public Hospital</t>
  </si>
  <si>
    <t>Provider Status</t>
  </si>
  <si>
    <t>Hub(Short Name)</t>
  </si>
  <si>
    <t>Network Type</t>
  </si>
  <si>
    <t>Errors</t>
  </si>
  <si>
    <t>Warnings</t>
  </si>
  <si>
    <t>RAMANUJAPURAM RAMANUJAN M.D.</t>
  </si>
  <si>
    <t>E0070982</t>
  </si>
  <si>
    <t>RAMANUJAPURAM RAMANUJAN MD</t>
  </si>
  <si>
    <t>No</t>
  </si>
  <si>
    <t>LOURDES HOSP</t>
  </si>
  <si>
    <t>BINGHAMTON</t>
  </si>
  <si>
    <t>NY</t>
  </si>
  <si>
    <t>PHYSICIANS GROUP</t>
  </si>
  <si>
    <t>M</t>
  </si>
  <si>
    <t>MMIS</t>
  </si>
  <si>
    <t>SouthRPU</t>
  </si>
  <si>
    <t>P</t>
  </si>
  <si>
    <t>SEDDON LORRAINE DR.</t>
  </si>
  <si>
    <t>E0212461</t>
  </si>
  <si>
    <t>SEDDON LORRAINE MD</t>
  </si>
  <si>
    <t>All Other:: Practitioner - Primary Care Provider (PCP)</t>
  </si>
  <si>
    <t>179 N BROAD ST</t>
  </si>
  <si>
    <t>NORWICH</t>
  </si>
  <si>
    <t>PHYSICIAN</t>
  </si>
  <si>
    <t>EastRPU</t>
  </si>
  <si>
    <t>SHADY AMR</t>
  </si>
  <si>
    <t>E0032279</t>
  </si>
  <si>
    <t>SHADY AMR ALI MD</t>
  </si>
  <si>
    <t>601 RIVERSIDE DR</t>
  </si>
  <si>
    <t>JOHNSON CITY</t>
  </si>
  <si>
    <t>SHALLER MARGE</t>
  </si>
  <si>
    <t>E0085167</t>
  </si>
  <si>
    <t>SHALLER MARQUERITE E NP</t>
  </si>
  <si>
    <t>Uncategorized</t>
  </si>
  <si>
    <t>346 GRAND AVE</t>
  </si>
  <si>
    <t>SHAPIRO OLEG</t>
  </si>
  <si>
    <t>E0284336</t>
  </si>
  <si>
    <t>SHAPIRO OLEG MD</t>
  </si>
  <si>
    <t>All Other:: Practitioner - Non-Primary Care Provider (PCP)</t>
  </si>
  <si>
    <t>Yes</t>
  </si>
  <si>
    <t>750 E ADAMS ST</t>
  </si>
  <si>
    <t>SYRACUSE</t>
  </si>
  <si>
    <t>NorthRPU</t>
  </si>
  <si>
    <t>SHEEHAN MAYGOE DR.</t>
  </si>
  <si>
    <t>E0313720</t>
  </si>
  <si>
    <t>MAYGOE RICHARD SHEEHAN</t>
  </si>
  <si>
    <t>SHEEHAN MAYGOE RICHARD</t>
  </si>
  <si>
    <t>100 JOHN ROEMMELT DR</t>
  </si>
  <si>
    <t>HORSEHEADS</t>
  </si>
  <si>
    <t>WestRPU</t>
  </si>
  <si>
    <t>SHUMEYKO NANCY</t>
  </si>
  <si>
    <t>E0191452</t>
  </si>
  <si>
    <t>SHUMEYKO NANCY KELLER MD</t>
  </si>
  <si>
    <t>SICILIANO MICHAEL DR.</t>
  </si>
  <si>
    <t>E0338635</t>
  </si>
  <si>
    <t>SICILIANO MICHAEL A</t>
  </si>
  <si>
    <t>123 CONHOCTON ST</t>
  </si>
  <si>
    <t>CORNING</t>
  </si>
  <si>
    <t>Onondaga Community Living</t>
  </si>
  <si>
    <t>E0083033</t>
  </si>
  <si>
    <t>ONONDAGA COMMUNITY LIVING SMP</t>
  </si>
  <si>
    <t>Patricia Fratangelo</t>
  </si>
  <si>
    <t>(315) 434-9597</t>
  </si>
  <si>
    <t>patfrat@oclinc.org</t>
  </si>
  <si>
    <t>REGION OUTSIDE NYC</t>
  </si>
  <si>
    <t>HOME HEALTH AGENCY</t>
  </si>
  <si>
    <t>E0099679</t>
  </si>
  <si>
    <t>ONONDAGA COMM LIVING HC</t>
  </si>
  <si>
    <t>E0074666</t>
  </si>
  <si>
    <t>ONONDAGA COMM LIVING SPV</t>
  </si>
  <si>
    <t>SUPERVISED</t>
  </si>
  <si>
    <t>E0030045</t>
  </si>
  <si>
    <t>ONONDAGA COMM LIVING DAY</t>
  </si>
  <si>
    <t>GROUP DAY HAB</t>
  </si>
  <si>
    <t>OVEDOVITZ LON DR.</t>
  </si>
  <si>
    <t>E0107326</t>
  </si>
  <si>
    <t>OVEDOVITZ LON A MD</t>
  </si>
  <si>
    <t>Rita Urbanik</t>
  </si>
  <si>
    <t>(607) 937-7572</t>
  </si>
  <si>
    <t xml:space="preserve">urbanek_rita@guthrie.org </t>
  </si>
  <si>
    <t>GUTHRIE CLINIC LTD</t>
  </si>
  <si>
    <t>SAYRE</t>
  </si>
  <si>
    <t>PA</t>
  </si>
  <si>
    <t>SKEIST BARRY DR.</t>
  </si>
  <si>
    <t>E0209184</t>
  </si>
  <si>
    <t>SKEIST BARRY P             MD</t>
  </si>
  <si>
    <t>GUTHRIE SQUARE</t>
  </si>
  <si>
    <t>ROUSE STEVEN DR.</t>
  </si>
  <si>
    <t>E0223564</t>
  </si>
  <si>
    <t>ROUSE STEVEN BRYAN         MD</t>
  </si>
  <si>
    <t>JOY CHRISTOPHER DR.</t>
  </si>
  <si>
    <t>E0142593</t>
  </si>
  <si>
    <t>JOY CHRISTOPHER R MD</t>
  </si>
  <si>
    <t>CHANNIN DAVID</t>
  </si>
  <si>
    <t>E0309905</t>
  </si>
  <si>
    <t>CHANNIN DAVID SAMUEL MD</t>
  </si>
  <si>
    <t>1 GUTHRIE SQ</t>
  </si>
  <si>
    <t>YANG MING DR.</t>
  </si>
  <si>
    <t>E0335437</t>
  </si>
  <si>
    <t>YANG MING</t>
  </si>
  <si>
    <t>CHAUDHARY SUMBLINA</t>
  </si>
  <si>
    <t>E0050203</t>
  </si>
  <si>
    <t>CHAUDHARY SUMBLINA ASLAM</t>
  </si>
  <si>
    <t>CHAUDHARY SUMBLINA A</t>
  </si>
  <si>
    <t>169 RIVERSIDE DR</t>
  </si>
  <si>
    <t>BENNETT CHRISTOPHER DR.</t>
  </si>
  <si>
    <t>E0322241</t>
  </si>
  <si>
    <t>BENNETT CHRISTOPHER JOSEPH</t>
  </si>
  <si>
    <t>BALLARD LUKE DR.</t>
  </si>
  <si>
    <t>E0355372</t>
  </si>
  <si>
    <t>BALLARD LUKE JUSTIN</t>
  </si>
  <si>
    <t>ANTOS JOHN DR.</t>
  </si>
  <si>
    <t>E0221207</t>
  </si>
  <si>
    <t>ANTOS JOHN MICHAEL         MD</t>
  </si>
  <si>
    <t>TOLHURST KIRK DR.</t>
  </si>
  <si>
    <t>E0227111</t>
  </si>
  <si>
    <t>TOLHURST KIRK DUNCAN       MD</t>
  </si>
  <si>
    <t>SOUTHERN TIER INDEP CTR DAY</t>
  </si>
  <si>
    <t>E0030815</t>
  </si>
  <si>
    <t>Maria Dibble</t>
  </si>
  <si>
    <t>(607) 724-2111</t>
  </si>
  <si>
    <t>mdibble@stic-cil.org</t>
  </si>
  <si>
    <t>SOUTHERN TIER INDEP CTR</t>
  </si>
  <si>
    <t>E0125908</t>
  </si>
  <si>
    <t>SOUTHERN TIER INDEPENDENCE CENTER</t>
  </si>
  <si>
    <t>135 E FREDERICK ST</t>
  </si>
  <si>
    <t>Jorge Davidenko</t>
  </si>
  <si>
    <t>E0102086</t>
  </si>
  <si>
    <t>DAVIDENKO JORGE MARIO MD</t>
  </si>
  <si>
    <t>Kathy Hatfield</t>
  </si>
  <si>
    <t>(607) 758-8019</t>
  </si>
  <si>
    <t>khatfield@cortlandregional.org</t>
  </si>
  <si>
    <t>DAVIDENKO JORGE</t>
  </si>
  <si>
    <t>100O EAST GENESEE ST</t>
  </si>
  <si>
    <t>Marc Baker</t>
  </si>
  <si>
    <t>E0308653</t>
  </si>
  <si>
    <t>BAKER MARC LOUIS</t>
  </si>
  <si>
    <t>BAKER MARC DR.</t>
  </si>
  <si>
    <t>134 HOMER AVE</t>
  </si>
  <si>
    <t>CORTLAND</t>
  </si>
  <si>
    <t>Hana Smith</t>
  </si>
  <si>
    <t>E0378662</t>
  </si>
  <si>
    <t>SMITH HANA</t>
  </si>
  <si>
    <t>SMITH HANA DR.</t>
  </si>
  <si>
    <t>Beth Grella</t>
  </si>
  <si>
    <t>E0086351</t>
  </si>
  <si>
    <t>GRELLA BETH ANN</t>
  </si>
  <si>
    <t>Practitioner - Non-Primary Care Provider (PCP)</t>
  </si>
  <si>
    <t>GRELLA BETH</t>
  </si>
  <si>
    <t>Lisa Snyder</t>
  </si>
  <si>
    <t>E0094341</t>
  </si>
  <si>
    <t>SNYDER LISA SIMONETTA</t>
  </si>
  <si>
    <t>SNYDER LISA</t>
  </si>
  <si>
    <t>Robert Lambert</t>
  </si>
  <si>
    <t>E0013697</t>
  </si>
  <si>
    <t>LAMBERT ROBERT ARTHUR MD</t>
  </si>
  <si>
    <t>LAMBERT ROBERT</t>
  </si>
  <si>
    <t>Christopher Moheimani</t>
  </si>
  <si>
    <t>E0112422</t>
  </si>
  <si>
    <t>MOHEIMANI CHRISTOPHER H MD</t>
  </si>
  <si>
    <t>MOHEIMANI CHRISTOPHER DR.</t>
  </si>
  <si>
    <t>129 NORTH ST</t>
  </si>
  <si>
    <t>DRYDEN</t>
  </si>
  <si>
    <t>Polly Ann Cator</t>
  </si>
  <si>
    <t>E0148920</t>
  </si>
  <si>
    <t>CATOR POLLY ANN MD</t>
  </si>
  <si>
    <t>CATOR POLLY DR.</t>
  </si>
  <si>
    <t>Henry David</t>
  </si>
  <si>
    <t>E0027434</t>
  </si>
  <si>
    <t>DAVID HENRY EDWARD DO</t>
  </si>
  <si>
    <t>DAVID HENRY</t>
  </si>
  <si>
    <t>1095 COMMONS AVE</t>
  </si>
  <si>
    <t>Tioga County Mental Hygiene</t>
  </si>
  <si>
    <t>E0237866</t>
  </si>
  <si>
    <t>TIOGA CTY COMMUNITY SRV BOARD</t>
  </si>
  <si>
    <t>Lori Monk</t>
  </si>
  <si>
    <t>(607) 689-8139</t>
  </si>
  <si>
    <t>monkl@co.tioga.ny.us</t>
  </si>
  <si>
    <t>All Other:: Mental Health</t>
  </si>
  <si>
    <t>TIOGA COUNTY</t>
  </si>
  <si>
    <t>1062 STATE ROUTE 38</t>
  </si>
  <si>
    <t>OWEGO</t>
  </si>
  <si>
    <t>DIAGNOSTIC AND TREATMENT CENTER</t>
  </si>
  <si>
    <t>Alcohol and Drug Council of Tompkins County, Inc.</t>
  </si>
  <si>
    <t>E0220318</t>
  </si>
  <si>
    <t>ALCOHOL &amp; SUB ABUSE TOMPKINS</t>
  </si>
  <si>
    <t>Angela Sullivan</t>
  </si>
  <si>
    <t>(607) 274-6288</t>
  </si>
  <si>
    <t>asullivan@alcoholdrugcouncil.org</t>
  </si>
  <si>
    <t>All Other:: Substance Abuse</t>
  </si>
  <si>
    <t>ALCOHOL &amp; DRUG COUNCIL OF TOMPKINS COUNTY, INC.</t>
  </si>
  <si>
    <t>ALCOHOL &amp; DRUG COUNCIL/TOMPKINS CTY</t>
  </si>
  <si>
    <t>201 E GREEN ST STE 500</t>
  </si>
  <si>
    <t>ITHACA</t>
  </si>
  <si>
    <t>Cayuga Medical Center at Ithaca</t>
  </si>
  <si>
    <t>E0265869</t>
  </si>
  <si>
    <t>CAYUGA MEDICAL CTR/ITHACA</t>
  </si>
  <si>
    <t>David Evelyn, MD</t>
  </si>
  <si>
    <t>(607) 274-4255</t>
  </si>
  <si>
    <t>Develyn@cayugamed.org</t>
  </si>
  <si>
    <t>All Other:: Clinic:: Hospital:: Mental Health</t>
  </si>
  <si>
    <t>CAYUGA MEDICAL CENTER AT ITHACA</t>
  </si>
  <si>
    <t>101 DATES DR</t>
  </si>
  <si>
    <t>HOSPITAL</t>
  </si>
  <si>
    <t>Cayuga Ridge Health and Residential Community</t>
  </si>
  <si>
    <t>E0300084</t>
  </si>
  <si>
    <t>CAYUGA RIDGE EXTENDED CARE</t>
  </si>
  <si>
    <t>Jolene Sanderson</t>
  </si>
  <si>
    <t>(607) 273-8072</t>
  </si>
  <si>
    <t>jsanderson@cayugaridge.org</t>
  </si>
  <si>
    <t>CAYUGA RIDGE, LLC</t>
  </si>
  <si>
    <t>1229 TRUMANSBURG RD</t>
  </si>
  <si>
    <t>LONG TERM CARE FACILITY</t>
  </si>
  <si>
    <t>Susan Anderson, PA-C</t>
  </si>
  <si>
    <t>E0008178</t>
  </si>
  <si>
    <t>ANDERSON SUSAN C RPA</t>
  </si>
  <si>
    <t>(607) 692-3844</t>
  </si>
  <si>
    <t>Susan_Anderson@uhs.org</t>
  </si>
  <si>
    <t>ANDERSON SUSAN</t>
  </si>
  <si>
    <t>ANDERSON SUSAN CAROL</t>
  </si>
  <si>
    <t>2352 RT 26</t>
  </si>
  <si>
    <t>ENDICOTT</t>
  </si>
  <si>
    <t>Jean Howard, RN, FNP-C</t>
  </si>
  <si>
    <t>E0114300</t>
  </si>
  <si>
    <t>HOWARD JEAN PIERSON</t>
  </si>
  <si>
    <t>Jean_Howard@uhs.org</t>
  </si>
  <si>
    <t>HOWARD JEAN</t>
  </si>
  <si>
    <t>CHENANGO MEM HOSP</t>
  </si>
  <si>
    <t>Sharon Baldouf-Madero, RPA</t>
  </si>
  <si>
    <t>E0109153</t>
  </si>
  <si>
    <t>BALDAUF-MADERO SHARON DIANE</t>
  </si>
  <si>
    <t>(607) 432-8477</t>
  </si>
  <si>
    <t>Sharon_Baldauf-Madero@uhs.org</t>
  </si>
  <si>
    <t>BALDAUF-MADERO SHARON</t>
  </si>
  <si>
    <t>1 FOXCARE DR</t>
  </si>
  <si>
    <t>ONEONTA</t>
  </si>
  <si>
    <t>Kelly Butler, NP</t>
  </si>
  <si>
    <t>E0015384</t>
  </si>
  <si>
    <t>KELLY ANN BUTLER FAMILY NURSE</t>
  </si>
  <si>
    <t>Kelly_Butler@uhs.org</t>
  </si>
  <si>
    <t>BUTLER KELLY</t>
  </si>
  <si>
    <t>BUTLER KELLY ANN</t>
  </si>
  <si>
    <t>179 RIVER ST</t>
  </si>
  <si>
    <t>Stanley Fox, D.O.</t>
  </si>
  <si>
    <t>E0116920</t>
  </si>
  <si>
    <t>FOX STANLEY</t>
  </si>
  <si>
    <t>Stanley_Fox@uhs.org</t>
  </si>
  <si>
    <t>FOX STANLEY DR.</t>
  </si>
  <si>
    <t>FOX STANLEY ALAN</t>
  </si>
  <si>
    <t>739 ST HIGHWAY 20</t>
  </si>
  <si>
    <t>Andrea Hoag, D.O.</t>
  </si>
  <si>
    <t>E0335516</t>
  </si>
  <si>
    <t>HOAG ANDREA DENISE</t>
  </si>
  <si>
    <t>Andrea_Hoag@uhs.org</t>
  </si>
  <si>
    <t>HOAG ANDREA</t>
  </si>
  <si>
    <t>Katherine Santoro, FNP-C</t>
  </si>
  <si>
    <t>E0339349</t>
  </si>
  <si>
    <t>SANTORO KATHERINE ELIZABETH</t>
  </si>
  <si>
    <t>Katherine_Santoro@uhs.org</t>
  </si>
  <si>
    <t>BLOSS KATHERINE</t>
  </si>
  <si>
    <t>BLOSS KATHERINE ELIZABETH</t>
  </si>
  <si>
    <t>117 HAWLEY ST</t>
  </si>
  <si>
    <t>Susan Stein, FNP</t>
  </si>
  <si>
    <t>E0073833</t>
  </si>
  <si>
    <t>STEIN SUSAN</t>
  </si>
  <si>
    <t>Susan_Stein@uhs.org</t>
  </si>
  <si>
    <t>460 ANDES RD</t>
  </si>
  <si>
    <t>DELHI</t>
  </si>
  <si>
    <t>CATHOLIC CHAR/SYRACUSE/CORTLAND CO</t>
  </si>
  <si>
    <t>E0169421</t>
  </si>
  <si>
    <t>CATHOLIC CHARITIES CORTLAND</t>
  </si>
  <si>
    <t>Marie Walsh</t>
  </si>
  <si>
    <t>(607) 299-4164</t>
  </si>
  <si>
    <t>mwalsh@ccocc.org</t>
  </si>
  <si>
    <t>Case Management / Health Home:: Mental Health</t>
  </si>
  <si>
    <t>CATHOLIC CHARITIES OF CORTLAND COUNTY</t>
  </si>
  <si>
    <t>A/7661431 CC CORT</t>
  </si>
  <si>
    <t>CORTLAND CTY COMM SRVCS BOARD</t>
  </si>
  <si>
    <t>E0185767</t>
  </si>
  <si>
    <t>CORTLAND COUNTY MH</t>
  </si>
  <si>
    <t>Mark Thayer</t>
  </si>
  <si>
    <t>(607) 758-6100</t>
  </si>
  <si>
    <t>mthayer@cortland-co.org</t>
  </si>
  <si>
    <t>CORTLAND COUNTY COUNTY TREASURER</t>
  </si>
  <si>
    <t>60 CENTRAL AVE</t>
  </si>
  <si>
    <t>MULTI-TYPE</t>
  </si>
  <si>
    <t>Jennifer Wiley, M.D.</t>
  </si>
  <si>
    <t>E0116807</t>
  </si>
  <si>
    <t>RULE JENNIFER</t>
  </si>
  <si>
    <t>Jennifer_Wiley@uhs.org</t>
  </si>
  <si>
    <t>WILEY JENNIFER DR.</t>
  </si>
  <si>
    <t>WILEY JENNIFER</t>
  </si>
  <si>
    <t>Mostafa El Ghissassi, M.D.</t>
  </si>
  <si>
    <t>E0032540</t>
  </si>
  <si>
    <t>EL GHISSASSI MOSTAFA</t>
  </si>
  <si>
    <t>(607) 648-6667</t>
  </si>
  <si>
    <t>Mostafa_El-Ghissassi@uhs.org</t>
  </si>
  <si>
    <t>EL GHISSASSI MOSTAFA DR.</t>
  </si>
  <si>
    <t>36500 NYS RT 126</t>
  </si>
  <si>
    <t>CARTHAGE</t>
  </si>
  <si>
    <t>Danielle Kappel, PA</t>
  </si>
  <si>
    <t>E0339731</t>
  </si>
  <si>
    <t>KAPPEL DANIELLE TCHIR</t>
  </si>
  <si>
    <t>(607) 763-6412</t>
  </si>
  <si>
    <t>Danielle_Kappel@uhs.org</t>
  </si>
  <si>
    <t>KAPPEL DANIELLE</t>
  </si>
  <si>
    <t>33-57 HARRISON ST</t>
  </si>
  <si>
    <t>Nicholas Kenhart, FNP</t>
  </si>
  <si>
    <t>E0308960</t>
  </si>
  <si>
    <t>KENHART NICHOLAS J</t>
  </si>
  <si>
    <t>Nicholas_Kenhart@uhs.org</t>
  </si>
  <si>
    <t>KENHART NICHOLAS</t>
  </si>
  <si>
    <t>65 PENNSYLVANIA AVE</t>
  </si>
  <si>
    <t>Rose Lakin, RPA-C</t>
  </si>
  <si>
    <t>E0030184</t>
  </si>
  <si>
    <t>LAKIN ROSE RPA</t>
  </si>
  <si>
    <t>Rose_Lakin@uhs.org</t>
  </si>
  <si>
    <t>LAKIN ROSE</t>
  </si>
  <si>
    <t>LAKIN ROSE M RPA</t>
  </si>
  <si>
    <t>Lilliana A. Lo Faso, M.D.</t>
  </si>
  <si>
    <t>E0203912</t>
  </si>
  <si>
    <t>LOFASO LILIANA             MD</t>
  </si>
  <si>
    <t>Liliana_Lofaso@uhs.org</t>
  </si>
  <si>
    <t>LOFASO LILIANA</t>
  </si>
  <si>
    <t>LOFASO LILIANA MD</t>
  </si>
  <si>
    <t>BINGHAMTON GEN HOSP</t>
  </si>
  <si>
    <t>Roger Scott</t>
  </si>
  <si>
    <t>E0093247</t>
  </si>
  <si>
    <t>SCOTT ROGER EDWARD MD</t>
  </si>
  <si>
    <t>SCOTT ROGER</t>
  </si>
  <si>
    <t>MT VIEW PLAZA</t>
  </si>
  <si>
    <t>HALLSTEAD</t>
  </si>
  <si>
    <t>Phillip Din</t>
  </si>
  <si>
    <t>E0316761</t>
  </si>
  <si>
    <t>DIN PHILLIP</t>
  </si>
  <si>
    <t>DIN PHILLIP DR.</t>
  </si>
  <si>
    <t>DIN PHILLIP JOSHUA</t>
  </si>
  <si>
    <t>Mark Speicher, D.O.</t>
  </si>
  <si>
    <t>E0094843</t>
  </si>
  <si>
    <t>SPEICHER MARK P MD</t>
  </si>
  <si>
    <t>(607) 763-6622</t>
  </si>
  <si>
    <t>Mark_Speicher@uhs.org</t>
  </si>
  <si>
    <t>Practitioner - Primary Care Provider (PCP)</t>
  </si>
  <si>
    <t>SPEICHER MARK</t>
  </si>
  <si>
    <t>3 GROW AVE</t>
  </si>
  <si>
    <t>MONTROSE</t>
  </si>
  <si>
    <t>Wendi Zuwiyya, NP</t>
  </si>
  <si>
    <t>E0352132</t>
  </si>
  <si>
    <t>ZUWIYYA WENDI T</t>
  </si>
  <si>
    <t>Wendi_Zuwiyya@uhs.org</t>
  </si>
  <si>
    <t>ZUWIYYA WENDI</t>
  </si>
  <si>
    <t>Ashok Devasenapathy, M.D.</t>
  </si>
  <si>
    <t>E0308455</t>
  </si>
  <si>
    <t>DEVASENAPATHY ASHOK</t>
  </si>
  <si>
    <t>(607) 729-6531</t>
  </si>
  <si>
    <t>Ashok_Devasenapathy@uhs.org</t>
  </si>
  <si>
    <t>90 PRESIDENTIAL PLZ FL 4</t>
  </si>
  <si>
    <t>Tzvetan Kozarski, M.D.</t>
  </si>
  <si>
    <t>E0293993</t>
  </si>
  <si>
    <t>KOZARSKI TZVETAN</t>
  </si>
  <si>
    <t>Tzyetan_Kozarski@uhs.org</t>
  </si>
  <si>
    <t>KOZARSKI TZVETAN DR.</t>
  </si>
  <si>
    <t>KOZARSKI TZVETAN BORISSOV</t>
  </si>
  <si>
    <t>33-57 HARRISON STREET</t>
  </si>
  <si>
    <t>Ketan Patel, M.D.</t>
  </si>
  <si>
    <t>E0039701</t>
  </si>
  <si>
    <t>PATEL KETAN ARVINDBHAI MD</t>
  </si>
  <si>
    <t>(607) 763-6285</t>
  </si>
  <si>
    <t>Ketan_Patel@uhs.org</t>
  </si>
  <si>
    <t>PATEL KETAN</t>
  </si>
  <si>
    <t>100 HIGH ST</t>
  </si>
  <si>
    <t>BUFFALO</t>
  </si>
  <si>
    <t>HAMMOUD WALID</t>
  </si>
  <si>
    <t>E0262076</t>
  </si>
  <si>
    <t>HAMMOUD WALID S            MD</t>
  </si>
  <si>
    <t>NASH DONALD</t>
  </si>
  <si>
    <t>E0228647</t>
  </si>
  <si>
    <t>NASH DONALD W              MD</t>
  </si>
  <si>
    <t>MEDICENTER</t>
  </si>
  <si>
    <t>KARP JEANNE</t>
  </si>
  <si>
    <t>E0290165</t>
  </si>
  <si>
    <t>JEANNE FRANCES KARP</t>
  </si>
  <si>
    <t>KARP JEANNE FRANCES</t>
  </si>
  <si>
    <t>33 MITCHELL AVE STE 102</t>
  </si>
  <si>
    <t>BURKETT RUSSELL</t>
  </si>
  <si>
    <t>E0031407</t>
  </si>
  <si>
    <t>BURKETT RUSSELL EPHRAIM DO</t>
  </si>
  <si>
    <t>SHAH ASHOKKUMAR DR.</t>
  </si>
  <si>
    <t>E0064589</t>
  </si>
  <si>
    <t>SHAH ASHOKKUMAR R MD</t>
  </si>
  <si>
    <t>SHAH ASHOKKUMAR RATANLAL</t>
  </si>
  <si>
    <t>KOH HAN DR.</t>
  </si>
  <si>
    <t>E0080495</t>
  </si>
  <si>
    <t>KOH HAN SUK MD</t>
  </si>
  <si>
    <t>SPORN DANIEL DR.</t>
  </si>
  <si>
    <t>E0173430</t>
  </si>
  <si>
    <t>SPORN DANIEL P MD</t>
  </si>
  <si>
    <t>RAMAN SUCHARITA DR.</t>
  </si>
  <si>
    <t>E0106486</t>
  </si>
  <si>
    <t>RAMAN SUCHARITA MD</t>
  </si>
  <si>
    <t>HARRIS MARC</t>
  </si>
  <si>
    <t>E0078662</t>
  </si>
  <si>
    <t>HARRIS MARC S DO</t>
  </si>
  <si>
    <t>HARRIS MARC STERLING</t>
  </si>
  <si>
    <t>ELLIS GEORGE</t>
  </si>
  <si>
    <t>E0158936</t>
  </si>
  <si>
    <t>ELLIS GEORGE L MD</t>
  </si>
  <si>
    <t>ELLIS GEORGE LEROY</t>
  </si>
  <si>
    <t>1 GUTHRIE SQUARE</t>
  </si>
  <si>
    <t>GEORGETSON MICHAEL DR.</t>
  </si>
  <si>
    <t>E0191022</t>
  </si>
  <si>
    <t>GEORGETSON MICHAEL J MD</t>
  </si>
  <si>
    <t>412 S MAIN ST</t>
  </si>
  <si>
    <t>ATHENS</t>
  </si>
  <si>
    <t>RAFTIS JAMES</t>
  </si>
  <si>
    <t>E0134393</t>
  </si>
  <si>
    <t>RAFTIS JAMES R DO</t>
  </si>
  <si>
    <t>RAFTIS JAMES R</t>
  </si>
  <si>
    <t>MCDONALD THOMAS DR.</t>
  </si>
  <si>
    <t>E0186708</t>
  </si>
  <si>
    <t>MCDONALD THOMAS JOHN MD</t>
  </si>
  <si>
    <t>MCDONALD THOMAS JOHN JR</t>
  </si>
  <si>
    <t>HERBST LEE DR.</t>
  </si>
  <si>
    <t>E0113932</t>
  </si>
  <si>
    <t>HERBST LEE J MD</t>
  </si>
  <si>
    <t>REYNOLDS DERMOT DR.</t>
  </si>
  <si>
    <t>E0047958</t>
  </si>
  <si>
    <t>REYNOLDS DERMOT M MD</t>
  </si>
  <si>
    <t>C.J. Kilgore</t>
  </si>
  <si>
    <t>E0257590</t>
  </si>
  <si>
    <t>KILGORE CARL JUDSON MD PC</t>
  </si>
  <si>
    <t>Carl Kilgore</t>
  </si>
  <si>
    <t>judkilgore@yahoo.com</t>
  </si>
  <si>
    <t>KILGORE CARL</t>
  </si>
  <si>
    <t>KILGORE CARL JUDSON</t>
  </si>
  <si>
    <t>Karen LaFace</t>
  </si>
  <si>
    <t>E0099182</t>
  </si>
  <si>
    <t>LA FACE KAREN MARIE MD</t>
  </si>
  <si>
    <t>Karen Laface</t>
  </si>
  <si>
    <t>(607) 272-4933</t>
  </si>
  <si>
    <t>kmlaface@twcny.rr.com</t>
  </si>
  <si>
    <t>LAFACE KAREN DR.</t>
  </si>
  <si>
    <t>LA FACE KAREN MARIE</t>
  </si>
  <si>
    <t>1780 HANSHAW RD</t>
  </si>
  <si>
    <t>Adam Law</t>
  </si>
  <si>
    <t>E0166643</t>
  </si>
  <si>
    <t>LAW ADAM  MD</t>
  </si>
  <si>
    <t>Stephanie J. Giordano-Foster</t>
  </si>
  <si>
    <t>(607) 277-0969</t>
  </si>
  <si>
    <t>drlaw@ithacamed.com</t>
  </si>
  <si>
    <t>LAW ADAM DR.</t>
  </si>
  <si>
    <t>TOMPKINS COMMUNITY H</t>
  </si>
  <si>
    <t>Josephine McAllister</t>
  </si>
  <si>
    <t>E0296723</t>
  </si>
  <si>
    <t>MCALLISTER JOSEPHINE CHU</t>
  </si>
  <si>
    <t>Anastasia St. John</t>
  </si>
  <si>
    <t>(607) 257-1107</t>
  </si>
  <si>
    <t>josie.mcallister@gmail.com; jmacneil00@gmail.com</t>
  </si>
  <si>
    <t>MCALLISTER JOSEPHINE</t>
  </si>
  <si>
    <t>90 PRESIDENTIAL PLZ FL 2</t>
  </si>
  <si>
    <t>David Monacelli</t>
  </si>
  <si>
    <t>E0151196</t>
  </si>
  <si>
    <t>MONACELLI DAVID M MD</t>
  </si>
  <si>
    <t>Christine Monacelli</t>
  </si>
  <si>
    <t>(607) 266-0483</t>
  </si>
  <si>
    <t>dmonacelli@twcny.rr.com</t>
  </si>
  <si>
    <t>MONACELLI DAVID DR.</t>
  </si>
  <si>
    <t>STE B</t>
  </si>
  <si>
    <t>Ralph Ortiz</t>
  </si>
  <si>
    <t>E0063528</t>
  </si>
  <si>
    <t>MEDICAL PAIN CONSULTANT OSTEOPATHY</t>
  </si>
  <si>
    <t>Shaye Jasper</t>
  </si>
  <si>
    <t>(607) 844-9979</t>
  </si>
  <si>
    <t>rodocdo@gmail.com</t>
  </si>
  <si>
    <t>ORTIZ RALPH</t>
  </si>
  <si>
    <t>2127 DRYDEN ROAD</t>
  </si>
  <si>
    <t>Marne O'Shae</t>
  </si>
  <si>
    <t>E0050677</t>
  </si>
  <si>
    <t>O'SHAE MARNE MD</t>
  </si>
  <si>
    <t>Robert Bloom</t>
  </si>
  <si>
    <t>(607) 273-5551</t>
  </si>
  <si>
    <t>wellness402@gmail.com</t>
  </si>
  <si>
    <t>OSHAE MARNE</t>
  </si>
  <si>
    <t>10 ARROWOOD DR</t>
  </si>
  <si>
    <t>Peter Schwartz</t>
  </si>
  <si>
    <t>E0132065</t>
  </si>
  <si>
    <t>PETER SCHWARTZ MD PLLC</t>
  </si>
  <si>
    <t>Karen Matthews</t>
  </si>
  <si>
    <t>(607) 266-7600</t>
  </si>
  <si>
    <t>squintmd@aol.com</t>
  </si>
  <si>
    <t>SCHWARTZ PETER DR.</t>
  </si>
  <si>
    <t>234 E 149TH ST</t>
  </si>
  <si>
    <t>BRONX</t>
  </si>
  <si>
    <t>Christopher Smith</t>
  </si>
  <si>
    <t>E0125212</t>
  </si>
  <si>
    <t>SMITH CHRISTOPHER ALLAN</t>
  </si>
  <si>
    <t>Kimberly McDermott</t>
  </si>
  <si>
    <t>(607) 379-6072</t>
  </si>
  <si>
    <t>chris@smithallergy.com</t>
  </si>
  <si>
    <t>SMITH CHRISTOPHER DR.</t>
  </si>
  <si>
    <t>Mary Smoolca</t>
  </si>
  <si>
    <t>E0152931</t>
  </si>
  <si>
    <t>SMOOLCA MARY ELLEN DPM</t>
  </si>
  <si>
    <t>Patty Lalonde</t>
  </si>
  <si>
    <t>(607) 272-9223</t>
  </si>
  <si>
    <t>Maryesmoolca@yahoo.com; pabslalonde@yahoo.com</t>
  </si>
  <si>
    <t>SMOOLCA MARY</t>
  </si>
  <si>
    <t>SMOOLCA MARY ELLEN</t>
  </si>
  <si>
    <t>406 2ND ST</t>
  </si>
  <si>
    <t>PODIATRIST</t>
  </si>
  <si>
    <t>Family Counseling Services of Cortland County, Inc.</t>
  </si>
  <si>
    <t>E0191945</t>
  </si>
  <si>
    <t>FAMILY COUNSEL SVC CORTLAND</t>
  </si>
  <si>
    <t>Lisa Hoeschele</t>
  </si>
  <si>
    <t>(607) 423-2764</t>
  </si>
  <si>
    <t>lhoeschele@fcscortland.org</t>
  </si>
  <si>
    <t>All Other:: Mental Health:: Substance Abuse</t>
  </si>
  <si>
    <t>FAMILY COUNSELING SERVICES OF CORTLAND COUNTY, INC.</t>
  </si>
  <si>
    <t>FAMILY COUNSELING SERVICES OF CORTL</t>
  </si>
  <si>
    <t>10 N MAIN ST</t>
  </si>
  <si>
    <t>Ashutosh Ruparelia</t>
  </si>
  <si>
    <t>E0131194</t>
  </si>
  <si>
    <t>RUPARELLA ASHUTOSH HARISH MD</t>
  </si>
  <si>
    <t>Michelle Blair</t>
  </si>
  <si>
    <t>(607) 266-0772</t>
  </si>
  <si>
    <t>ashu4ent@yahoo.com</t>
  </si>
  <si>
    <t>RUPARELIA ASHUTOSH</t>
  </si>
  <si>
    <t>830 WASHINGTON ST</t>
  </si>
  <si>
    <t>WATERTOWN</t>
  </si>
  <si>
    <t>Robert Strominger</t>
  </si>
  <si>
    <t>E0113137</t>
  </si>
  <si>
    <t>STROMINGER ROBERT N MD</t>
  </si>
  <si>
    <t>rstrominger64@gmail.com</t>
  </si>
  <si>
    <t>STROMINGER ROBERT</t>
  </si>
  <si>
    <t>2 ASCOT PL</t>
  </si>
  <si>
    <t>Richard Allen</t>
  </si>
  <si>
    <t>E0150171</t>
  </si>
  <si>
    <t>ALLEN RICHARD L MD</t>
  </si>
  <si>
    <t>Robin Curtis</t>
  </si>
  <si>
    <t>(607) 274-4011</t>
  </si>
  <si>
    <t>ricallen53@gmail.com</t>
  </si>
  <si>
    <t>ALLEN RICHARD</t>
  </si>
  <si>
    <t>John Alley</t>
  </si>
  <si>
    <t>E0081334</t>
  </si>
  <si>
    <t>ALLEY JOHN A MD</t>
  </si>
  <si>
    <t>(607) 274-4150</t>
  </si>
  <si>
    <t>drjalley@twcny.rr.com</t>
  </si>
  <si>
    <t>ALLEY JOHN</t>
  </si>
  <si>
    <t>150 BROAD ST</t>
  </si>
  <si>
    <t>HAMILTON</t>
  </si>
  <si>
    <t>Michael Boyle</t>
  </si>
  <si>
    <t>E0291410</t>
  </si>
  <si>
    <t>BOYLE MICHAEL F MD</t>
  </si>
  <si>
    <t>boyleem@aol.com</t>
  </si>
  <si>
    <t>BOYLE MICHAEL</t>
  </si>
  <si>
    <t>1129 COMMONS AVE</t>
  </si>
  <si>
    <t>Angela Chang</t>
  </si>
  <si>
    <t>E0359321</t>
  </si>
  <si>
    <t>CHANG ANGELA</t>
  </si>
  <si>
    <t>ahn.chang@hotmail.com</t>
  </si>
  <si>
    <t>CHANG ANGELA DR.</t>
  </si>
  <si>
    <t>Barbara Connor</t>
  </si>
  <si>
    <t>E0185430</t>
  </si>
  <si>
    <t>CONNOR BARBARA J MD</t>
  </si>
  <si>
    <t>bjcmd43@aol.com</t>
  </si>
  <si>
    <t>CONNOR BARBARA DR.</t>
  </si>
  <si>
    <t>CONNOR BARBARA JONES</t>
  </si>
  <si>
    <t>10 WEST 6TH STREET</t>
  </si>
  <si>
    <t>OSWEGO</t>
  </si>
  <si>
    <t>Risa Cyr</t>
  </si>
  <si>
    <t>E0354729</t>
  </si>
  <si>
    <t>CYR RISA D</t>
  </si>
  <si>
    <t>risa.cyr@gmail.com</t>
  </si>
  <si>
    <t>CYR RISA</t>
  </si>
  <si>
    <t>CYR RISA DUBIN</t>
  </si>
  <si>
    <t>James Darling</t>
  </si>
  <si>
    <t>E0074100</t>
  </si>
  <si>
    <t>DARLING JAMES MD</t>
  </si>
  <si>
    <t>jcaandd@yahoo.com</t>
  </si>
  <si>
    <t>DARLING JAMES DR.</t>
  </si>
  <si>
    <t>Steven Elliott</t>
  </si>
  <si>
    <t>E0338153</t>
  </si>
  <si>
    <t>ELLIOTT STEVEN J</t>
  </si>
  <si>
    <t>eurostevework@yahoo.com</t>
  </si>
  <si>
    <t>ELLIOTT STEVEN</t>
  </si>
  <si>
    <t>CORTLAND COUNTY DOH DIV NRSNG</t>
  </si>
  <si>
    <t>E0252097</t>
  </si>
  <si>
    <t>Catherine Feuerherm</t>
  </si>
  <si>
    <t>(607) 753-5135</t>
  </si>
  <si>
    <t>cfeuerherm@cortland-co.org</t>
  </si>
  <si>
    <t>All Other:: Case Management / Health Home</t>
  </si>
  <si>
    <t>EARLY INTERVENTION PROGRAM</t>
  </si>
  <si>
    <t>Cortland County Health Department</t>
  </si>
  <si>
    <t>E0262676</t>
  </si>
  <si>
    <t>CORTLAND CTY DEPT OF HEALTH</t>
  </si>
  <si>
    <t>All Other:: Clinic</t>
  </si>
  <si>
    <t>JACOBUS CENTER FOR REPRODUCTIVE HEALTH</t>
  </si>
  <si>
    <t>RESURRECCION I AM PANLILIO</t>
  </si>
  <si>
    <t>E0352992</t>
  </si>
  <si>
    <t>Bloom, Frederick J., Jr., MD</t>
  </si>
  <si>
    <t>(570) 887-3004</t>
  </si>
  <si>
    <t>bloom_frederick@guthrie.org</t>
  </si>
  <si>
    <t>RESURRECCION I AM</t>
  </si>
  <si>
    <t>RYAN DEBRA A MD</t>
  </si>
  <si>
    <t>E0203703</t>
  </si>
  <si>
    <t>RYAN DEBRA A               MD</t>
  </si>
  <si>
    <t>RYAN DEBRA DR.</t>
  </si>
  <si>
    <t>RYAN DEBRA ANN</t>
  </si>
  <si>
    <t>SAMODAL RODRIGO T JR MD</t>
  </si>
  <si>
    <t>E0042006</t>
  </si>
  <si>
    <t>SAMODAL RODRIGO DR.</t>
  </si>
  <si>
    <t>GUTHRIE CL</t>
  </si>
  <si>
    <t>SAYLOR KAREN E MD</t>
  </si>
  <si>
    <t>E0003211</t>
  </si>
  <si>
    <t>SAYLOR KAREN E</t>
  </si>
  <si>
    <t>SAYLOR KAREN</t>
  </si>
  <si>
    <t>7 COLONIAL DR</t>
  </si>
  <si>
    <t>TOWANDA</t>
  </si>
  <si>
    <t>SHARMA HARI HAR MD</t>
  </si>
  <si>
    <t>E0259742</t>
  </si>
  <si>
    <t>SHARMA HARI HAR</t>
  </si>
  <si>
    <t>SHARMA HARI DR.</t>
  </si>
  <si>
    <t>CORNING HOSP</t>
  </si>
  <si>
    <t>SHARMA RAM CHARITRA MD</t>
  </si>
  <si>
    <t>E0119472</t>
  </si>
  <si>
    <t>SHARMA RAM DR.</t>
  </si>
  <si>
    <t>SKEZAS JACOB W MD</t>
  </si>
  <si>
    <t>E0191053</t>
  </si>
  <si>
    <t>SKEZAS JACOB DR.</t>
  </si>
  <si>
    <t>SUTTON MALA V</t>
  </si>
  <si>
    <t>E0252746</t>
  </si>
  <si>
    <t>SUTTON MALA DR.</t>
  </si>
  <si>
    <t>201 E FIRST ST</t>
  </si>
  <si>
    <t>TAO SUE HONG MD</t>
  </si>
  <si>
    <t>E0059396</t>
  </si>
  <si>
    <t>TAO SUEHONG DR.</t>
  </si>
  <si>
    <t>TERWILLIGER JERRY W        MD</t>
  </si>
  <si>
    <t>E0229438</t>
  </si>
  <si>
    <t>TERWILLIGER JERRY WAYNE</t>
  </si>
  <si>
    <t>TERWILLIGER JERRY DR.</t>
  </si>
  <si>
    <t>GUTHRIE CLINIC</t>
  </si>
  <si>
    <t>WEBB PAUL R 111            MD</t>
  </si>
  <si>
    <t>E0203699</t>
  </si>
  <si>
    <t>WEBB PAUL DR.</t>
  </si>
  <si>
    <t>WEBB PAUL R III</t>
  </si>
  <si>
    <t>WEINER JAMIE S MD</t>
  </si>
  <si>
    <t>E0034550</t>
  </si>
  <si>
    <t>130 CENTER WAY</t>
  </si>
  <si>
    <t>WEIS JOHN HAROLD           DO</t>
  </si>
  <si>
    <t>E0244394</t>
  </si>
  <si>
    <t>WEIS JOHN DR.</t>
  </si>
  <si>
    <t>WEIS JOHN H</t>
  </si>
  <si>
    <t>127 SULLIVAN ST</t>
  </si>
  <si>
    <t>CANTON</t>
  </si>
  <si>
    <t>WOGLOM RUSSELL C           MD</t>
  </si>
  <si>
    <t>E0196837</t>
  </si>
  <si>
    <t>WOGLOM RUSSELL DR.</t>
  </si>
  <si>
    <t>WOGLOM RUSSELL CROCKETT</t>
  </si>
  <si>
    <t>GUTHRIE MEDICAL GR</t>
  </si>
  <si>
    <t>YAEGER THOMAS A MD</t>
  </si>
  <si>
    <t>E0153509</t>
  </si>
  <si>
    <t>YAEGER THOMAS DR.</t>
  </si>
  <si>
    <t>YIA MARY CHRISTINE T</t>
  </si>
  <si>
    <t>E0336481</t>
  </si>
  <si>
    <t>YIA MARY</t>
  </si>
  <si>
    <t>YIA MARY CHRISTINE DR.</t>
  </si>
  <si>
    <t>1246 STATE ROUTE 38</t>
  </si>
  <si>
    <t>ZEYKAN VIOLETA</t>
  </si>
  <si>
    <t>E0339616</t>
  </si>
  <si>
    <t>BROOME COUNTY OFFICE FOR AGING</t>
  </si>
  <si>
    <t>Jamie Kelly</t>
  </si>
  <si>
    <t>(607) 778-2411</t>
  </si>
  <si>
    <t>JKelly2@co.broome.ny.us</t>
  </si>
  <si>
    <t>Other Misc</t>
  </si>
  <si>
    <t>60 HAWLEY ST</t>
  </si>
  <si>
    <t>NPI only</t>
  </si>
  <si>
    <t>hemung County Department of Aging and Long Term Care</t>
  </si>
  <si>
    <t>Pamela M. Brown</t>
  </si>
  <si>
    <t>(607) 737-5520</t>
  </si>
  <si>
    <t>pbrown@co.chemung.ny.us</t>
  </si>
  <si>
    <t>Community Advocacy and Support</t>
  </si>
  <si>
    <t>CBO</t>
  </si>
  <si>
    <t>P.O. Box 588 425 Pennsylvania Ave</t>
  </si>
  <si>
    <t>Elmira</t>
  </si>
  <si>
    <t>No NPI or MMIS</t>
  </si>
  <si>
    <t>BUMP HANS MR.</t>
  </si>
  <si>
    <t>Kate Alm</t>
  </si>
  <si>
    <t>(607) 753-3797</t>
  </si>
  <si>
    <t>kalm@familyhealthnetwork.org</t>
  </si>
  <si>
    <t>823 STATE ROUTE 13</t>
  </si>
  <si>
    <t>HORN LUCINDA</t>
  </si>
  <si>
    <t>17 MAIN ST, 414</t>
  </si>
  <si>
    <t>TURNER MARGARET</t>
  </si>
  <si>
    <t>2805 CINCINNATUS ROAD</t>
  </si>
  <si>
    <t>CINCINNATUS</t>
  </si>
  <si>
    <t>CHRISTOPHERSEN REBECCA</t>
  </si>
  <si>
    <t>E0027388</t>
  </si>
  <si>
    <t>CHRISTOPHERSEN REBECCA NP</t>
  </si>
  <si>
    <t>91 CHENANGO BRIDGE RD</t>
  </si>
  <si>
    <t>PATEL ARJUN</t>
  </si>
  <si>
    <t>E0240191</t>
  </si>
  <si>
    <t>PATEL ARJUN J</t>
  </si>
  <si>
    <t>WILSON HOSP</t>
  </si>
  <si>
    <t>DOROGHAZI PAUL</t>
  </si>
  <si>
    <t>E0173781</t>
  </si>
  <si>
    <t>DOROGHAZI PAUL M MD</t>
  </si>
  <si>
    <t>ALMANZAR JENNY MRS.</t>
  </si>
  <si>
    <t>E0304711</t>
  </si>
  <si>
    <t>ALMANZAR JENNY</t>
  </si>
  <si>
    <t>Mental Health:: Practitioner - Non-Primary Care Provider (PCP)</t>
  </si>
  <si>
    <t>257 MAIN ST</t>
  </si>
  <si>
    <t>CLINICAL SOCIAL WORKER (CSW)</t>
  </si>
  <si>
    <t>LAND RAMONA MS.</t>
  </si>
  <si>
    <t>E0342919</t>
  </si>
  <si>
    <t>LAND RAMONA M</t>
  </si>
  <si>
    <t>Lisa Bobby</t>
  </si>
  <si>
    <t>(607) 772-1274</t>
  </si>
  <si>
    <t>lbobby@lourdes.com</t>
  </si>
  <si>
    <t>AVERY JEFFREY MR.</t>
  </si>
  <si>
    <t>E0300972</t>
  </si>
  <si>
    <t>AVERY JEFFREY LOUIS</t>
  </si>
  <si>
    <t>33 MITCHELL AVE STE G-50</t>
  </si>
  <si>
    <t>BROWN DEBRA</t>
  </si>
  <si>
    <t>E0348018</t>
  </si>
  <si>
    <t>217 JEFFERSON AVE</t>
  </si>
  <si>
    <t>KISSI HARRY DR.</t>
  </si>
  <si>
    <t>E0310657</t>
  </si>
  <si>
    <t>KISSI HARRY</t>
  </si>
  <si>
    <t>KISSI HARRY A</t>
  </si>
  <si>
    <t>38A CLASSIC ST</t>
  </si>
  <si>
    <t>SHERBURNE</t>
  </si>
  <si>
    <t>GIANGRIECO MAUREEN</t>
  </si>
  <si>
    <t>E0172406</t>
  </si>
  <si>
    <t>GIANGRIECO MAUREEN A</t>
  </si>
  <si>
    <t>SUSQUEHANNA MEDICAL</t>
  </si>
  <si>
    <t>MURPHY MICHAEL</t>
  </si>
  <si>
    <t>E0161217</t>
  </si>
  <si>
    <t>MURPHY MICHAEL F MD</t>
  </si>
  <si>
    <t>54 MAIN STREET</t>
  </si>
  <si>
    <t>CANDOR</t>
  </si>
  <si>
    <t>DRISCOLL DANIEL DR.</t>
  </si>
  <si>
    <t>E0250510</t>
  </si>
  <si>
    <t>DRISCOLL DANIEL J          MD</t>
  </si>
  <si>
    <t>DRISCOLL DANIEL J MD</t>
  </si>
  <si>
    <t>66 JOHNSON HILL RD</t>
  </si>
  <si>
    <t>LISLE</t>
  </si>
  <si>
    <t>EDER FRANK</t>
  </si>
  <si>
    <t>E0140663</t>
  </si>
  <si>
    <t>EDER FRANK STEVEN MD</t>
  </si>
  <si>
    <t>BINGHAMTON GENERAL</t>
  </si>
  <si>
    <t>CRUZ JOHN DR.</t>
  </si>
  <si>
    <t>E0189324</t>
  </si>
  <si>
    <t>CRUZ JOHN NORBERT MD</t>
  </si>
  <si>
    <t>24 CONKEY AVE</t>
  </si>
  <si>
    <t>GOODMAN KEVIN</t>
  </si>
  <si>
    <t>E0321327</t>
  </si>
  <si>
    <t>GOODMAN KEVIN D</t>
  </si>
  <si>
    <t>DEGUARDI MARY</t>
  </si>
  <si>
    <t>E0095484</t>
  </si>
  <si>
    <t>DEGUARDI MARY C MD</t>
  </si>
  <si>
    <t>UNITED HLTH SVS HOSP</t>
  </si>
  <si>
    <t>DAVYDOV VADIM</t>
  </si>
  <si>
    <t>E0051152</t>
  </si>
  <si>
    <t>DAVYDOV VADIM MD</t>
  </si>
  <si>
    <t>2511 AVENUE I</t>
  </si>
  <si>
    <t>BROOKLYN</t>
  </si>
  <si>
    <t>WEINER VICKIE</t>
  </si>
  <si>
    <t>E0057420</t>
  </si>
  <si>
    <t>POTOCHNIAK VICKIE L RPA</t>
  </si>
  <si>
    <t>BRIMBERG RONEE</t>
  </si>
  <si>
    <t>E0304424</t>
  </si>
  <si>
    <t>35 FRONT ST</t>
  </si>
  <si>
    <t>BARNES JULIE</t>
  </si>
  <si>
    <t>E0067491</t>
  </si>
  <si>
    <t>BARNES JULIE A</t>
  </si>
  <si>
    <t>BARNES JULIE ANN</t>
  </si>
  <si>
    <t>5 COLLEGE AVE</t>
  </si>
  <si>
    <t>WINDSOR</t>
  </si>
  <si>
    <t>HUSSAIN ANWAR DR.</t>
  </si>
  <si>
    <t>E0284796</t>
  </si>
  <si>
    <t>HUSSAIN ANWAR AHMED MD</t>
  </si>
  <si>
    <t>1302 E MAIN ST</t>
  </si>
  <si>
    <t>KAHN RONALD DR.</t>
  </si>
  <si>
    <t>E0251303</t>
  </si>
  <si>
    <t>KAHN RONALD LEE            MD</t>
  </si>
  <si>
    <t>ABDO MOUFID-JOHN DR.</t>
  </si>
  <si>
    <t>E0051180</t>
  </si>
  <si>
    <t>ABDO MOUFID J H MD</t>
  </si>
  <si>
    <t>ABDO MOUFID JOHN HABIB MD</t>
  </si>
  <si>
    <t>30 HARRISON ST STE 400</t>
  </si>
  <si>
    <t>HEIDELBERGER SARA</t>
  </si>
  <si>
    <t>E0125400</t>
  </si>
  <si>
    <t>HEIDELBERGER SARA MARIE</t>
  </si>
  <si>
    <t>301 PROSPECT AVE</t>
  </si>
  <si>
    <t>DAVYDOV VALENTINA</t>
  </si>
  <si>
    <t>E0078404</t>
  </si>
  <si>
    <t>DAVYDOV VALENTINA DO</t>
  </si>
  <si>
    <t>100 CLINTON ST</t>
  </si>
  <si>
    <t>OMRDD/MADISON-CORTLAND NYSARC</t>
  </si>
  <si>
    <t>E0099813</t>
  </si>
  <si>
    <t>MADISON-CORTLAND NYSARC</t>
  </si>
  <si>
    <t>Jack C. Campbell</t>
  </si>
  <si>
    <t>(315) 363-3389</t>
  </si>
  <si>
    <t>701 LENOX AVE</t>
  </si>
  <si>
    <t>ONEIDA</t>
  </si>
  <si>
    <t>OMRDD/CHENANGO ARC</t>
  </si>
  <si>
    <t>E0100343</t>
  </si>
  <si>
    <t>Jeffrey Evans</t>
  </si>
  <si>
    <t>(607) 334-5366</t>
  </si>
  <si>
    <t>CHENANGO ARC</t>
  </si>
  <si>
    <t>17 MIDLAND DR</t>
  </si>
  <si>
    <t>CHENANGO CO CHAP NYSARC SPV</t>
  </si>
  <si>
    <t>E0064129</t>
  </si>
  <si>
    <t>CHENANGO CO CHAP NYSARC ND 2</t>
  </si>
  <si>
    <t>Justin Fedor</t>
  </si>
  <si>
    <t>E0347386</t>
  </si>
  <si>
    <t>FEDOR JUSTIN P</t>
  </si>
  <si>
    <t>jfedor01@gmail.com</t>
  </si>
  <si>
    <t>FEDOR JUSTIN</t>
  </si>
  <si>
    <t>FEDOR JUSTIN PHILLIP</t>
  </si>
  <si>
    <t>5586 LEGIONNAIRE DR STE 1</t>
  </si>
  <si>
    <t>CICERO</t>
  </si>
  <si>
    <t>David Feldshuh</t>
  </si>
  <si>
    <t>E0198402</t>
  </si>
  <si>
    <t>FELDSHUH DAVID MARK MD</t>
  </si>
  <si>
    <t>dmf6@cornell.edu</t>
  </si>
  <si>
    <t>FELDSHUH DAVID</t>
  </si>
  <si>
    <t>ELMIRA</t>
  </si>
  <si>
    <t>Scott Glick</t>
  </si>
  <si>
    <t>E0350845</t>
  </si>
  <si>
    <t>GLICK SCOTT M</t>
  </si>
  <si>
    <t>scott.glick@gmail.com</t>
  </si>
  <si>
    <t>GLICK SCOTT DR.</t>
  </si>
  <si>
    <t>Antony Hsu</t>
  </si>
  <si>
    <t>E0007109</t>
  </si>
  <si>
    <t>HSU ANTONY PO-YU MD</t>
  </si>
  <si>
    <t>antony.hsu@gmail.com</t>
  </si>
  <si>
    <t>HSU ANTONY DR.</t>
  </si>
  <si>
    <t>Raymond Jannetti</t>
  </si>
  <si>
    <t>E0198506</t>
  </si>
  <si>
    <t>JANNETTI RAYMOND A         MD</t>
  </si>
  <si>
    <t>rjannetti@twcny.rr.com</t>
  </si>
  <si>
    <t>JANNETTI RAYMOND</t>
  </si>
  <si>
    <t>BROAD RD</t>
  </si>
  <si>
    <t>Walter Kantor</t>
  </si>
  <si>
    <t>E0092736</t>
  </si>
  <si>
    <t>KANTOR WALTER JOHN MD</t>
  </si>
  <si>
    <t>wkantor@hotmail.com</t>
  </si>
  <si>
    <t>KANTOR WALTER</t>
  </si>
  <si>
    <t>Drew Koch</t>
  </si>
  <si>
    <t>E0001882</t>
  </si>
  <si>
    <t>KOCH DREW</t>
  </si>
  <si>
    <t>dkoch74@twcny.rr.com</t>
  </si>
  <si>
    <t>KOCH DREW A DO</t>
  </si>
  <si>
    <t>Vincent Leonti</t>
  </si>
  <si>
    <t>E0215169</t>
  </si>
  <si>
    <t>LEONTI VINCENT             MD</t>
  </si>
  <si>
    <t>vleonti@yahoo.com</t>
  </si>
  <si>
    <t>LEONTI VINCENT DR.</t>
  </si>
  <si>
    <t>99 E STATE ST</t>
  </si>
  <si>
    <t>GLOVERSVILLE</t>
  </si>
  <si>
    <t>SIENKIEWICZ GENADIJ DR.</t>
  </si>
  <si>
    <t>E0231128</t>
  </si>
  <si>
    <t>SIENKIEWICZ GENADIJ MD PC</t>
  </si>
  <si>
    <t>SIENKIEWICZ GENADIJ</t>
  </si>
  <si>
    <t>200 FRONT ST</t>
  </si>
  <si>
    <t>VESTAL</t>
  </si>
  <si>
    <t>SILVA LOURDES</t>
  </si>
  <si>
    <t>E0295876</t>
  </si>
  <si>
    <t>SILVA LOURDES G</t>
  </si>
  <si>
    <t>SIMCOE JAMES DR.</t>
  </si>
  <si>
    <t>E0192920</t>
  </si>
  <si>
    <t>SIMCOE JAMES MD</t>
  </si>
  <si>
    <t>SIMCOE JAMES RITCHIE</t>
  </si>
  <si>
    <t>CHENANGO MEM HSP</t>
  </si>
  <si>
    <t>SKIADAS MELISSA</t>
  </si>
  <si>
    <t>E0297647</t>
  </si>
  <si>
    <t>SKIADAS MELISSA ERIN</t>
  </si>
  <si>
    <t>800 HOOPER RD</t>
  </si>
  <si>
    <t>ENDWELL</t>
  </si>
  <si>
    <t>SKIFF JAMES</t>
  </si>
  <si>
    <t>E0166055</t>
  </si>
  <si>
    <t>SKIFF JAMES M MD</t>
  </si>
  <si>
    <t>SMITH JANELLE</t>
  </si>
  <si>
    <t>E0283874</t>
  </si>
  <si>
    <t>All Other:: Mental Health:: Practitioner - Non-Primary Care Provider (PCP)</t>
  </si>
  <si>
    <t>SMITH JANELLE M</t>
  </si>
  <si>
    <t>SMITH MELISSA MS.</t>
  </si>
  <si>
    <t>E0286821</t>
  </si>
  <si>
    <t>SMITH MELISSA MARGARET</t>
  </si>
  <si>
    <t>44 PEARL ST W</t>
  </si>
  <si>
    <t>SIDNEY</t>
  </si>
  <si>
    <t>SNYDER CHRISTINE</t>
  </si>
  <si>
    <t>E0152017</t>
  </si>
  <si>
    <t>SNYDER CHRISTINE RPA</t>
  </si>
  <si>
    <t>SPENCER FREDERICK</t>
  </si>
  <si>
    <t>E0294949</t>
  </si>
  <si>
    <t>SPENCER RYAN</t>
  </si>
  <si>
    <t>E0339794</t>
  </si>
  <si>
    <t>93 PENNSYLVANIA AVE</t>
  </si>
  <si>
    <t>THERAPIST</t>
  </si>
  <si>
    <t>SPIELMAN CONNIE</t>
  </si>
  <si>
    <t>E0067229</t>
  </si>
  <si>
    <t>SPIELMAN CONNIE L</t>
  </si>
  <si>
    <t>STALTER STACEY MS.</t>
  </si>
  <si>
    <t>E0283777</t>
  </si>
  <si>
    <t>STALTER STACEY</t>
  </si>
  <si>
    <t>PENDELL STACEY</t>
  </si>
  <si>
    <t>PENDELL STACEY A</t>
  </si>
  <si>
    <t>10-42 MITCHELL AVE</t>
  </si>
  <si>
    <t>STAYTON HOLLI</t>
  </si>
  <si>
    <t>E0067227</t>
  </si>
  <si>
    <t>STANK HOLLI</t>
  </si>
  <si>
    <t>STAYTON HOLLI A</t>
  </si>
  <si>
    <t>STECKLINE KEVIN</t>
  </si>
  <si>
    <t>E0172817</t>
  </si>
  <si>
    <t>STECKLINE KEVIN RPA</t>
  </si>
  <si>
    <t>179 NORTH BROAD STREET</t>
  </si>
  <si>
    <t>STEINBERG JOSHUA</t>
  </si>
  <si>
    <t>E0113836</t>
  </si>
  <si>
    <t>STEINBERG JOSHUA D MD</t>
  </si>
  <si>
    <t>475 IRVING AVE</t>
  </si>
  <si>
    <t>STEPANYAN HASMIK</t>
  </si>
  <si>
    <t>E0285242</t>
  </si>
  <si>
    <t>STEPANYAN HASMIK MD</t>
  </si>
  <si>
    <t>STEWART JESSICA</t>
  </si>
  <si>
    <t>E0310493</t>
  </si>
  <si>
    <t>STEWART JESSICA R</t>
  </si>
  <si>
    <t>RAYMOND JESSICA</t>
  </si>
  <si>
    <t>RAYMOND JESSICA R</t>
  </si>
  <si>
    <t>STRADLEY SHELLY</t>
  </si>
  <si>
    <t>E0057494</t>
  </si>
  <si>
    <t>STRADLEY SHELLY LYNN</t>
  </si>
  <si>
    <t>STURTEVANT MARY</t>
  </si>
  <si>
    <t>E0304654</t>
  </si>
  <si>
    <t>STURTEVANT M</t>
  </si>
  <si>
    <t>SUSARLA AHALYA</t>
  </si>
  <si>
    <t>E0226599</t>
  </si>
  <si>
    <t>SUSARLA AHALYA             MD</t>
  </si>
  <si>
    <t>CHENANGO BRIDGE MED</t>
  </si>
  <si>
    <t>SZABO ANDRAS</t>
  </si>
  <si>
    <t>E0061132</t>
  </si>
  <si>
    <t>SZABO ANDRAS MD</t>
  </si>
  <si>
    <t>LOURDES HSP</t>
  </si>
  <si>
    <t>TABLEMAN BRIAN</t>
  </si>
  <si>
    <t>E0059184</t>
  </si>
  <si>
    <t>TABLEMAN BRIAN FREDERICK PT</t>
  </si>
  <si>
    <t>TABLEMAN BRIAN FREDERICK</t>
  </si>
  <si>
    <t>4401 VESTAL PKWY E</t>
  </si>
  <si>
    <t>TAN BENG DR.</t>
  </si>
  <si>
    <t>E0032278</t>
  </si>
  <si>
    <t>TAN BENG JIT MD</t>
  </si>
  <si>
    <t>995 SENATOR KEATING BLVD</t>
  </si>
  <si>
    <t>ROCHESTER</t>
  </si>
  <si>
    <t>HOLDRIDGE SEAN</t>
  </si>
  <si>
    <t>E0306139</t>
  </si>
  <si>
    <t>SEAN PATRICK HOLDRIDGE</t>
  </si>
  <si>
    <t>HOLDRIDGE SEAN PATRICK</t>
  </si>
  <si>
    <t>161 RIVERSIDE DR STE 206</t>
  </si>
  <si>
    <t>MIKLOUCICH CORI DR.</t>
  </si>
  <si>
    <t>E0284383</t>
  </si>
  <si>
    <t>MIKLOUCICH CORI L DO</t>
  </si>
  <si>
    <t>1130 UPPER FRONT ST</t>
  </si>
  <si>
    <t>SO TIER INDEPENDENCE CTR SMP</t>
  </si>
  <si>
    <t>E0083201</t>
  </si>
  <si>
    <t>REGION-OUTSIDE NYC</t>
  </si>
  <si>
    <t>OMRDD/SOUTHERN TIER INDEP CTR</t>
  </si>
  <si>
    <t>E0099760</t>
  </si>
  <si>
    <t>CMH SERVICES INC</t>
  </si>
  <si>
    <t>E0141156</t>
  </si>
  <si>
    <t>Eline Haukenes</t>
  </si>
  <si>
    <t>(607) 756-3880</t>
  </si>
  <si>
    <t>mwebster@cortlandregional.org</t>
  </si>
  <si>
    <t>CMH SERVICES, INC</t>
  </si>
  <si>
    <t>160 HOMER AVE</t>
  </si>
  <si>
    <t>MEDICAL APPLIANCE DEALER</t>
  </si>
  <si>
    <t>Golden Days</t>
  </si>
  <si>
    <t>Jeni Demarais</t>
  </si>
  <si>
    <t>(607) 729-9291</t>
  </si>
  <si>
    <t>jdemarais@susnursing.com</t>
  </si>
  <si>
    <t>Day Habilitation</t>
  </si>
  <si>
    <t>282 Riverside Drive</t>
  </si>
  <si>
    <t>Johnson City</t>
  </si>
  <si>
    <t>Hospicare &amp; Palliative Care Services of Tompkins County</t>
  </si>
  <si>
    <t>Josh Swiller</t>
  </si>
  <si>
    <t>(607) 272-0212</t>
  </si>
  <si>
    <t>JSwiller@hospicare.org</t>
  </si>
  <si>
    <t>172 East King Road</t>
  </si>
  <si>
    <t>Ithaca</t>
  </si>
  <si>
    <t>Hospicare &amp; Palliative Care Services</t>
  </si>
  <si>
    <t>Michael Katz</t>
  </si>
  <si>
    <t>Southern Tier Healthlink</t>
  </si>
  <si>
    <t>Christina Galanis</t>
  </si>
  <si>
    <t>(607) 651-9150</t>
  </si>
  <si>
    <t>cgalanis@sthlny.com</t>
  </si>
  <si>
    <t>45 Lewis Street</t>
  </si>
  <si>
    <t>Binghamton</t>
  </si>
  <si>
    <t>Children's Home Inc. dba/Stillwater RTF</t>
  </si>
  <si>
    <t>Janee Valenzuela</t>
  </si>
  <si>
    <t>(607) 656-9004</t>
  </si>
  <si>
    <t>jvalenzuela@stillwaterrtf.org</t>
  </si>
  <si>
    <t>Residential Supports in Community Settings</t>
  </si>
  <si>
    <t>638 Squirrel Hill Road</t>
  </si>
  <si>
    <t>Chenango Forks</t>
  </si>
  <si>
    <t>STAMFORD HEALTH CARE SOCIETY</t>
  </si>
  <si>
    <t>Aimee Rathka</t>
  </si>
  <si>
    <t>(607) 652-7521</t>
  </si>
  <si>
    <t>aimee.rathka@robinsonterrace.com</t>
  </si>
  <si>
    <t>Assisted Living</t>
  </si>
  <si>
    <t>ONE BUNTLINE DR</t>
  </si>
  <si>
    <t>STAMFORD</t>
  </si>
  <si>
    <t>OUR LADY OF LOURDES MEMORIAL HOSPITAL, INC</t>
  </si>
  <si>
    <t>E0204186</t>
  </si>
  <si>
    <t>HOSPICE AT LOURDES</t>
  </si>
  <si>
    <t>Lisanne Bobby</t>
  </si>
  <si>
    <t>All Other:: Hospice</t>
  </si>
  <si>
    <t>4102 OLD VESTAL RD</t>
  </si>
  <si>
    <t>Emmanuel Guizano, M.D.</t>
  </si>
  <si>
    <t>E0111908</t>
  </si>
  <si>
    <t>GUIZANO EMMANUEL M MD</t>
  </si>
  <si>
    <t>Emmanuel_Guizano@uhs.org</t>
  </si>
  <si>
    <t>GUIZANO EMMANUEL</t>
  </si>
  <si>
    <t>UNITED HLTH SVCS HSP</t>
  </si>
  <si>
    <t>Anthony Massi</t>
  </si>
  <si>
    <t>E0176539</t>
  </si>
  <si>
    <t>MASSI ANTHONY FRANK MD</t>
  </si>
  <si>
    <t>Elaine McNeil</t>
  </si>
  <si>
    <t>(607) 274-4376</t>
  </si>
  <si>
    <t>amassi@cayugamed.org</t>
  </si>
  <si>
    <t>MASSI ANTHONY</t>
  </si>
  <si>
    <t>Walter Silbert</t>
  </si>
  <si>
    <t>E0032969</t>
  </si>
  <si>
    <t>SILBERT WALTER COLEMAN</t>
  </si>
  <si>
    <t>wsilbert@gmail.com</t>
  </si>
  <si>
    <t>SILBERT WALTER</t>
  </si>
  <si>
    <t>1088 COMMONS AVE</t>
  </si>
  <si>
    <t>John Powell</t>
  </si>
  <si>
    <t>E0342442</t>
  </si>
  <si>
    <t>POWELL JOHN WILLIAM</t>
  </si>
  <si>
    <t>Barbara Hails</t>
  </si>
  <si>
    <t>(607) 274-4060</t>
  </si>
  <si>
    <t>jpowell@cayugamed.org</t>
  </si>
  <si>
    <t>POWELL JOHN</t>
  </si>
  <si>
    <t>ELM AND CARLTON ST</t>
  </si>
  <si>
    <t>Wade Bollinger</t>
  </si>
  <si>
    <t>E0020608</t>
  </si>
  <si>
    <t>BOLLINGER WADE S MD</t>
  </si>
  <si>
    <t>Tina Beckman</t>
  </si>
  <si>
    <t>(607) 273-3161</t>
  </si>
  <si>
    <t>wbollinger50@gmail.com</t>
  </si>
  <si>
    <t>BOLLINGER WADE DR.</t>
  </si>
  <si>
    <t>1 ATWELL RD</t>
  </si>
  <si>
    <t>COOPERSTOWN</t>
  </si>
  <si>
    <t>Brian Bollo</t>
  </si>
  <si>
    <t>E0295974</t>
  </si>
  <si>
    <t>BRIAN PETER BOLLO</t>
  </si>
  <si>
    <t>bbollo@cayugamed.org</t>
  </si>
  <si>
    <t>BOLLO BRIAN</t>
  </si>
  <si>
    <t>BOLLO BRIAN PETER</t>
  </si>
  <si>
    <t>65 CROMWELL AVE</t>
  </si>
  <si>
    <t>STATEN ISLAND</t>
  </si>
  <si>
    <t>Cora Foster</t>
  </si>
  <si>
    <t>E0133362</t>
  </si>
  <si>
    <t>FOSTER CORA LEE MD</t>
  </si>
  <si>
    <t>fostercory969@verizon.net</t>
  </si>
  <si>
    <t>FOSTER CORA DR.</t>
  </si>
  <si>
    <t>1301 TRUMANSBURG RD</t>
  </si>
  <si>
    <t>John Mecenas</t>
  </si>
  <si>
    <t>E0071504</t>
  </si>
  <si>
    <t>MECENAS JOHN A MD</t>
  </si>
  <si>
    <t>jmecenas@twcny.rr.com</t>
  </si>
  <si>
    <t>MECENAS JOHN DR.</t>
  </si>
  <si>
    <t>David Schwed</t>
  </si>
  <si>
    <t>E0166287</t>
  </si>
  <si>
    <t>SCHWED DAVID A MD</t>
  </si>
  <si>
    <t>surgicalassoc@cnymail.com; dschwed@cayugamed.org</t>
  </si>
  <si>
    <t>SCHWED DAVID DR.</t>
  </si>
  <si>
    <t>1301 TRUMANSBURG RD STE E</t>
  </si>
  <si>
    <t>CHENANGO CO CHAP NYSARC RSP</t>
  </si>
  <si>
    <t>E0037940</t>
  </si>
  <si>
    <t>CHENANGO CO CHAP NYS ARC HCB2</t>
  </si>
  <si>
    <t>E0094203</t>
  </si>
  <si>
    <t>17 MIDLAND DR # CCJ1945</t>
  </si>
  <si>
    <t>CHENANGO CO CHAP NYSAC SPT</t>
  </si>
  <si>
    <t>E0064130</t>
  </si>
  <si>
    <t>CHENANGO CO CHAP NYSAC ND 1</t>
  </si>
  <si>
    <t>SUPPORTIVE</t>
  </si>
  <si>
    <t>CHENANGO CO CHAP NYSARC DAY</t>
  </si>
  <si>
    <t>E0029749</t>
  </si>
  <si>
    <t>CHENANGO C0 CHAP NYS ARC HCBS</t>
  </si>
  <si>
    <t>E0151026</t>
  </si>
  <si>
    <t>17 MIDLAND DR # CCA0174</t>
  </si>
  <si>
    <t>CHENANGO CNTY CHAPTER NYS ARC</t>
  </si>
  <si>
    <t>E0161478</t>
  </si>
  <si>
    <t>SUPRT C6111442</t>
  </si>
  <si>
    <t>CHENANGO CO NYSARC INC SMP</t>
  </si>
  <si>
    <t>E0379033</t>
  </si>
  <si>
    <t>NAYO EUNICE</t>
  </si>
  <si>
    <t>E0150711</t>
  </si>
  <si>
    <t>NAYO EUNICE YAAFIO MD</t>
  </si>
  <si>
    <t>Eunice Nayo</t>
  </si>
  <si>
    <t>(607) 795-0555</t>
  </si>
  <si>
    <t>426 S FRANKLIN ST</t>
  </si>
  <si>
    <t>WATKINS GLEN</t>
  </si>
  <si>
    <t>HILLSIDE CHILDREN'S CTR</t>
  </si>
  <si>
    <t>E0004891</t>
  </si>
  <si>
    <t>HILLSIDE CHILDRENS CTR</t>
  </si>
  <si>
    <t>Elizabeth Nolan</t>
  </si>
  <si>
    <t>(315) 703-8700</t>
  </si>
  <si>
    <t>DAY TRT OMH</t>
  </si>
  <si>
    <t>HENRIETTA</t>
  </si>
  <si>
    <t>Richard M. Rigotti, M.D.</t>
  </si>
  <si>
    <t>E0139409</t>
  </si>
  <si>
    <t>RIGOTTI RICHARD M MD</t>
  </si>
  <si>
    <t>Richard_Rigotti@uhs.org</t>
  </si>
  <si>
    <t>RIGOTTI RICHARD</t>
  </si>
  <si>
    <t>UHSH</t>
  </si>
  <si>
    <t>Peter R. Schotanus, M.D.</t>
  </si>
  <si>
    <t>E0106397</t>
  </si>
  <si>
    <t>SCHOTANUS PETER</t>
  </si>
  <si>
    <t>Peter_Schotanus@uhs.org</t>
  </si>
  <si>
    <t>Jagmohan Sidhu, M.D.</t>
  </si>
  <si>
    <t>E0343150</t>
  </si>
  <si>
    <t>SIDHU JAGMOHAN S</t>
  </si>
  <si>
    <t>Jagmohan_Sidhu@uhs.org</t>
  </si>
  <si>
    <t>SIDHU JAGMOHAN</t>
  </si>
  <si>
    <t>1656 CHAMPLIN AVE</t>
  </si>
  <si>
    <t>UTICA</t>
  </si>
  <si>
    <t>LABORATORY</t>
  </si>
  <si>
    <t>Bozena Slota, M.D.</t>
  </si>
  <si>
    <t>E0094445</t>
  </si>
  <si>
    <t>ROZUM BOZENA SLOTA MD</t>
  </si>
  <si>
    <t>Bezena_Slota@uhs.org</t>
  </si>
  <si>
    <t>SLOTA BOZENA</t>
  </si>
  <si>
    <t>TENG ANN</t>
  </si>
  <si>
    <t>E0348941</t>
  </si>
  <si>
    <t>TENG ANN Y</t>
  </si>
  <si>
    <t>40 ARCH ST</t>
  </si>
  <si>
    <t>TERWILLIGER SUSAN</t>
  </si>
  <si>
    <t>E0290860</t>
  </si>
  <si>
    <t>TERWILLIGER SUSAN HARFORD NP</t>
  </si>
  <si>
    <t>TERWILLIGER SUSAN HARFORD</t>
  </si>
  <si>
    <t>1011 N ELMER AVE</t>
  </si>
  <si>
    <t>TODD JEFFREY DR.</t>
  </si>
  <si>
    <t>E0214592</t>
  </si>
  <si>
    <t>TODD JEFFREY ANDREW DPM</t>
  </si>
  <si>
    <t>85 S BROAD ST</t>
  </si>
  <si>
    <t>TSAY THERESIA DR.</t>
  </si>
  <si>
    <t>E0315072</t>
  </si>
  <si>
    <t>TSAY THERESIA</t>
  </si>
  <si>
    <t>VANBUREN MORGAN MRS.</t>
  </si>
  <si>
    <t>E0287624</t>
  </si>
  <si>
    <t>VANBUREN MORGAN JOY MD</t>
  </si>
  <si>
    <t>DWYER MORGAN MRS.</t>
  </si>
  <si>
    <t>DWYER MORGAN JOY RPA</t>
  </si>
  <si>
    <t>BAYNAR CATHLEEN</t>
  </si>
  <si>
    <t>E0085442</t>
  </si>
  <si>
    <t>VERDON CATHLEEN J</t>
  </si>
  <si>
    <t>VERDON CATHLEEN JOSEPHINE</t>
  </si>
  <si>
    <t>VIEUX JUDY</t>
  </si>
  <si>
    <t>E0304542</t>
  </si>
  <si>
    <t>ELDERCHOICE INC TBI</t>
  </si>
  <si>
    <t>E0110762</t>
  </si>
  <si>
    <t>Rhonda Bennett</t>
  </si>
  <si>
    <t>(315) 252-7889</t>
  </si>
  <si>
    <t>rbennett@elderchoiceinc.com</t>
  </si>
  <si>
    <t>208 W MAIN ST</t>
  </si>
  <si>
    <t>ELBRIDGE</t>
  </si>
  <si>
    <t>ELDER CHOICE INC NHTD</t>
  </si>
  <si>
    <t>E0316633</t>
  </si>
  <si>
    <t>ELDER CHOICE INC</t>
  </si>
  <si>
    <t>89 YORK ST</t>
  </si>
  <si>
    <t>AUBURN</t>
  </si>
  <si>
    <t>ELDERCHOICE INC.</t>
  </si>
  <si>
    <t>Home Health</t>
  </si>
  <si>
    <t>208 WEST MAIN ST</t>
  </si>
  <si>
    <t>ASI OF CORTLAND, LLC</t>
  </si>
  <si>
    <t>Susan Neufang</t>
  </si>
  <si>
    <t>(607) 756-4167</t>
  </si>
  <si>
    <t>sn@asiofcortland.com</t>
  </si>
  <si>
    <t>OASAS</t>
  </si>
  <si>
    <t>17 MAIN ST, SUITE 411</t>
  </si>
  <si>
    <t>E0047559</t>
  </si>
  <si>
    <t>ASI OF CORTLAND LLC</t>
  </si>
  <si>
    <t>OAS CL</t>
  </si>
  <si>
    <t>NYSARC, Inc., Broome, Tioga County Chapter (dba ACHIEVE)</t>
  </si>
  <si>
    <t>Mary Jo Thorn</t>
  </si>
  <si>
    <t>(607) 231-5201</t>
  </si>
  <si>
    <t>mthorn@achieveny.org</t>
  </si>
  <si>
    <t>Community Center</t>
  </si>
  <si>
    <t>125 Cutler Pond Road</t>
  </si>
  <si>
    <t>LIBERTY RESOURCES INC TBI</t>
  </si>
  <si>
    <t>E0315228</t>
  </si>
  <si>
    <t>Suzanne T. Hellmig</t>
  </si>
  <si>
    <t>(315) 425-1004</t>
  </si>
  <si>
    <t>shellmig@liberty-resources.org</t>
  </si>
  <si>
    <t>45 TOMPKINS ST</t>
  </si>
  <si>
    <t>HOLLAND SANDRA</t>
  </si>
  <si>
    <t>E0180300</t>
  </si>
  <si>
    <t>HOLLAND SANDRA JOAN  MD</t>
  </si>
  <si>
    <t>Mark Webster</t>
  </si>
  <si>
    <t>(607) 756-3500</t>
  </si>
  <si>
    <t>NEWMAN JAMES</t>
  </si>
  <si>
    <t>E0089130</t>
  </si>
  <si>
    <t>NEWMAN JAMES PAUL DO</t>
  </si>
  <si>
    <t>CORTLAND MEMORIAL</t>
  </si>
  <si>
    <t>GARDNER DONNA</t>
  </si>
  <si>
    <t>E0050893</t>
  </si>
  <si>
    <t>GARDNER DONNA L</t>
  </si>
  <si>
    <t>1594 STATE RTE 26</t>
  </si>
  <si>
    <t>SOUTH OTSELIC</t>
  </si>
  <si>
    <t>HIGGINS JULIE</t>
  </si>
  <si>
    <t>E0074597</t>
  </si>
  <si>
    <t>HIGGINS JULIE JANEEN RPA</t>
  </si>
  <si>
    <t>4900 BROAD RD</t>
  </si>
  <si>
    <t>SERENS KELLEY MISS</t>
  </si>
  <si>
    <t>E0367234</t>
  </si>
  <si>
    <t>SERENS KELLEY A</t>
  </si>
  <si>
    <t>BALDWIN JENNIFER</t>
  </si>
  <si>
    <t>E0363426</t>
  </si>
  <si>
    <t>BALDWIN JENNIFER LYNN RUSHAK</t>
  </si>
  <si>
    <t>KURTZ JENNIFER</t>
  </si>
  <si>
    <t>E0365554</t>
  </si>
  <si>
    <t>KURTZ JENNIFER L</t>
  </si>
  <si>
    <t>NICOLETTE JENNIFER</t>
  </si>
  <si>
    <t>NICOLETTE JENNIFER L</t>
  </si>
  <si>
    <t>MCGINN RAYMOND</t>
  </si>
  <si>
    <t>E0114331</t>
  </si>
  <si>
    <t>MCGINN RAYMOND JOSEPH</t>
  </si>
  <si>
    <t>HAMILTIN CRIT CARE</t>
  </si>
  <si>
    <t>WILSON SUZANNE</t>
  </si>
  <si>
    <t>E0323939</t>
  </si>
  <si>
    <t>WILSON SUZANNE VALERIE</t>
  </si>
  <si>
    <t>404 N CAYUGA ST</t>
  </si>
  <si>
    <t>Jennifer Woodford, FNP-C</t>
  </si>
  <si>
    <t>E0333480</t>
  </si>
  <si>
    <t>MCLAUGHLIN JENNIFER THERESA</t>
  </si>
  <si>
    <t>Jennifer_Woodford@uhs.org</t>
  </si>
  <si>
    <t>WOODFORD JENNIFER</t>
  </si>
  <si>
    <t>WOODFORD JENNIFER THERESA</t>
  </si>
  <si>
    <t>Norie Grant, NP</t>
  </si>
  <si>
    <t>E0365750</t>
  </si>
  <si>
    <t>GRANT NORIE</t>
  </si>
  <si>
    <t>Norie_Grant@uhs.org</t>
  </si>
  <si>
    <t>CORTLAND COUNTY HLTH DEPT</t>
  </si>
  <si>
    <t>CORTLAND COUNTY HEALTH DEPARTMENT NURSING CLINICS</t>
  </si>
  <si>
    <t>CORTLAND COUNTY HEALTH DEPT CHILDREN WITH SPECIAL NEEDS</t>
  </si>
  <si>
    <t>8 DILL ST</t>
  </si>
  <si>
    <t>MEDICAID OBSTETRICAL AND MATERNAL SERVICES</t>
  </si>
  <si>
    <t>Cortland Regional Medical Center Inc.</t>
  </si>
  <si>
    <t>E0271157</t>
  </si>
  <si>
    <t>CORTLAND REG MED CTR</t>
  </si>
  <si>
    <t>Denise Wrinn</t>
  </si>
  <si>
    <t>(607) 756-3526</t>
  </si>
  <si>
    <t>dwrinn@cortlandregional.org</t>
  </si>
  <si>
    <t>CORTLAND REGIONAL MEDICAL CENTER LTHHCP</t>
  </si>
  <si>
    <t>CORTLAND REGIONAL MEDICAL CENTER</t>
  </si>
  <si>
    <t>CORTLAND REGIONAL MEDICAL CENTER, INC.</t>
  </si>
  <si>
    <t>Guthrie Corning Hospital</t>
  </si>
  <si>
    <t>E0263054</t>
  </si>
  <si>
    <t xml:space="preserve">Rita Urbanek </t>
  </si>
  <si>
    <t>urbanek_rita@guthrie.org</t>
  </si>
  <si>
    <t>All Other:: Clinic:: Hospital</t>
  </si>
  <si>
    <t>CORNING HOSPITAL</t>
  </si>
  <si>
    <t>1 GUTHRIE DR</t>
  </si>
  <si>
    <t>James Lawsing III</t>
  </si>
  <si>
    <t>E0307387</t>
  </si>
  <si>
    <t>LAWSING JAMES FULLER III</t>
  </si>
  <si>
    <t>LAWSING JAMES</t>
  </si>
  <si>
    <t>Ideal Senior Living Center Housing Corporation</t>
  </si>
  <si>
    <t>E0105515</t>
  </si>
  <si>
    <t>IDEAL SENIOR LIVIN CENTER ALP</t>
  </si>
  <si>
    <t>Michele Gordon</t>
  </si>
  <si>
    <t>(607) 786-7309</t>
  </si>
  <si>
    <t>michele_gordon@uhs.org</t>
  </si>
  <si>
    <t>600 HIGH AVE</t>
  </si>
  <si>
    <t>Ideal Senior Living Center, Inc.</t>
  </si>
  <si>
    <t>E0180290</t>
  </si>
  <si>
    <t>IDEAL SENIOR LIVING CTR SNF</t>
  </si>
  <si>
    <t>Ron Cerow</t>
  </si>
  <si>
    <t>(607) 786-7372</t>
  </si>
  <si>
    <t>ronald_cerow@uhs.org</t>
  </si>
  <si>
    <t>All Other:: Nursing Home</t>
  </si>
  <si>
    <t>IDEAL SENIOR LIVING CENTER INC</t>
  </si>
  <si>
    <t>IDEAL SENIOR LIVING CENTER</t>
  </si>
  <si>
    <t>601 HIGH AVE</t>
  </si>
  <si>
    <t>Good Shepherd Fairview Home Inc.</t>
  </si>
  <si>
    <t>E0252056</t>
  </si>
  <si>
    <t>GOOD SHEPHERD-FAIRVIEW HM INC</t>
  </si>
  <si>
    <t>Kathy Swezey</t>
  </si>
  <si>
    <t>(607) 724-2477</t>
  </si>
  <si>
    <t>kswezey@gsfhome.org</t>
  </si>
  <si>
    <t>GOOD SHEPHERD-FAIRVIEW HOME, INC.</t>
  </si>
  <si>
    <t>80 FAIRVIEW AVE</t>
  </si>
  <si>
    <t>Good Shepherd Fairview Home, Inc.</t>
  </si>
  <si>
    <t>E0285837</t>
  </si>
  <si>
    <t>GOOD SHEPHERD FAIRVIEW HOME ALP</t>
  </si>
  <si>
    <t>Broome County Mental Health Department</t>
  </si>
  <si>
    <t>E0241554</t>
  </si>
  <si>
    <t>BROOME CTY COMM MNTL HLTH SVC</t>
  </si>
  <si>
    <t>Katherine Cusano</t>
  </si>
  <si>
    <t>(607) 778-6357</t>
  </si>
  <si>
    <t>kcusano@co.broome.ny.us</t>
  </si>
  <si>
    <t>BROOME COUNTY MENTAL HEALTH DEPARTMENT</t>
  </si>
  <si>
    <t>CHLD/ADULT CL</t>
  </si>
  <si>
    <t>Our Lady of Lourdes Memorial Hospital (Lourdes at Home)</t>
  </si>
  <si>
    <t>E0265381</t>
  </si>
  <si>
    <t>OUR LADY OF LOURDES MEM</t>
  </si>
  <si>
    <t>Rochelle Eggleton</t>
  </si>
  <si>
    <t>(607) 584-9149</t>
  </si>
  <si>
    <t>reggleton@lourdes.com</t>
  </si>
  <si>
    <t>OUR LADY OF LOURDES MEMORIAL HOSPITAL, INC.</t>
  </si>
  <si>
    <t>OUR LADY OF LOURDES MEMORIAL HSP</t>
  </si>
  <si>
    <t>The Family and Children's Society, Inc.</t>
  </si>
  <si>
    <t>E0240646</t>
  </si>
  <si>
    <t>FAMILY AND CHILDREN SOCIETY</t>
  </si>
  <si>
    <t>Frederick DuFour, John Trompeter, Andrea Quezada</t>
  </si>
  <si>
    <t>(607) 729-6206</t>
  </si>
  <si>
    <t>fdufour@familycs.org;jtrompeter@familycs.org; aquezada@familycs.org</t>
  </si>
  <si>
    <t>THE FAMILY &amp; CHILDRENS SOCIETY INC</t>
  </si>
  <si>
    <t>355 RIVERSIDE DR</t>
  </si>
  <si>
    <t>E0307711</t>
  </si>
  <si>
    <t>FAMILY AND CHILDRENS SOCIETY INC</t>
  </si>
  <si>
    <t>THE FAMILY &amp; CHILDREN'S SOCIETY, INC</t>
  </si>
  <si>
    <t>Susquehanna Nursing and Rehabilitation Center, LLC</t>
  </si>
  <si>
    <t>E0218570</t>
  </si>
  <si>
    <t>SUSQUEHANNA NRS &amp; REHAB CENTER ADHC</t>
  </si>
  <si>
    <t>James Sinner</t>
  </si>
  <si>
    <t>(607) 729-9206</t>
  </si>
  <si>
    <t>jsinner@susnursing.com</t>
  </si>
  <si>
    <t>SUSQUEHANNA NURSING &amp; REHABILITATION CENTER, LLC</t>
  </si>
  <si>
    <t>SUSQUEHANNA NURSING &amp; REHAB CTR</t>
  </si>
  <si>
    <t>282 RIVERSIDE DR</t>
  </si>
  <si>
    <t>Loren J. Wolsh</t>
  </si>
  <si>
    <t>E0077753</t>
  </si>
  <si>
    <t>WOLSH LOREN</t>
  </si>
  <si>
    <t>Loren_Wolsh@uhs.org</t>
  </si>
  <si>
    <t>Gang Yue, M.D.</t>
  </si>
  <si>
    <t>E0010040</t>
  </si>
  <si>
    <t>YUE GANG MD</t>
  </si>
  <si>
    <t>Gang_Yue@uhs.org</t>
  </si>
  <si>
    <t>YUE GANG DR.</t>
  </si>
  <si>
    <t>Christine Fenlon, M.D.</t>
  </si>
  <si>
    <t>E0208118</t>
  </si>
  <si>
    <t>FENLON CHRISTINE H         MD</t>
  </si>
  <si>
    <t>Christine_Fenlon@uhs.org</t>
  </si>
  <si>
    <t>FENLON CHRISTINE</t>
  </si>
  <si>
    <t>177 RIVERSIDE DR</t>
  </si>
  <si>
    <t>Vivek Kandanati, M.D.</t>
  </si>
  <si>
    <t>E0322146</t>
  </si>
  <si>
    <t>KANDANATI VIVEK VARDHAN REDDY MD</t>
  </si>
  <si>
    <t>Vivek_Kandanati@uhs.org</t>
  </si>
  <si>
    <t>KANDANATI VIVEK VARDHAN REDDY DR.</t>
  </si>
  <si>
    <t>Venkatash Jayaraman, M.D.</t>
  </si>
  <si>
    <t>E0020547</t>
  </si>
  <si>
    <t>JAYARAMAN VENKATESH B</t>
  </si>
  <si>
    <t>(607) 766-0100</t>
  </si>
  <si>
    <t>Venkatesh_Jayaraman@uhs.org</t>
  </si>
  <si>
    <t>JAYARAMAN VENKATESH</t>
  </si>
  <si>
    <t>Mohammed Quasem, M.D.</t>
  </si>
  <si>
    <t>E0035201</t>
  </si>
  <si>
    <t>QUASEM MOHAMMAD ABUL</t>
  </si>
  <si>
    <t>Mohammad_Quasem@uhs.org</t>
  </si>
  <si>
    <t>QUASEM MOHAMMAD</t>
  </si>
  <si>
    <t>27 PARK AVE FL 5</t>
  </si>
  <si>
    <t>Olga Verbitskiy, NP</t>
  </si>
  <si>
    <t>E0313644</t>
  </si>
  <si>
    <t>VERBITSKIY OLGA</t>
  </si>
  <si>
    <t>Olga_Verbitskiy@uhs.org</t>
  </si>
  <si>
    <t>116 N JENSEN RD</t>
  </si>
  <si>
    <t>Rashid Ul Haq, M.D.</t>
  </si>
  <si>
    <t>E0024284</t>
  </si>
  <si>
    <t>HAQ RASHID UL MD</t>
  </si>
  <si>
    <t>(607) 763-8181</t>
  </si>
  <si>
    <t>Rashid_Haq@uhs.org</t>
  </si>
  <si>
    <t>HAQ RASHID</t>
  </si>
  <si>
    <t>Bradley Hart, DPM</t>
  </si>
  <si>
    <t>E0359185</t>
  </si>
  <si>
    <t>HART BRADLEY</t>
  </si>
  <si>
    <t>(607) 648-7652</t>
  </si>
  <si>
    <t>Bradley_Hart@uhs.org</t>
  </si>
  <si>
    <t>YMCA of Broome County</t>
  </si>
  <si>
    <t>Gareth Sansom</t>
  </si>
  <si>
    <t>(607) 772-0560</t>
  </si>
  <si>
    <t>gpado@ymcabroome.org</t>
  </si>
  <si>
    <t>61 Susquehanna Street</t>
  </si>
  <si>
    <t>FAMILY HLTH NETWRK CENTRAL NY</t>
  </si>
  <si>
    <t>E0252106</t>
  </si>
  <si>
    <t>Walter Priest</t>
  </si>
  <si>
    <t>wpriest@familyhealthnetwork.org</t>
  </si>
  <si>
    <t>FAMILY HEALTH NETWORK OF CENTRAL NEW YORK, INC.</t>
  </si>
  <si>
    <t>22-24 MAIN ST</t>
  </si>
  <si>
    <t>MARATHON</t>
  </si>
  <si>
    <t>Sriram D. Nirgudkar, M.D.</t>
  </si>
  <si>
    <t>E0255722</t>
  </si>
  <si>
    <t>NIRGUDKAR SRIRAM D         MD</t>
  </si>
  <si>
    <t>Sriram_Nirgudkar@uhs.org</t>
  </si>
  <si>
    <t>NIRGUDKAR SRIRAM DR.</t>
  </si>
  <si>
    <t>CS WILSON MEM HSP</t>
  </si>
  <si>
    <t>Steven Rogers</t>
  </si>
  <si>
    <t>E0132925</t>
  </si>
  <si>
    <t>ROGERS STEVEN ALAN MD</t>
  </si>
  <si>
    <t>Carolee Vink</t>
  </si>
  <si>
    <t>(607) 272-5011</t>
  </si>
  <si>
    <t>sargidoc1@msn.com</t>
  </si>
  <si>
    <t>ROGERS STEVEN</t>
  </si>
  <si>
    <t>201 DATES DR</t>
  </si>
  <si>
    <t xml:space="preserve">John Zevan, D.O. </t>
  </si>
  <si>
    <t>E0119448</t>
  </si>
  <si>
    <t>ZEVAN JOHN PETER MD</t>
  </si>
  <si>
    <t>John_Zevan@uhs.org</t>
  </si>
  <si>
    <t>ZEVAN JOHN</t>
  </si>
  <si>
    <t>UNITED MED ASSOC</t>
  </si>
  <si>
    <t>Jamie Barvinchak, NP</t>
  </si>
  <si>
    <t>E0340249</t>
  </si>
  <si>
    <t>BARVINCHAK JAMIE MARIE</t>
  </si>
  <si>
    <t>Jamie_Barvinchak@uhs.org</t>
  </si>
  <si>
    <t>BARVINCHAK JAMIE</t>
  </si>
  <si>
    <t>Cariann Brady, NP</t>
  </si>
  <si>
    <t>E0340242</t>
  </si>
  <si>
    <t>BRADY CARIANN SUSAN</t>
  </si>
  <si>
    <t>Cariann_Brady@uhs.org</t>
  </si>
  <si>
    <t>BRADY CARIANN</t>
  </si>
  <si>
    <t>Jillene Brathwaite, D.O.</t>
  </si>
  <si>
    <t>E0296313</t>
  </si>
  <si>
    <t>BRATHWAITE JILLENE</t>
  </si>
  <si>
    <t>Jillene_Brathwaite@uhs.org</t>
  </si>
  <si>
    <t>BRATHWAITE JILLENE M</t>
  </si>
  <si>
    <t>33-57 HARRISON STREE</t>
  </si>
  <si>
    <t>Mahmood A. Butt, M.D.</t>
  </si>
  <si>
    <t>E0062954</t>
  </si>
  <si>
    <t>BUTT MAHMOOD</t>
  </si>
  <si>
    <t>Mahmood_Butt@uhs.org</t>
  </si>
  <si>
    <t>AHMED MAHMOOD</t>
  </si>
  <si>
    <t>Brenda Carr, NP</t>
  </si>
  <si>
    <t>E0338324</t>
  </si>
  <si>
    <t>CARR BRENDA LYNN FNP</t>
  </si>
  <si>
    <t>Brenda_Carr@uhs.org</t>
  </si>
  <si>
    <t>CARR BRENDA MRS.</t>
  </si>
  <si>
    <t>Nazif Chowdhury, M.D.</t>
  </si>
  <si>
    <t>E0295095</t>
  </si>
  <si>
    <t>CHOWDHURY NAZIF AHMED</t>
  </si>
  <si>
    <t>Nazif_Chowdhury@uhs.org</t>
  </si>
  <si>
    <t>CHOWDHURY NAZIF</t>
  </si>
  <si>
    <t>Carolyn Crispell, D.O.</t>
  </si>
  <si>
    <t>E0157215</t>
  </si>
  <si>
    <t>UNITED MEDICAL ASSOCIATES PC</t>
  </si>
  <si>
    <t>Carolyn_Crispell@uhs.org</t>
  </si>
  <si>
    <t>Maureen Daws, NP</t>
  </si>
  <si>
    <t>E0365748</t>
  </si>
  <si>
    <t>DAWS MAUREEN</t>
  </si>
  <si>
    <t>Maureen_Daws@uhs.org</t>
  </si>
  <si>
    <t>DAWS MAUREEN MRS.</t>
  </si>
  <si>
    <t>Shawn Emmons, D.O.</t>
  </si>
  <si>
    <t>E0293625</t>
  </si>
  <si>
    <t>SHAWN PATRICK EMMONS</t>
  </si>
  <si>
    <t>Shawn_Emmons@uhs.org</t>
  </si>
  <si>
    <t>EMMONS SHAWN DR.</t>
  </si>
  <si>
    <t>EMMONS SHAWN PATRICK</t>
  </si>
  <si>
    <t>CORPORA CARA DR.</t>
  </si>
  <si>
    <t>E0336241</t>
  </si>
  <si>
    <t>CORPORA CARA L</t>
  </si>
  <si>
    <t>CONTINI WILLIAM</t>
  </si>
  <si>
    <t>E0241602</t>
  </si>
  <si>
    <t>CONTINI WILLIAM            MD</t>
  </si>
  <si>
    <t>CONTINI WILLIAM MD</t>
  </si>
  <si>
    <t>BRIGHTMAN JANICE</t>
  </si>
  <si>
    <t>E0107396</t>
  </si>
  <si>
    <t>BRIGHTMAN JANICE ADA TORMEY</t>
  </si>
  <si>
    <t>40 NORTH CANAL ST</t>
  </si>
  <si>
    <t>OXFORD</t>
  </si>
  <si>
    <t>KLIMENT ANDREW MR.</t>
  </si>
  <si>
    <t>E0368255</t>
  </si>
  <si>
    <t>KLIMENT ANDREW T</t>
  </si>
  <si>
    <t>KLIMENT ANDREW TAYLOR</t>
  </si>
  <si>
    <t>174 OAKDALE RD</t>
  </si>
  <si>
    <t>DEUTCSH FREDERICK</t>
  </si>
  <si>
    <t>E0122221</t>
  </si>
  <si>
    <t>DEUTSCH FREDERICK</t>
  </si>
  <si>
    <t>4 NEWTON AVE</t>
  </si>
  <si>
    <t>NYSARC INC CHEMUNG CO CHPTER</t>
  </si>
  <si>
    <t>E0014480</t>
  </si>
  <si>
    <t>Pamela Overdurf</t>
  </si>
  <si>
    <t>(607) 734-6151</t>
  </si>
  <si>
    <t>Overdurfpj@arcofchemung.org</t>
  </si>
  <si>
    <t>NYSARC INC., CHEMUNG COUNTY CHAPTER</t>
  </si>
  <si>
    <t>711 SULLIVAN ST</t>
  </si>
  <si>
    <t>NYS Office for People with Development Disabilities</t>
  </si>
  <si>
    <t>Lynette O'Brien</t>
  </si>
  <si>
    <t>(315) 473-5050</t>
  </si>
  <si>
    <t>Local Government Unit (LGU)/Single Point of Access (SPOA)</t>
  </si>
  <si>
    <t>187 Northern Concourse</t>
  </si>
  <si>
    <t>N. Syracuse</t>
  </si>
  <si>
    <t>S2AY Rural Health Network</t>
  </si>
  <si>
    <t>Andrea J. Haradon</t>
  </si>
  <si>
    <t>(607) 962-8459</t>
  </si>
  <si>
    <t>grantstogo@stny.rr.com</t>
  </si>
  <si>
    <t>Unknown</t>
  </si>
  <si>
    <t>P.O. Box 97, 3069 B Spencer Hill Road</t>
  </si>
  <si>
    <t>Corning</t>
  </si>
  <si>
    <t>New York</t>
  </si>
  <si>
    <t>Seven Valleys Health Coalition</t>
  </si>
  <si>
    <t>Jackie Carlton Leaf</t>
  </si>
  <si>
    <t>(607) 756-4198</t>
  </si>
  <si>
    <t>jackie@sevenvalleyshealth.org</t>
  </si>
  <si>
    <t>10 Kennedy Parkway</t>
  </si>
  <si>
    <t>Cortland</t>
  </si>
  <si>
    <t>Monica Morgan</t>
  </si>
  <si>
    <t>E0042963</t>
  </si>
  <si>
    <t>VAN EVERY MONICA MD</t>
  </si>
  <si>
    <t>monicalve@hotmail.com</t>
  </si>
  <si>
    <t>MORGAN MONICA</t>
  </si>
  <si>
    <t>10 ARROWOOD DRIVE</t>
  </si>
  <si>
    <t>Richard Murray</t>
  </si>
  <si>
    <t>E0172023</t>
  </si>
  <si>
    <t>MURRAY RICHARD W MD</t>
  </si>
  <si>
    <t>spotmurray@aol.com</t>
  </si>
  <si>
    <t>MURRAY RICHARD DR.</t>
  </si>
  <si>
    <t>Valerie Ross</t>
  </si>
  <si>
    <t>E0382391</t>
  </si>
  <si>
    <t>ROSS VALERIE HOWARTH</t>
  </si>
  <si>
    <t>valerie.ross49@gmail.com</t>
  </si>
  <si>
    <t>ROSS VALERIE</t>
  </si>
  <si>
    <t>Wajeeh Sana</t>
  </si>
  <si>
    <t>E0286127</t>
  </si>
  <si>
    <t>SANA WAJEEH</t>
  </si>
  <si>
    <t>wajeehsana@gmail.com</t>
  </si>
  <si>
    <t>SANA WAJEEH DR.</t>
  </si>
  <si>
    <t>SANA WAJEEH MD</t>
  </si>
  <si>
    <t>10 ARROWWOOD DRIVE</t>
  </si>
  <si>
    <t>Farzad Sarmast</t>
  </si>
  <si>
    <t>E0004224</t>
  </si>
  <si>
    <t>SARMAST FARZAD MD</t>
  </si>
  <si>
    <t>fsarmast@yahoo.com</t>
  </si>
  <si>
    <t>SARMAST FARZAD DR.</t>
  </si>
  <si>
    <t>Christopher Scianna</t>
  </si>
  <si>
    <t>E0307353</t>
  </si>
  <si>
    <t>SCIANNA CHRISTOPHER ROBERT DO</t>
  </si>
  <si>
    <t>sciannch@upstate.edu; crscianna@yahoo.com</t>
  </si>
  <si>
    <t>SCIANNA CHRISTOPHER DR.</t>
  </si>
  <si>
    <t>David Shenker</t>
  </si>
  <si>
    <t>E0198212</t>
  </si>
  <si>
    <t>SHENKER DAVID MD</t>
  </si>
  <si>
    <t>david.shenker@baystatehealth.org</t>
  </si>
  <si>
    <t>SHENKER DAVID DR.</t>
  </si>
  <si>
    <t>759 CHESTNUT ST</t>
  </si>
  <si>
    <t>SPRINGFIELD</t>
  </si>
  <si>
    <t>MA</t>
  </si>
  <si>
    <t>William Shepherd</t>
  </si>
  <si>
    <t>E0064761</t>
  </si>
  <si>
    <t>SHEPHERD WILLIAM CHARLES MD</t>
  </si>
  <si>
    <t>wcsithaca@hotmail.com</t>
  </si>
  <si>
    <t>SHEPHERD WILLIAM</t>
  </si>
  <si>
    <t>SHEPHERD WILLIAM C MD</t>
  </si>
  <si>
    <t>SCHUYLER HSP ER PHYS</t>
  </si>
  <si>
    <t>MONTOUR FALLS</t>
  </si>
  <si>
    <t>J. Steinberg</t>
  </si>
  <si>
    <t>E0100903</t>
  </si>
  <si>
    <t>STEINBERG ESTHER MD</t>
  </si>
  <si>
    <t>esthersteinberg2@gmail.com</t>
  </si>
  <si>
    <t>STEINBERG ESTHER DR.</t>
  </si>
  <si>
    <t>STE 201</t>
  </si>
  <si>
    <t>Michelle Teves</t>
  </si>
  <si>
    <t>E0354014</t>
  </si>
  <si>
    <t>TEVES MICHELLE A</t>
  </si>
  <si>
    <t>anjani108@gmail.com; mteves@cayugamed.org</t>
  </si>
  <si>
    <t>TEVES MICHELLE DR.</t>
  </si>
  <si>
    <t>Martin Weitzel</t>
  </si>
  <si>
    <t>E0197495</t>
  </si>
  <si>
    <t>WEITZEL MARTIN KRESS DO</t>
  </si>
  <si>
    <t>(607) 756-7200</t>
  </si>
  <si>
    <t>mkweitzeldo@gmail.com</t>
  </si>
  <si>
    <t>WEITZEL MARTIN</t>
  </si>
  <si>
    <t>91 COLUMBUS ST</t>
  </si>
  <si>
    <t>David Williams</t>
  </si>
  <si>
    <t>E0101235</t>
  </si>
  <si>
    <t>WILLIAMS DAVID DEA MD</t>
  </si>
  <si>
    <t>areelian@gmail.com</t>
  </si>
  <si>
    <t>WILLIAMS DAVID DR.</t>
  </si>
  <si>
    <t>Mary Howson</t>
  </si>
  <si>
    <t>E0133733</t>
  </si>
  <si>
    <t>HOWSON MARY FRANCES MD</t>
  </si>
  <si>
    <t>James Loehr, MD</t>
  </si>
  <si>
    <t>(607) 697-0360</t>
  </si>
  <si>
    <t>mhowson@twcny.rr.com</t>
  </si>
  <si>
    <t>HOWSON MARY</t>
  </si>
  <si>
    <t>James Loehr</t>
  </si>
  <si>
    <t>E0131508</t>
  </si>
  <si>
    <t>LOEHR JAMES CHRISTOPHER MD</t>
  </si>
  <si>
    <t>jamiecfm@choiceonemail.com</t>
  </si>
  <si>
    <t>LOEHR JAMES DR.</t>
  </si>
  <si>
    <t>402 N CAYUGA ST</t>
  </si>
  <si>
    <t>Douglas Zang</t>
  </si>
  <si>
    <t>E0338104</t>
  </si>
  <si>
    <t>ZANG DOUGLAS MICHAEL</t>
  </si>
  <si>
    <t>dmzang@gmail.com</t>
  </si>
  <si>
    <t>ZANG DOUGLAS</t>
  </si>
  <si>
    <t>PO BOX 150</t>
  </si>
  <si>
    <t>COCHITI PUEBLO</t>
  </si>
  <si>
    <t>NM</t>
  </si>
  <si>
    <t>Finger Lakes Addiction Counseling and Referral Agency, Inc (FLACRA)</t>
  </si>
  <si>
    <t>E0240643</t>
  </si>
  <si>
    <t>F L A C R A</t>
  </si>
  <si>
    <t>Martin Teller</t>
  </si>
  <si>
    <t>(315) 462-9466</t>
  </si>
  <si>
    <t>martin.teller@flacra.org</t>
  </si>
  <si>
    <t>FINGER LAKES ADDICTION COUNSELING AND REFERRAL AGENCY</t>
  </si>
  <si>
    <t>DAA HCFA</t>
  </si>
  <si>
    <t>CLIFTON SPRINGS</t>
  </si>
  <si>
    <t>Finger Lakes Migrant Health Project, Inc.</t>
  </si>
  <si>
    <t>E0038170</t>
  </si>
  <si>
    <t>FINGER LAKES MIGRANT HLTH</t>
  </si>
  <si>
    <t>James X. Kennedy</t>
  </si>
  <si>
    <t>(607) 403-0065</t>
  </si>
  <si>
    <t>jimk@flchealth.org</t>
  </si>
  <si>
    <t>FINGER LAKES MIGRANT HEALTH CARE PROJECT, INC.</t>
  </si>
  <si>
    <t>FINGER LAKES MIGRANT HEALTH CARE PR</t>
  </si>
  <si>
    <t>7150 MAIN ST</t>
  </si>
  <si>
    <t>OVID</t>
  </si>
  <si>
    <t>FRANZISKA RACKER CENTERS</t>
  </si>
  <si>
    <t>E0263570</t>
  </si>
  <si>
    <t>Dan Brown</t>
  </si>
  <si>
    <t>(607) 272-5891</t>
  </si>
  <si>
    <t>danb@rackercenters.org</t>
  </si>
  <si>
    <t>All Other:: Clinic:: Mental Health</t>
  </si>
  <si>
    <t>FRANZISKA RACKER CENTERS INC</t>
  </si>
  <si>
    <t>DOH/DAY TRT OMH</t>
  </si>
  <si>
    <t>FRANZISKA RACKER CENTERS SPV</t>
  </si>
  <si>
    <t>E0075398</t>
  </si>
  <si>
    <t>FRANZISKA RACKER CTR DAY</t>
  </si>
  <si>
    <t>E0030265</t>
  </si>
  <si>
    <t>FRANZISKA RACKER CTR INC HCB7</t>
  </si>
  <si>
    <t>E0094208</t>
  </si>
  <si>
    <t>3226 WILKINS RD # SSL1207</t>
  </si>
  <si>
    <t>FRANZISKA RACKER CTR RSP</t>
  </si>
  <si>
    <t>E0040158</t>
  </si>
  <si>
    <t>3226 WILKINS RD</t>
  </si>
  <si>
    <t>Groton Community Health Care Center Residential Care Facility</t>
  </si>
  <si>
    <t>E0251882</t>
  </si>
  <si>
    <t>GROTON COMMUNITY HCC SNF</t>
  </si>
  <si>
    <t>(607) 898-5876</t>
  </si>
  <si>
    <t>GROTON COMMUNITY HEALTH CARE CENTER INC</t>
  </si>
  <si>
    <t>GROTON COMMUNITY HCC RCF</t>
  </si>
  <si>
    <t>120 SYKES ST</t>
  </si>
  <si>
    <t>GROTON</t>
  </si>
  <si>
    <t>ARANDA ARVIN</t>
  </si>
  <si>
    <t>E0086002</t>
  </si>
  <si>
    <t>ARANDA ARVIN MD</t>
  </si>
  <si>
    <t>40 MATTHEWS ST # ST-307</t>
  </si>
  <si>
    <t>GOSHEN</t>
  </si>
  <si>
    <t>HADWIN JEANNETTE MS.</t>
  </si>
  <si>
    <t>E0067389</t>
  </si>
  <si>
    <t>HADWIN JEANNETTE</t>
  </si>
  <si>
    <t>HADWIN JEANNETTE S</t>
  </si>
  <si>
    <t>303 MAIN ST</t>
  </si>
  <si>
    <t>ABUEG RENATO</t>
  </si>
  <si>
    <t>E0119546</t>
  </si>
  <si>
    <t>ABUEG RENATO A MD</t>
  </si>
  <si>
    <t>ANNE NIRUPAMA DR.</t>
  </si>
  <si>
    <t>E0023107</t>
  </si>
  <si>
    <t>ANNE NIRUPAMA MD</t>
  </si>
  <si>
    <t>NIRUPAMA ANNE</t>
  </si>
  <si>
    <t>169 RIVERSIDE DR STE 300</t>
  </si>
  <si>
    <t>BOYLE MICHELE DR.</t>
  </si>
  <si>
    <t>E0210358</t>
  </si>
  <si>
    <t>BOYLE MICHELE              MD</t>
  </si>
  <si>
    <t>WASCO MICHAEL</t>
  </si>
  <si>
    <t>E0247419</t>
  </si>
  <si>
    <t>WASCO MICHAEL J            MD</t>
  </si>
  <si>
    <t>32 BROAD AVE</t>
  </si>
  <si>
    <t>RAO MUKESH DR.</t>
  </si>
  <si>
    <t>E0178807</t>
  </si>
  <si>
    <t>RAO MUKESH G MD</t>
  </si>
  <si>
    <t>STE 307</t>
  </si>
  <si>
    <t>HOWLAND TIMOTHY DR.</t>
  </si>
  <si>
    <t>E0208148</t>
  </si>
  <si>
    <t>HOWLAND TIMOTHY C          MD</t>
  </si>
  <si>
    <t>ALECCIA DORENE MRS.</t>
  </si>
  <si>
    <t>E0067500</t>
  </si>
  <si>
    <t>ALECCIA DORENE A</t>
  </si>
  <si>
    <t>ALECCIA DORENE ANN</t>
  </si>
  <si>
    <t>276-280 ROBINSON ST</t>
  </si>
  <si>
    <t>PACHECO JOSE</t>
  </si>
  <si>
    <t>E0224220</t>
  </si>
  <si>
    <t>PACHECO JOSE M             MD</t>
  </si>
  <si>
    <t>DEAN GARY DR.</t>
  </si>
  <si>
    <t>E0213459</t>
  </si>
  <si>
    <t>DEAN GARY D                MD</t>
  </si>
  <si>
    <t>HARRISON STREET</t>
  </si>
  <si>
    <t>DRILON MICHELLE</t>
  </si>
  <si>
    <t>E0325100</t>
  </si>
  <si>
    <t>DRILON MICHELLE ANN</t>
  </si>
  <si>
    <t>ANIS UZMA DR.</t>
  </si>
  <si>
    <t>E0050940</t>
  </si>
  <si>
    <t>ANIS UZMA MD</t>
  </si>
  <si>
    <t>WHELAN KAREN</t>
  </si>
  <si>
    <t>E0103060</t>
  </si>
  <si>
    <t>WHELAN KAREN A</t>
  </si>
  <si>
    <t>WHELAN KAREN ANNE</t>
  </si>
  <si>
    <t>ALT ALLEN DR.</t>
  </si>
  <si>
    <t>E0236965</t>
  </si>
  <si>
    <t>ALT ALLEN DAVID MD</t>
  </si>
  <si>
    <t>WU RICHARD DR.</t>
  </si>
  <si>
    <t>E0276688</t>
  </si>
  <si>
    <t>WU RICHARD HK              MD</t>
  </si>
  <si>
    <t>OLBRYS KATHLEEN</t>
  </si>
  <si>
    <t>E0067295</t>
  </si>
  <si>
    <t>OLBRYS KATHLEEN M</t>
  </si>
  <si>
    <t>STEINMETZ JAMES</t>
  </si>
  <si>
    <t>E0083796</t>
  </si>
  <si>
    <t>STEINMETZ JAMES ROBERT MD</t>
  </si>
  <si>
    <t>161 RIVERSIDE DR</t>
  </si>
  <si>
    <t>MANGOURI GHASSEM</t>
  </si>
  <si>
    <t>E0222165</t>
  </si>
  <si>
    <t>GHASSEM MANGOURI MD</t>
  </si>
  <si>
    <t>WILSON HOSPITAL</t>
  </si>
  <si>
    <t>MUHICH JANET</t>
  </si>
  <si>
    <t>E0163077</t>
  </si>
  <si>
    <t>MUHICH JANET E MD</t>
  </si>
  <si>
    <t>STE 105</t>
  </si>
  <si>
    <t>RANA SHAMSUDDIN DR.</t>
  </si>
  <si>
    <t>E0238936</t>
  </si>
  <si>
    <t>RANA SHAMSUDDIN MD</t>
  </si>
  <si>
    <t>HUGHES DORIS MS.</t>
  </si>
  <si>
    <t>E0019532</t>
  </si>
  <si>
    <t>MICHALOVIC DORIS</t>
  </si>
  <si>
    <t>HUGHES DORIS JEANNE</t>
  </si>
  <si>
    <t>TALATI KIRAN</t>
  </si>
  <si>
    <t>E0123337</t>
  </si>
  <si>
    <t>TALATI KIRAN A MD</t>
  </si>
  <si>
    <t>PRIMARY CARE ASSOC</t>
  </si>
  <si>
    <t>BARRETT MICHAEL</t>
  </si>
  <si>
    <t>E0119530</t>
  </si>
  <si>
    <t>BARRETT MICHAEL W MD</t>
  </si>
  <si>
    <t>SURG ASSOC PC-#105</t>
  </si>
  <si>
    <t>GALU MARIA DR.</t>
  </si>
  <si>
    <t>E0071043</t>
  </si>
  <si>
    <t>GALU MARIA GABRIELA LIVIA MD</t>
  </si>
  <si>
    <t>ZANDER DAVID DR.</t>
  </si>
  <si>
    <t>E0249242</t>
  </si>
  <si>
    <t>ZANDER DAVID BROOKS MD</t>
  </si>
  <si>
    <t>SUSQUEHANNA MED AFF</t>
  </si>
  <si>
    <t>PALLAPOTHU RATNAKISHORE DR.</t>
  </si>
  <si>
    <t>E0311251</t>
  </si>
  <si>
    <t>RATNAKISHORE PALLAPOTHU</t>
  </si>
  <si>
    <t>PALLAPOTHU RATNAKISHORE</t>
  </si>
  <si>
    <t>161 RIVERSIDE DR STE 305</t>
  </si>
  <si>
    <t>HODGEMAN PAUL MR.</t>
  </si>
  <si>
    <t>E0103495</t>
  </si>
  <si>
    <t>HODGEMAN PAUL D</t>
  </si>
  <si>
    <t>HODGEMAN PAUL DOUGLAS</t>
  </si>
  <si>
    <t>510 FIFTH AVE</t>
  </si>
  <si>
    <t>JONES THOMAS MR.</t>
  </si>
  <si>
    <t>E0172706</t>
  </si>
  <si>
    <t>JONES THOMAS RICHARD</t>
  </si>
  <si>
    <t>BRUNT JOSEPH MR.</t>
  </si>
  <si>
    <t>E0049784</t>
  </si>
  <si>
    <t>BRUNT JOSEPH</t>
  </si>
  <si>
    <t>BRUNT JOSEPH FRANCIS</t>
  </si>
  <si>
    <t>KENNY JOSEPH</t>
  </si>
  <si>
    <t>E0339792</t>
  </si>
  <si>
    <t>33-57 HARRISON ST PI</t>
  </si>
  <si>
    <t>LOWRIE RYAN</t>
  </si>
  <si>
    <t>E0313526</t>
  </si>
  <si>
    <t>LOWRIE RYAN PAUL</t>
  </si>
  <si>
    <t>MATEYA LOUIS</t>
  </si>
  <si>
    <t>E0177157</t>
  </si>
  <si>
    <t>MATEYA LOUIS P JR MD</t>
  </si>
  <si>
    <t>DECKER KEVIN DR.</t>
  </si>
  <si>
    <t>E0323164</t>
  </si>
  <si>
    <t>DECKER KEVIN</t>
  </si>
  <si>
    <t>32 CONKEY AVE</t>
  </si>
  <si>
    <t>DENTIST</t>
  </si>
  <si>
    <t>MAKLAD SAFA DR.</t>
  </si>
  <si>
    <t>E0299855</t>
  </si>
  <si>
    <t>MAKLAD SAFA A</t>
  </si>
  <si>
    <t>DZMITRYIEU ALIAKSANDR</t>
  </si>
  <si>
    <t>E0322713</t>
  </si>
  <si>
    <t>BARTON MICHAEL</t>
  </si>
  <si>
    <t>E0044349</t>
  </si>
  <si>
    <t>BENZ MARY</t>
  </si>
  <si>
    <t>E0327782</t>
  </si>
  <si>
    <t>BENZ MARY BARBARA</t>
  </si>
  <si>
    <t>596 5TH AVE</t>
  </si>
  <si>
    <t>PAXTON DEBRA DR.</t>
  </si>
  <si>
    <t>E0294852</t>
  </si>
  <si>
    <t>DEBRA LYN PAXTON</t>
  </si>
  <si>
    <t>PAXTON DEBRA LYN</t>
  </si>
  <si>
    <t>ERNEY STANLEY</t>
  </si>
  <si>
    <t>E0166575</t>
  </si>
  <si>
    <t>ERNEY STANLEY L MD</t>
  </si>
  <si>
    <t>67 BROAD ST</t>
  </si>
  <si>
    <t>LARSON  HENRY C MD</t>
  </si>
  <si>
    <t>E0016135</t>
  </si>
  <si>
    <t>LARSONC HENRY MD</t>
  </si>
  <si>
    <t>30 HARRISON ST</t>
  </si>
  <si>
    <t>FLOYD FRANK DR.</t>
  </si>
  <si>
    <t>E0194693</t>
  </si>
  <si>
    <t>FLOYD FRANK DANIEL MD</t>
  </si>
  <si>
    <t>GAONKAR NELIMA MS.</t>
  </si>
  <si>
    <t>E0298880</t>
  </si>
  <si>
    <t>GAONKAR NELIMA WOOD</t>
  </si>
  <si>
    <t>HATCH KAREN</t>
  </si>
  <si>
    <t>E0070097</t>
  </si>
  <si>
    <t>HATCH KAREN MARIE</t>
  </si>
  <si>
    <t>30 HARRISON ST STE 340</t>
  </si>
  <si>
    <t>BARON RICHARD</t>
  </si>
  <si>
    <t>E0229690</t>
  </si>
  <si>
    <t>BARON RICHARD JOHN         MD</t>
  </si>
  <si>
    <t>MCPHEE MAUREEN</t>
  </si>
  <si>
    <t>E0067316</t>
  </si>
  <si>
    <t>MCPHEE MAUREEN NP</t>
  </si>
  <si>
    <t>MCPHEE MAUREEN ELIZABETH</t>
  </si>
  <si>
    <t>33-56 HARRISON STREET</t>
  </si>
  <si>
    <t>JONES KATHLEEN</t>
  </si>
  <si>
    <t>E0283689</t>
  </si>
  <si>
    <t>ARGIRO SALVATORE DR.</t>
  </si>
  <si>
    <t>E0295098</t>
  </si>
  <si>
    <t>ARGIRO SALVATORE</t>
  </si>
  <si>
    <t>ARGIRO SALVATORE ANTHONY MD</t>
  </si>
  <si>
    <t>33 MITCHELL AVE</t>
  </si>
  <si>
    <t>DAVE RAJESH DR.</t>
  </si>
  <si>
    <t>E0237086</t>
  </si>
  <si>
    <t>DAVE RAJESH J              MD</t>
  </si>
  <si>
    <t>PAUDEL KESHAB DR.</t>
  </si>
  <si>
    <t>E0308060</t>
  </si>
  <si>
    <t>PAUDEL KESHAB</t>
  </si>
  <si>
    <t>AHMED SYED</t>
  </si>
  <si>
    <t>E0268963</t>
  </si>
  <si>
    <t>AHMED SYED                 MD</t>
  </si>
  <si>
    <t>AHMED SYED MD</t>
  </si>
  <si>
    <t>CHENANGO BRDG MED GP</t>
  </si>
  <si>
    <t>DANGELO ASPEN</t>
  </si>
  <si>
    <t>E0033531</t>
  </si>
  <si>
    <t>D'ANGELO ASPEN LEE RPA</t>
  </si>
  <si>
    <t>100 PLAZA DR</t>
  </si>
  <si>
    <t>CONVERSE SUSAN</t>
  </si>
  <si>
    <t>E0315942</t>
  </si>
  <si>
    <t>CONVERSE SUSAN MARIE</t>
  </si>
  <si>
    <t>LORMAN KATHRYN MS.</t>
  </si>
  <si>
    <t>E0049775</t>
  </si>
  <si>
    <t>LORMAN KATHRYN A</t>
  </si>
  <si>
    <t>CAHILL WILLIAM</t>
  </si>
  <si>
    <t>E0069156</t>
  </si>
  <si>
    <t>CAHILL WILLIAM R</t>
  </si>
  <si>
    <t>JIMENEZ DOMINGO</t>
  </si>
  <si>
    <t>E0138924</t>
  </si>
  <si>
    <t>JIMENEZ DOMINGO D MD</t>
  </si>
  <si>
    <t>GUTMAN ALAN MR.</t>
  </si>
  <si>
    <t>E0015820</t>
  </si>
  <si>
    <t>GUTMAN ALAN J RPA</t>
  </si>
  <si>
    <t>ELDERWOOD HEALTH CARE AT TIOGA</t>
  </si>
  <si>
    <t>Maria Landy</t>
  </si>
  <si>
    <t>(607) 565-2861</t>
  </si>
  <si>
    <t>TIOGA NURSING HOME</t>
  </si>
  <si>
    <t>37 N CHEMUNG ST</t>
  </si>
  <si>
    <t>WAVERLY</t>
  </si>
  <si>
    <t>CHALLENGE INDUSTRIES INC HCBS</t>
  </si>
  <si>
    <t>E0151054</t>
  </si>
  <si>
    <t>Martine Gold</t>
  </si>
  <si>
    <t>(607) 272-8990</t>
  </si>
  <si>
    <t>950 DANBY RD STE 179 # CCX1203</t>
  </si>
  <si>
    <t>CHALLENGE INDUSTRIES INC SMP</t>
  </si>
  <si>
    <t>E0082939</t>
  </si>
  <si>
    <t>OMRDD/CHALLENGE INDUSTRIES</t>
  </si>
  <si>
    <t>E0421961</t>
  </si>
  <si>
    <t>CHALLENGE INDUSTRIES</t>
  </si>
  <si>
    <t>950 DANBY RD STE 179</t>
  </si>
  <si>
    <t>Hospicare and Palliative Care Services of Tompkins County, Inc.</t>
  </si>
  <si>
    <t>E0204182</t>
  </si>
  <si>
    <t>HOSPICARE OF TOMPKINS COUNTY</t>
  </si>
  <si>
    <t>Dale Johnson</t>
  </si>
  <si>
    <t>djohnson@hospicare.org</t>
  </si>
  <si>
    <t>HOSPICARE &amp; PALLIATIVE CARE SERVICES OF TOMPKINS COUNTY, INC.</t>
  </si>
  <si>
    <t>172 E KING RD</t>
  </si>
  <si>
    <t>Ithaca Alpha House Center, Inc DBA-Cayuga Addiction Recovery Ser</t>
  </si>
  <si>
    <t>E0170631</t>
  </si>
  <si>
    <t>ITHACA ALPHA HOUSE CTR INC</t>
  </si>
  <si>
    <t>Bill Rusen</t>
  </si>
  <si>
    <t>(607) 273-5500</t>
  </si>
  <si>
    <t>brusen@carsny.org</t>
  </si>
  <si>
    <t>ITHACA ALPHA HOUSE CENTER, INC.</t>
  </si>
  <si>
    <t>334 W STATE ST</t>
  </si>
  <si>
    <t>J M MURRAY CTR INC HCBS 2</t>
  </si>
  <si>
    <t>E0070014</t>
  </si>
  <si>
    <t>Judy O'Brien</t>
  </si>
  <si>
    <t>(607) 756-9913</t>
  </si>
  <si>
    <t>judyo@jmmurray.com</t>
  </si>
  <si>
    <t>CCD1848</t>
  </si>
  <si>
    <t>JM MURRAY CENTER INC SMP</t>
  </si>
  <si>
    <t>E0082930</t>
  </si>
  <si>
    <t>JM MURRAY CTR INC DAY</t>
  </si>
  <si>
    <t>E0030247</t>
  </si>
  <si>
    <t>Liberty Resources, Inc.</t>
  </si>
  <si>
    <t>E0001939</t>
  </si>
  <si>
    <t>LIBERTY RESOURCES INC</t>
  </si>
  <si>
    <t>Carl Coyle</t>
  </si>
  <si>
    <t>ccoyle@liberty-resources.org</t>
  </si>
  <si>
    <t>All Other:: Case Management / Health Home:: Mental Health</t>
  </si>
  <si>
    <t>LIBERTY RESOURCES INC.</t>
  </si>
  <si>
    <t>LIBERTY RESOURCES INC MR TS</t>
  </si>
  <si>
    <t>1045 JAMES ST</t>
  </si>
  <si>
    <t>E0161289</t>
  </si>
  <si>
    <t># C8244440</t>
  </si>
  <si>
    <t>GRANT KATE</t>
  </si>
  <si>
    <t>E0338127</t>
  </si>
  <si>
    <t>GRANT KATE A</t>
  </si>
  <si>
    <t>125 MAIN ST</t>
  </si>
  <si>
    <t>WACENDAK JOHN</t>
  </si>
  <si>
    <t>E0143446</t>
  </si>
  <si>
    <t>WACENDAK JOHN W MD</t>
  </si>
  <si>
    <t>JC FAMILY CARE</t>
  </si>
  <si>
    <t>SWEET JOHN DR.</t>
  </si>
  <si>
    <t>E0221079</t>
  </si>
  <si>
    <t>SWEET JOHN PAUL MD</t>
  </si>
  <si>
    <t>SWEET JOHN PAUL</t>
  </si>
  <si>
    <t>41-45 DIETZ ST</t>
  </si>
  <si>
    <t>WALSH SARAH MS.</t>
  </si>
  <si>
    <t>E0015529</t>
  </si>
  <si>
    <t>WALSH SARAH</t>
  </si>
  <si>
    <t>WARD ANNA MARIE DR.</t>
  </si>
  <si>
    <t>E0138964</t>
  </si>
  <si>
    <t>WARD ANNA MARIE MD</t>
  </si>
  <si>
    <t>WARD APRIL</t>
  </si>
  <si>
    <t>E0043187</t>
  </si>
  <si>
    <t>WARD APRIL E CNM</t>
  </si>
  <si>
    <t>CROUSE IRVING MEM</t>
  </si>
  <si>
    <t>NURSE</t>
  </si>
  <si>
    <t>WARSKI PATRICIA DR.</t>
  </si>
  <si>
    <t>E0214591</t>
  </si>
  <si>
    <t>WARSKI PATRICIA LYNN DPM</t>
  </si>
  <si>
    <t>WEINBERG JANET</t>
  </si>
  <si>
    <t>E0164613</t>
  </si>
  <si>
    <t>WEINBERG JANET L MD</t>
  </si>
  <si>
    <t>WERNER HARRY</t>
  </si>
  <si>
    <t>E0188126</t>
  </si>
  <si>
    <t>WERNER HARRY R DO</t>
  </si>
  <si>
    <t>WEST DONNA</t>
  </si>
  <si>
    <t>E0016097</t>
  </si>
  <si>
    <t>WEST DONNA T</t>
  </si>
  <si>
    <t>WESTERVELT MEGAN</t>
  </si>
  <si>
    <t>E0285146</t>
  </si>
  <si>
    <t>WESTERVELT MEGAN MD</t>
  </si>
  <si>
    <t>455 MAPLE ST</t>
  </si>
  <si>
    <t>BIG FLATS</t>
  </si>
  <si>
    <t>WESTON JOHN</t>
  </si>
  <si>
    <t>E0061774</t>
  </si>
  <si>
    <t>WESTON JOHN W DO</t>
  </si>
  <si>
    <t>5 EVERGREEN ST</t>
  </si>
  <si>
    <t>WIESNER LAWRENCE</t>
  </si>
  <si>
    <t>E0073705</t>
  </si>
  <si>
    <t>WIESNER LAWRENCE MARTIN DO</t>
  </si>
  <si>
    <t>WILHELM OLAYINKA</t>
  </si>
  <si>
    <t>E0013081</t>
  </si>
  <si>
    <t>WILHELM OLAYINKA OLAWALE MD</t>
  </si>
  <si>
    <t>WILLIAMS MARIE</t>
  </si>
  <si>
    <t>E0029459</t>
  </si>
  <si>
    <t>WILLIAMS MARIE A NP</t>
  </si>
  <si>
    <t>27 PARK AVE</t>
  </si>
  <si>
    <t>WILLIAMS STEPHANIE MRS.</t>
  </si>
  <si>
    <t>E0081490</t>
  </si>
  <si>
    <t>WILLIAMS STEPHANIE</t>
  </si>
  <si>
    <t>10-42 MITCHELL AVE BINGHAMTON GENL</t>
  </si>
  <si>
    <t>WISEMAN JEFFREY</t>
  </si>
  <si>
    <t>E0176258</t>
  </si>
  <si>
    <t>WISEMAN JEFFREY SCOTT</t>
  </si>
  <si>
    <t>30 HARRISON ST STE 455</t>
  </si>
  <si>
    <t>WITT SANDY</t>
  </si>
  <si>
    <t>E0306800</t>
  </si>
  <si>
    <t>WITT SANDRA</t>
  </si>
  <si>
    <t>WOLD KATHLEEN</t>
  </si>
  <si>
    <t>E0053820</t>
  </si>
  <si>
    <t>WOLD KATHLEEN J</t>
  </si>
  <si>
    <t>WONG KENNETH DR.</t>
  </si>
  <si>
    <t>E0173043</t>
  </si>
  <si>
    <t>WONG KENNETH T MD</t>
  </si>
  <si>
    <t>41 ARCH ST</t>
  </si>
  <si>
    <t>WOOD BRIAN DR.</t>
  </si>
  <si>
    <t>E0324130</t>
  </si>
  <si>
    <t>WOOD BRIAN C MD</t>
  </si>
  <si>
    <t>WELCH JOHN DR.</t>
  </si>
  <si>
    <t>E0334749</t>
  </si>
  <si>
    <t>WELCH JOHN JR DO</t>
  </si>
  <si>
    <t>105 RIDGEHAVEN DR</t>
  </si>
  <si>
    <t>Robert Swift</t>
  </si>
  <si>
    <t>E0340569</t>
  </si>
  <si>
    <t>SWIFT ROBERT D</t>
  </si>
  <si>
    <t>SWIFT ROBERT DR.</t>
  </si>
  <si>
    <t>77 NELSON ST STE 120</t>
  </si>
  <si>
    <t xml:space="preserve">Melony Sands  </t>
  </si>
  <si>
    <t>E0077184</t>
  </si>
  <si>
    <t>SANDS MELONY S RPA</t>
  </si>
  <si>
    <t>SANDS MELONY MRS.</t>
  </si>
  <si>
    <t>Taseer Cheema</t>
  </si>
  <si>
    <t>E0016159</t>
  </si>
  <si>
    <t>CHEEMA TASEER A MD</t>
  </si>
  <si>
    <t>CHEEMA TASEER</t>
  </si>
  <si>
    <t>600 ROE AVE</t>
  </si>
  <si>
    <t>Naeem Humayun</t>
  </si>
  <si>
    <t>E0033969</t>
  </si>
  <si>
    <t>HUMAYUN NAEEM U</t>
  </si>
  <si>
    <t>HUMAYUN NAEEM</t>
  </si>
  <si>
    <t>STE 300</t>
  </si>
  <si>
    <t>OMRDD/DELAWARE OPP INC</t>
  </si>
  <si>
    <t>E0100249</t>
  </si>
  <si>
    <t>George Suess</t>
  </si>
  <si>
    <t>(607) 865-7126</t>
  </si>
  <si>
    <t>georges@delarc.org</t>
  </si>
  <si>
    <t>DELAWARE OPPORTUNITIES INC</t>
  </si>
  <si>
    <t>35430 STATE HIGHWAY 10</t>
  </si>
  <si>
    <t>HAMDEN</t>
  </si>
  <si>
    <t>OMRDD/JOSHUA HOUSE INC</t>
  </si>
  <si>
    <t>E0099877</t>
  </si>
  <si>
    <t>JOSHUA HOUSE INC</t>
  </si>
  <si>
    <t>10 DIVISION ST</t>
  </si>
  <si>
    <t>ROBINSON TERRACE SENIOR LIVING</t>
  </si>
  <si>
    <t>E0332170</t>
  </si>
  <si>
    <t>1 BUNTLINE DR</t>
  </si>
  <si>
    <t>OMRDD/DELAWARE CO NYSARC-BR</t>
  </si>
  <si>
    <t>E0100250</t>
  </si>
  <si>
    <t>DELAWARE CO NYSARC-BR</t>
  </si>
  <si>
    <t>34570 STATE HIGHWAY 10 STE 1</t>
  </si>
  <si>
    <t>WALTON</t>
  </si>
  <si>
    <t>DELAWARE CO CHAPTR NYSARC SMP</t>
  </si>
  <si>
    <t>E0083236</t>
  </si>
  <si>
    <t>34570 STATE HIGHWAY 10</t>
  </si>
  <si>
    <t>DELAWARE CO CHAP NYSARC DAY</t>
  </si>
  <si>
    <t>E0030338</t>
  </si>
  <si>
    <t>DELAWARE CO CHAP NYSARC SPT</t>
  </si>
  <si>
    <t>E0060858</t>
  </si>
  <si>
    <t>DELAWARE CO CHAP NYSARC ND1</t>
  </si>
  <si>
    <t>DELAWARE CO CHAP NYSARC SPV</t>
  </si>
  <si>
    <t>E0040173</t>
  </si>
  <si>
    <t>DELAWARE CO CHAP NYSARC ND 3</t>
  </si>
  <si>
    <t>DELAWARE CO CHAP NYSARC RSP</t>
  </si>
  <si>
    <t>E0040967</t>
  </si>
  <si>
    <t>THE ARC OF DELAWARE COUNTY</t>
  </si>
  <si>
    <t>E0347047</t>
  </si>
  <si>
    <t>DELAWARE COUNTY ARC</t>
  </si>
  <si>
    <t>5 COURT ST</t>
  </si>
  <si>
    <t>HANDICAPPED CHILD SO NY HCBS</t>
  </si>
  <si>
    <t>E0126354</t>
  </si>
  <si>
    <t>Christine Breslin</t>
  </si>
  <si>
    <t>(607) 798-7117</t>
  </si>
  <si>
    <t>c.breslin@hcaserves.com</t>
  </si>
  <si>
    <t>18 BROAD ST # CCP8012</t>
  </si>
  <si>
    <t>HANDICAPPED CHILD ASSOC RSP</t>
  </si>
  <si>
    <t>E0040975</t>
  </si>
  <si>
    <t>18 BROAD ST</t>
  </si>
  <si>
    <t>HANDICAPPED CHILD SO NY DAY</t>
  </si>
  <si>
    <t>E0030261</t>
  </si>
  <si>
    <t>OMRDD/HANDICAPPED CHILD SO NY</t>
  </si>
  <si>
    <t>E0100131</t>
  </si>
  <si>
    <t>HANDICAPPED CHILD SO NY</t>
  </si>
  <si>
    <t>HANDICAPPED CHILD ASSOC FSRI</t>
  </si>
  <si>
    <t>E0027915</t>
  </si>
  <si>
    <t>FSR 1</t>
  </si>
  <si>
    <t>HANDICAPPED CHILD SO NY SPV</t>
  </si>
  <si>
    <t>E0075391</t>
  </si>
  <si>
    <t>UCP ASSO OF NYS STATEN IS</t>
  </si>
  <si>
    <t>E0205030</t>
  </si>
  <si>
    <t>UNITED CEREBRAL PALSY ASSOC OF NYS INC</t>
  </si>
  <si>
    <t>2324 FOREST AVE</t>
  </si>
  <si>
    <t>THE HANDICAPPED CHILDRENS ASSOCIATI</t>
  </si>
  <si>
    <t>E0351255</t>
  </si>
  <si>
    <t>Amanda Finey, M.D.</t>
  </si>
  <si>
    <t>E0359211</t>
  </si>
  <si>
    <t>FINNEY AMANDA</t>
  </si>
  <si>
    <t>Amanda_Finney@uhs.org</t>
  </si>
  <si>
    <t>FINNEY AMANDA LEE</t>
  </si>
  <si>
    <t>Jeffrey Gray, M.D.</t>
  </si>
  <si>
    <t>E0039580</t>
  </si>
  <si>
    <t>GRAY JEFFREY R MD</t>
  </si>
  <si>
    <t>Jeffrey_Gray@uhs.org</t>
  </si>
  <si>
    <t>GRAY JEFFREY</t>
  </si>
  <si>
    <t>CRYSTAL RUN HLTHCARE</t>
  </si>
  <si>
    <t>MIDDLETOWN</t>
  </si>
  <si>
    <t>Nasser Hajar, M.D.</t>
  </si>
  <si>
    <t>E0341493</t>
  </si>
  <si>
    <t>HAJAR NASSER</t>
  </si>
  <si>
    <t>Nasser_Hajar@uhs.org</t>
  </si>
  <si>
    <t>Gayatri Jayaraman, M.D.</t>
  </si>
  <si>
    <t>E0339096</t>
  </si>
  <si>
    <t>JAYARAMAN GAYATRI</t>
  </si>
  <si>
    <t>Gayatri_Jayaraman@uhs.org</t>
  </si>
  <si>
    <t>Shahid Malik, M.D.</t>
  </si>
  <si>
    <t>E0016323</t>
  </si>
  <si>
    <t>MALIK SHAHID NASIR MD</t>
  </si>
  <si>
    <t>Shahid_Malik@uhs.org</t>
  </si>
  <si>
    <t>MALIK SHAHID</t>
  </si>
  <si>
    <t>YANG CHUNJIE</t>
  </si>
  <si>
    <t>E0283893</t>
  </si>
  <si>
    <t>YANG CHUNJIE MD</t>
  </si>
  <si>
    <t>YANUSAS CHRISTOPHER DR.</t>
  </si>
  <si>
    <t>E0300560</t>
  </si>
  <si>
    <t>YANUSAS CHRISTOPHE</t>
  </si>
  <si>
    <t>YANUSAS CHRISTOPHER</t>
  </si>
  <si>
    <t>CLINICAL PSYCHOLOGIST</t>
  </si>
  <si>
    <t>YOUNG DANIEL</t>
  </si>
  <si>
    <t>E0177124</t>
  </si>
  <si>
    <t>YOUNG DANIEL M MD</t>
  </si>
  <si>
    <t>WINDSOR FAM CARE</t>
  </si>
  <si>
    <t>YOUSUF MOHAMMAD DR.</t>
  </si>
  <si>
    <t>E0204019</t>
  </si>
  <si>
    <t>YOUSUF MOHAMMAD BASHAR     MD</t>
  </si>
  <si>
    <t>YU HONG</t>
  </si>
  <si>
    <t>E0101813</t>
  </si>
  <si>
    <t>YU HONG MD</t>
  </si>
  <si>
    <t>(607) 772-7124</t>
  </si>
  <si>
    <t>ZHANG MICHAEL</t>
  </si>
  <si>
    <t>E0139016</t>
  </si>
  <si>
    <t>ZHANG MICHAEL YU</t>
  </si>
  <si>
    <t>UMA PC</t>
  </si>
  <si>
    <t>LUBELL RICHARD DR.</t>
  </si>
  <si>
    <t>E0036837</t>
  </si>
  <si>
    <t>LUBELL RICHARD R MD</t>
  </si>
  <si>
    <t>HOMAN MAL DR.</t>
  </si>
  <si>
    <t>E0177042</t>
  </si>
  <si>
    <t>HOMAN MAL R MD</t>
  </si>
  <si>
    <t>DEVINE SEAN DR.</t>
  </si>
  <si>
    <t>E0315249</t>
  </si>
  <si>
    <t>DEVINE SEAN THOMAS</t>
  </si>
  <si>
    <t>DESHMUKH PRAMOD DR.</t>
  </si>
  <si>
    <t>E0179220</t>
  </si>
  <si>
    <t>DESHMUKH PRAMOD  MD</t>
  </si>
  <si>
    <t>REES RUSSELL DR.</t>
  </si>
  <si>
    <t>E0038150</t>
  </si>
  <si>
    <t>REES RUSSELL E MD</t>
  </si>
  <si>
    <t>TRAN VINH</t>
  </si>
  <si>
    <t>E0311455</t>
  </si>
  <si>
    <t>TRAN VINH QUANG</t>
  </si>
  <si>
    <t>KALUSKI EDO</t>
  </si>
  <si>
    <t>E0340891</t>
  </si>
  <si>
    <t>FAWZY AHMED</t>
  </si>
  <si>
    <t>E0302013</t>
  </si>
  <si>
    <t>AHMED FAWZY MD</t>
  </si>
  <si>
    <t>FAWZY AHMED MD</t>
  </si>
  <si>
    <t>STAPLETON DWIGHT DR.</t>
  </si>
  <si>
    <t>E0081130</t>
  </si>
  <si>
    <t>STAPLETON DWIGHT D MD</t>
  </si>
  <si>
    <t>KING JOSEPH DR.</t>
  </si>
  <si>
    <t>E0220329</t>
  </si>
  <si>
    <t>KING JOSEPH TAK-PUN</t>
  </si>
  <si>
    <t>SUAREZ PAUL DR.</t>
  </si>
  <si>
    <t>E0133719</t>
  </si>
  <si>
    <t>SUAREZ PAUL ADRIEN MD</t>
  </si>
  <si>
    <t>LEE FERROL DR.</t>
  </si>
  <si>
    <t>E0220447</t>
  </si>
  <si>
    <t>LEE FERROL JOSEPH          MD</t>
  </si>
  <si>
    <t>LEE FERROL JOSEPH MD</t>
  </si>
  <si>
    <t>SRIVATANA UKORN DR.</t>
  </si>
  <si>
    <t>E0076250</t>
  </si>
  <si>
    <t>SRIVATANA UKORN MD</t>
  </si>
  <si>
    <t>MCDONALD LESTER DR.</t>
  </si>
  <si>
    <t>E0182789</t>
  </si>
  <si>
    <t>MCDONALD LESTER MD</t>
  </si>
  <si>
    <t>MCDONALD LESTER J</t>
  </si>
  <si>
    <t>CAPITALAREACOMMUNITY</t>
  </si>
  <si>
    <t>LATHAM</t>
  </si>
  <si>
    <t>BALLARD GENEVA</t>
  </si>
  <si>
    <t>E0354523</t>
  </si>
  <si>
    <t>BALLARD GENEVA R</t>
  </si>
  <si>
    <t>CHOI JOSEPH</t>
  </si>
  <si>
    <t>E0297737</t>
  </si>
  <si>
    <t>JOSEPH YOUNG CHOI</t>
  </si>
  <si>
    <t>CHOI JOSEPH YOUNG</t>
  </si>
  <si>
    <t>HARTMAN RICKY DR.</t>
  </si>
  <si>
    <t>E0320209</t>
  </si>
  <si>
    <t>HARTMAN RICKY E</t>
  </si>
  <si>
    <t>OTENG-BEDIAKO EVELYN DR.</t>
  </si>
  <si>
    <t>E0288287</t>
  </si>
  <si>
    <t>OTENG-BEDIAK0 EVELYN  MD</t>
  </si>
  <si>
    <t>MARICA SILVIU DR.</t>
  </si>
  <si>
    <t>E0289506</t>
  </si>
  <si>
    <t>SILVIU CATALIN MARICA</t>
  </si>
  <si>
    <t>MARICA SILVIU CATALIN MD</t>
  </si>
  <si>
    <t>LOCKARD JOHN DR.</t>
  </si>
  <si>
    <t>E0164487</t>
  </si>
  <si>
    <t>LOCKARD JOHN W JR MD</t>
  </si>
  <si>
    <t>BRADSTREET RICHARD DR.</t>
  </si>
  <si>
    <t>E0170188</t>
  </si>
  <si>
    <t>BRADSTREET RICHARD PERRY MD</t>
  </si>
  <si>
    <t>BRADSTREET RICHARD PERRY</t>
  </si>
  <si>
    <t>SAMPSON LAWRENCE DR.</t>
  </si>
  <si>
    <t>E0142435</t>
  </si>
  <si>
    <t>SAMPSON LAWRENCE NATHAN MD</t>
  </si>
  <si>
    <t>SAMPSON LAWRENCE NATHAN</t>
  </si>
  <si>
    <t>MACAPINLAC ERIC MR.</t>
  </si>
  <si>
    <t>E0309124</t>
  </si>
  <si>
    <t>MACAPINLAC ERIC VICTOR AGUAS MD</t>
  </si>
  <si>
    <t>WANG XIU-JIE DR.</t>
  </si>
  <si>
    <t>E0009199</t>
  </si>
  <si>
    <t>WANG XIU-JIE MD</t>
  </si>
  <si>
    <t>SARKER ASHIT DR.</t>
  </si>
  <si>
    <t>E0324567</t>
  </si>
  <si>
    <t>SARKER ASHIT BARAN</t>
  </si>
  <si>
    <t>TALENTI DAVID DR.</t>
  </si>
  <si>
    <t>E0158804</t>
  </si>
  <si>
    <t>TALENTI DAVID A MD</t>
  </si>
  <si>
    <t>LARSON ROBERT DR.</t>
  </si>
  <si>
    <t>E0083933</t>
  </si>
  <si>
    <t>LARSON ROBERT MD</t>
  </si>
  <si>
    <t>LARSON ROBERT ANTHONY MD</t>
  </si>
  <si>
    <t>GREGORIE ERIK DR.</t>
  </si>
  <si>
    <t>E0110627</t>
  </si>
  <si>
    <t>GREGORIE ERIK MARTIN MD</t>
  </si>
  <si>
    <t>DEVINE TERRENCE DR.</t>
  </si>
  <si>
    <t>E0236906</t>
  </si>
  <si>
    <t>DEVINE TERENCE M           MD</t>
  </si>
  <si>
    <t>JOHNSON GLEN DR.</t>
  </si>
  <si>
    <t>E0195788</t>
  </si>
  <si>
    <t>JOHNSON GLEN CARLBERG</t>
  </si>
  <si>
    <t>MCFARLANE MICHELLE DR.</t>
  </si>
  <si>
    <t>E0323675</t>
  </si>
  <si>
    <t>MCFARLANE MICHELLE ALDONSA</t>
  </si>
  <si>
    <t>APPLETON ABRAHAM</t>
  </si>
  <si>
    <t>E0196220</t>
  </si>
  <si>
    <t>APPLETON ABRAHAM THEODORE</t>
  </si>
  <si>
    <t>LASH BRADLEY</t>
  </si>
  <si>
    <t>E0290995</t>
  </si>
  <si>
    <t>BRADLEY WALTER LASH</t>
  </si>
  <si>
    <t>LASH BRADLEY WALTER</t>
  </si>
  <si>
    <t>Srinivasa Mandapalli, M.D.</t>
  </si>
  <si>
    <t>E0331364</t>
  </si>
  <si>
    <t>MANDAPALLI SRINIVASA RAO</t>
  </si>
  <si>
    <t>Srinivasa_Mandapalli@uhs.org</t>
  </si>
  <si>
    <t>MANDAPALLI SRINIVASA DR.</t>
  </si>
  <si>
    <t>Adnan Mirza, M.D.</t>
  </si>
  <si>
    <t>E0007194</t>
  </si>
  <si>
    <t>ADNAN MIRZA</t>
  </si>
  <si>
    <t>Adnan_Mirza@uhs.org</t>
  </si>
  <si>
    <t>MIRZA ADNAN</t>
  </si>
  <si>
    <t>MIRZA ADNAN MD</t>
  </si>
  <si>
    <t>2872 TURNPIKE ST</t>
  </si>
  <si>
    <t>SUSQUEHANNA</t>
  </si>
  <si>
    <t>Victoria Mirza, M.D.</t>
  </si>
  <si>
    <t>E0039979</t>
  </si>
  <si>
    <t>MIRZA VICTORIA MIRUNA MD</t>
  </si>
  <si>
    <t>Victoria_Mirza@uhs.org</t>
  </si>
  <si>
    <t>MIRZA VICTORIA</t>
  </si>
  <si>
    <t>MONTEFIORE MED GRP</t>
  </si>
  <si>
    <t>Ashley Moore, NP</t>
  </si>
  <si>
    <t>E0328534</t>
  </si>
  <si>
    <t>MOORE ASHLEY N</t>
  </si>
  <si>
    <t>Ashley_Moore@uhs.org</t>
  </si>
  <si>
    <t>HAMMOND ASHLEY</t>
  </si>
  <si>
    <t>HAMMOND ASHLEY NICOLE</t>
  </si>
  <si>
    <t>Shahid Mughal, M.D.</t>
  </si>
  <si>
    <t>E0071897</t>
  </si>
  <si>
    <t>MUGHAL SHAKID AHMED MD</t>
  </si>
  <si>
    <t>Shahid_Mughal@uhs.org</t>
  </si>
  <si>
    <t>MUGHAL SHAHID</t>
  </si>
  <si>
    <t>Roman Prager, M.D.</t>
  </si>
  <si>
    <t>E0359340</t>
  </si>
  <si>
    <t>PRAGER ROMAN</t>
  </si>
  <si>
    <t>Roman_Prager@uhs.org</t>
  </si>
  <si>
    <t>Nataliya Rahman, D.O.</t>
  </si>
  <si>
    <t>E0292833</t>
  </si>
  <si>
    <t>RAHMAN NATALIYA</t>
  </si>
  <si>
    <t>Nataliya_Rahman@uhs.org</t>
  </si>
  <si>
    <t>John Cooke</t>
  </si>
  <si>
    <t>E0058953</t>
  </si>
  <si>
    <t>COOKE JOHN DAVID MD</t>
  </si>
  <si>
    <t>Sofiya Glidden</t>
  </si>
  <si>
    <t>(607) 387-5707</t>
  </si>
  <si>
    <t>jcooke@tburgfamilyhealth.com</t>
  </si>
  <si>
    <t>COOKE JOHN</t>
  </si>
  <si>
    <t>4435 SENECA RD</t>
  </si>
  <si>
    <t>TRUMANSBURG</t>
  </si>
  <si>
    <t>Jennifer Sweet, DPM</t>
  </si>
  <si>
    <t>E0288024</t>
  </si>
  <si>
    <t>JENNIFER Y SWEET</t>
  </si>
  <si>
    <t>Jennifer_Sweet@uhs.org</t>
  </si>
  <si>
    <t>SWEET JENNIFER</t>
  </si>
  <si>
    <t>SWEET JENNIFER Y DPM</t>
  </si>
  <si>
    <t>Endwell Family Physicians, LLP</t>
  </si>
  <si>
    <t>E0243912</t>
  </si>
  <si>
    <t>ENDWELL FAMILY PHYSICIANS</t>
  </si>
  <si>
    <t>Katherine Marretta</t>
  </si>
  <si>
    <t>(607) 754-3863</t>
  </si>
  <si>
    <t>katherine.marretta@endwellfamily.com</t>
  </si>
  <si>
    <t>ENDWELL FAMILY PHYSICIANS LLP</t>
  </si>
  <si>
    <t>415 HOOPER RD</t>
  </si>
  <si>
    <t>VESTAL PARK REHABILITATION &amp; NRS CT</t>
  </si>
  <si>
    <t>E0330370</t>
  </si>
  <si>
    <t>VESTAL REHABILITATION &amp; NURSING CTR</t>
  </si>
  <si>
    <t>Denise Johnson</t>
  </si>
  <si>
    <t>(607) 754-4105</t>
  </si>
  <si>
    <t>DJohnson@vestalparkrehab.com</t>
  </si>
  <si>
    <t>VRNC LLC</t>
  </si>
  <si>
    <t>VESTAL PARK REHAB &amp; NURSING CTR</t>
  </si>
  <si>
    <t>105 W SHEEDY RD</t>
  </si>
  <si>
    <t>SOUTHERN TIER HOSPICE/PALL CA</t>
  </si>
  <si>
    <t>E0202369</t>
  </si>
  <si>
    <t>Robin Stawasz</t>
  </si>
  <si>
    <t>(607) 962-3100</t>
  </si>
  <si>
    <t>Stawaszr@carefirstNY.org</t>
  </si>
  <si>
    <t>CAREFIRST NY, INC.</t>
  </si>
  <si>
    <t>CAREFIRST/SOUTHERN TIER HOSPICE</t>
  </si>
  <si>
    <t>3805 MEADSCREEK RD</t>
  </si>
  <si>
    <t>PAINTED POST</t>
  </si>
  <si>
    <t>MONROE PLAN FOR MEDICAL CARE INC</t>
  </si>
  <si>
    <t>E0347129</t>
  </si>
  <si>
    <t>Donna M. Crane</t>
  </si>
  <si>
    <t>(800) 624-8152</t>
  </si>
  <si>
    <t>dcrane@monroeplan.com</t>
  </si>
  <si>
    <t>MONROE PLAN FOR MEDICAL CARE</t>
  </si>
  <si>
    <t>1120 PITTSFORD VICTOR RD</t>
  </si>
  <si>
    <t>PITTSFORD</t>
  </si>
  <si>
    <t>Donald Session PA</t>
  </si>
  <si>
    <t>E0329623</t>
  </si>
  <si>
    <t>SESSION DONALD</t>
  </si>
  <si>
    <t>Heather Lodge</t>
  </si>
  <si>
    <t>(607) 535-8639</t>
  </si>
  <si>
    <t>sessiond@schuylerhospital.org</t>
  </si>
  <si>
    <t>SESSION DONALD MR.</t>
  </si>
  <si>
    <t>2138 W SENECA ST</t>
  </si>
  <si>
    <t>Ziad El-Zammar</t>
  </si>
  <si>
    <t>E0000319</t>
  </si>
  <si>
    <t>ZIAD MK EL ZAMMAR MD</t>
  </si>
  <si>
    <t>Lynn Marion</t>
  </si>
  <si>
    <t>(607) 273-6757</t>
  </si>
  <si>
    <t>elzammaz@upstate.edu</t>
  </si>
  <si>
    <t>EL-ZAMMAR ZIAD</t>
  </si>
  <si>
    <t>EL-ZAMMAR ZIAD MK MD</t>
  </si>
  <si>
    <t>104 UNION AVE</t>
  </si>
  <si>
    <t>James Gaffney</t>
  </si>
  <si>
    <t>E0166351</t>
  </si>
  <si>
    <t>GAFFNEY JAMES SHANNON MD</t>
  </si>
  <si>
    <t>jgaffne2@gmail.com</t>
  </si>
  <si>
    <t>GAFFNEY JAMES DR.</t>
  </si>
  <si>
    <t>119 W BUFFALO ST</t>
  </si>
  <si>
    <t>Shahram Izadyar</t>
  </si>
  <si>
    <t>E0335281</t>
  </si>
  <si>
    <t>IZADYAR SHAHRAM</t>
  </si>
  <si>
    <t>izadyarsh@hotmail.com; IzadyarS@upstate.edu</t>
  </si>
  <si>
    <t>Julius Gene Latorre</t>
  </si>
  <si>
    <t>E0010127</t>
  </si>
  <si>
    <t>LATORRE JULIUS GENE SILVA MD</t>
  </si>
  <si>
    <t>latorrej@upstate.edu; Thayes@cayugamedicalassociat</t>
  </si>
  <si>
    <t>LATORRE JULIUS</t>
  </si>
  <si>
    <t>Jody Stackman</t>
  </si>
  <si>
    <t>E0228564</t>
  </si>
  <si>
    <t>STACKMAN JODY              MD</t>
  </si>
  <si>
    <t>jstackman@cayugamedicalassociates.org</t>
  </si>
  <si>
    <t>STACKMAN JODY DR.</t>
  </si>
  <si>
    <t>CLARK JENNIFER</t>
  </si>
  <si>
    <t>E0039111</t>
  </si>
  <si>
    <t>CLARK JENNIFER R RPA</t>
  </si>
  <si>
    <t>CLARK-BRUNING JENNIFER</t>
  </si>
  <si>
    <t>157 E MAIN ST</t>
  </si>
  <si>
    <t>GALATZAN RUSSELL</t>
  </si>
  <si>
    <t>E0192061</t>
  </si>
  <si>
    <t>GALATZAN RUSSELL E MD</t>
  </si>
  <si>
    <t>PEJO SAMUEL</t>
  </si>
  <si>
    <t>E0239134</t>
  </si>
  <si>
    <t>PEJO SAMUEL P              MD</t>
  </si>
  <si>
    <t>OLMSTEAD SAM</t>
  </si>
  <si>
    <t>E0020613</t>
  </si>
  <si>
    <t>42 MITCHELL AVE</t>
  </si>
  <si>
    <t>PICHETTE CAREY</t>
  </si>
  <si>
    <t>E0027966</t>
  </si>
  <si>
    <t>PICHETTE CAREY MARIE NP</t>
  </si>
  <si>
    <t>503 PLAZA DR</t>
  </si>
  <si>
    <t>KASHOU HISHAM</t>
  </si>
  <si>
    <t>E0183202</t>
  </si>
  <si>
    <t>KASHOU HISHAM EMILE MD</t>
  </si>
  <si>
    <t>GILLOTT ANTHONY DR.</t>
  </si>
  <si>
    <t>E0196585</t>
  </si>
  <si>
    <t>GILLOTT ANTHONY R          MD</t>
  </si>
  <si>
    <t>CHIVATE VANDANA DR.</t>
  </si>
  <si>
    <t>E0081263</t>
  </si>
  <si>
    <t>CHIVATE VANDANAMD</t>
  </si>
  <si>
    <t>GUTHRIE MEDICAL GROUP, P.C.</t>
  </si>
  <si>
    <t>HUDOCK STEPHEN DR.</t>
  </si>
  <si>
    <t>E0196707</t>
  </si>
  <si>
    <t>HUDOCK STEPHEN             MD</t>
  </si>
  <si>
    <t>RUDZINSKI WOJCIECH DR.</t>
  </si>
  <si>
    <t>E0353498</t>
  </si>
  <si>
    <t>RUDZINSKI WOJCIECH</t>
  </si>
  <si>
    <t>LYNCH CYNTHIA DR.</t>
  </si>
  <si>
    <t>E0315741</t>
  </si>
  <si>
    <t>LYNCH CYNTHIA ANNE</t>
  </si>
  <si>
    <t>MWESIGE JOSEPH</t>
  </si>
  <si>
    <t>E0295807</t>
  </si>
  <si>
    <t>JOSEPH MWESIGE MD</t>
  </si>
  <si>
    <t>NORVILLE KIM DR.</t>
  </si>
  <si>
    <t>E0027778</t>
  </si>
  <si>
    <t>NORVILLE KIM J MD</t>
  </si>
  <si>
    <t>NORVILLE KIM JOANNE</t>
  </si>
  <si>
    <t>LEE RACHEL DR.</t>
  </si>
  <si>
    <t>E0218670</t>
  </si>
  <si>
    <t>LEE RACHEL D  MD</t>
  </si>
  <si>
    <t>600 IVY ST</t>
  </si>
  <si>
    <t>PAMULA JOHN DR.</t>
  </si>
  <si>
    <t>E0296474</t>
  </si>
  <si>
    <t>JOHN VIJAYA KUMAR PAMULA</t>
  </si>
  <si>
    <t>PAMULA JOHN VIJAYA KUMAR</t>
  </si>
  <si>
    <t>218 LIBERTY ST</t>
  </si>
  <si>
    <t>A/7241441 PAD SUPP A</t>
  </si>
  <si>
    <t>L WOERNER INC</t>
  </si>
  <si>
    <t>E0338878</t>
  </si>
  <si>
    <t>Elizabeth Zicari</t>
  </si>
  <si>
    <t>(585) 295-6481</t>
  </si>
  <si>
    <t>ezicari@hcrhealth.com</t>
  </si>
  <si>
    <t>6007 FAIR LAKES RD STE 200</t>
  </si>
  <si>
    <t>EAST SYRACUSE</t>
  </si>
  <si>
    <t>L. Woerner, Inc. dba HCR</t>
  </si>
  <si>
    <t>E0338896</t>
  </si>
  <si>
    <t>6 N WEST ST STE 5</t>
  </si>
  <si>
    <t>HOMER</t>
  </si>
  <si>
    <t>OMRDD/FRANZISKA RACKER CTR-BR</t>
  </si>
  <si>
    <t>E0099756</t>
  </si>
  <si>
    <t>FRANZISKA RACKER CTR-BR</t>
  </si>
  <si>
    <t>OMRDD/JM MURRAY CENTER</t>
  </si>
  <si>
    <t>E0079502</t>
  </si>
  <si>
    <t>JM MURRAY CENTER</t>
  </si>
  <si>
    <t>OMRDD/JM MURRAY CENTER INC</t>
  </si>
  <si>
    <t>E0099891</t>
  </si>
  <si>
    <t>JM MURRAY CENTER INC</t>
  </si>
  <si>
    <t>Onondaga Case Management Services, Inc</t>
  </si>
  <si>
    <t>E0028423</t>
  </si>
  <si>
    <t>ONONDAGA CASE MANAGEMENT INC</t>
  </si>
  <si>
    <t>Shawna Craigmile</t>
  </si>
  <si>
    <t>(315) 472-7363</t>
  </si>
  <si>
    <t>scraigmile@ocmsinc.org</t>
  </si>
  <si>
    <t>ONONDAGA CASE MANAGEMENT SERVICES</t>
  </si>
  <si>
    <t>ONONDAGA CASE MGMT SVCS MH</t>
  </si>
  <si>
    <t>220 HERALD PL</t>
  </si>
  <si>
    <t>Planned Parenthood of the Southern Finger Lakes, Inc.</t>
  </si>
  <si>
    <t>E0262944</t>
  </si>
  <si>
    <t>PLANNED PARENTHOOD SO FINGER LAKES</t>
  </si>
  <si>
    <t>Joe Sammons</t>
  </si>
  <si>
    <t>(607) 274-1526</t>
  </si>
  <si>
    <t>joe.sammons@ppsfl.org</t>
  </si>
  <si>
    <t>All Other:: Clinic:: Pharmacy</t>
  </si>
  <si>
    <t>PLANNED PARENTHOOD OF THE SOUTHERN FINGER LAKES INC.</t>
  </si>
  <si>
    <t>620 W SENECA ST</t>
  </si>
  <si>
    <t>Recovery Counseling, LLC</t>
  </si>
  <si>
    <t>E0320685</t>
  </si>
  <si>
    <t>RECOVERY COUNSELING, LLC</t>
  </si>
  <si>
    <t>Jennifer Frary</t>
  </si>
  <si>
    <t>(315) 255-3559</t>
  </si>
  <si>
    <t>jennifer.frary@hotmail.com</t>
  </si>
  <si>
    <t>OAS CL STE 101-103</t>
  </si>
  <si>
    <t>SCHUYLER CO HOME HLTH PSSHSP</t>
  </si>
  <si>
    <t>E0156880</t>
  </si>
  <si>
    <t>Marcia Kasprzyk</t>
  </si>
  <si>
    <t>(607) 535-8146</t>
  </si>
  <si>
    <t>mkasprzyk@co.schuyler.ny.us</t>
  </si>
  <si>
    <t>SCHUYLER COUNTY</t>
  </si>
  <si>
    <t>SCHUYLER CO HOME HEALTH PSSHSP</t>
  </si>
  <si>
    <t>106 S PERRY ST</t>
  </si>
  <si>
    <t>Schuyler County Community Services</t>
  </si>
  <si>
    <t>E0162808</t>
  </si>
  <si>
    <t>SCHUYLER CO MHC MH</t>
  </si>
  <si>
    <t>Shawn Rosno</t>
  </si>
  <si>
    <t>(607) 535-8282</t>
  </si>
  <si>
    <t>srosno@co.schuyler.ny.us</t>
  </si>
  <si>
    <t>SCHUYLER COUNTY MENTAL HEALTH</t>
  </si>
  <si>
    <t>SCHUYLER COUNTY MENTAL HLTH SVCS</t>
  </si>
  <si>
    <t>SCHUYLER COUNTY LEGISLATURE</t>
  </si>
  <si>
    <t>E0263649</t>
  </si>
  <si>
    <t>Radomir Stevanovic</t>
  </si>
  <si>
    <t>E0187632</t>
  </si>
  <si>
    <t>STEVANOVIC RADOMIR MD</t>
  </si>
  <si>
    <t>Susan C. Penny</t>
  </si>
  <si>
    <t>(607) 266-9100</t>
  </si>
  <si>
    <t>rachko@aol.com</t>
  </si>
  <si>
    <t>STEVANOVIC RADOMIR</t>
  </si>
  <si>
    <t>STEVANOVIC RADOMIR DRAGOMIR MD</t>
  </si>
  <si>
    <t>821 CLIFF ST</t>
  </si>
  <si>
    <t>Nancy Stewart</t>
  </si>
  <si>
    <t>E0209738</t>
  </si>
  <si>
    <t>NANCY B STEWART</t>
  </si>
  <si>
    <t>(607) 275-9697</t>
  </si>
  <si>
    <t>byrd509@twcny.rr.com</t>
  </si>
  <si>
    <t>STEWART NANCY</t>
  </si>
  <si>
    <t>Jose Torrado</t>
  </si>
  <si>
    <t>E0078284</t>
  </si>
  <si>
    <t>TORRADO JOSE A MD</t>
  </si>
  <si>
    <t>Thelma Woodard</t>
  </si>
  <si>
    <t>(607) 273-0250</t>
  </si>
  <si>
    <t>torradoj@yahoo.com</t>
  </si>
  <si>
    <t>TORRADO JOSE DR.</t>
  </si>
  <si>
    <t>James Winkler</t>
  </si>
  <si>
    <t>E0214405</t>
  </si>
  <si>
    <t>WINKLER JAMES              MD</t>
  </si>
  <si>
    <t>Michelle Congdon</t>
  </si>
  <si>
    <t>(607) 535-2712</t>
  </si>
  <si>
    <t>jwinkler@ipninet.com</t>
  </si>
  <si>
    <t>WINKLER JAMES DR.</t>
  </si>
  <si>
    <t>SCHUYLER HOSP</t>
  </si>
  <si>
    <t>Rajesh Rao</t>
  </si>
  <si>
    <t>E0037656</t>
  </si>
  <si>
    <t>RAO RAJESH S K MD</t>
  </si>
  <si>
    <t>Liz Bilinski</t>
  </si>
  <si>
    <t>(607) 274-4617</t>
  </si>
  <si>
    <t>raj13021@gmail.com</t>
  </si>
  <si>
    <t>RAO RAJESH</t>
  </si>
  <si>
    <t>RAO RAJESH S K</t>
  </si>
  <si>
    <t>1104 COMMONS AVE</t>
  </si>
  <si>
    <t>Susan Cowdery</t>
  </si>
  <si>
    <t>E0093186</t>
  </si>
  <si>
    <t>COWDERY SUSAN RICHARDSON MD</t>
  </si>
  <si>
    <t>scowdery@cayugamedicalassociates.org</t>
  </si>
  <si>
    <t>COWDERY SUSAN DR.</t>
  </si>
  <si>
    <t>Muhammad Wattoo</t>
  </si>
  <si>
    <t>E0105568</t>
  </si>
  <si>
    <t>WATTOO MUHAMMAD A MD</t>
  </si>
  <si>
    <t>Muhammad A. Wattoo, MD                                     M</t>
  </si>
  <si>
    <t>(607) 257-3452</t>
  </si>
  <si>
    <t>mwattoo@verizon.net</t>
  </si>
  <si>
    <t>WATTOO MUHAMMAD DR.</t>
  </si>
  <si>
    <t>2359 N TRIPHAMMER RD</t>
  </si>
  <si>
    <t>Jennifer Weinraub</t>
  </si>
  <si>
    <t>E0116926</t>
  </si>
  <si>
    <t>WEINRAUB JENNIFER FREDA MD</t>
  </si>
  <si>
    <t>(607) 273-4166</t>
  </si>
  <si>
    <t>jennyweinraub@gmail.com</t>
  </si>
  <si>
    <t>WEINRAUB JENNIFER DR.</t>
  </si>
  <si>
    <t>318 S ALBANY ST</t>
  </si>
  <si>
    <t>Peter Hannon</t>
  </si>
  <si>
    <t>E0009160</t>
  </si>
  <si>
    <t>HANNON PETER MD</t>
  </si>
  <si>
    <t>Tara Gustafson</t>
  </si>
  <si>
    <t>(607) 274-4296</t>
  </si>
  <si>
    <t>phannon@cayugamed.org</t>
  </si>
  <si>
    <t>HANNON PETER</t>
  </si>
  <si>
    <t>David Landsberg</t>
  </si>
  <si>
    <t>E0064114</t>
  </si>
  <si>
    <t>LANDSBERG DAVID MITCHELL MD</t>
  </si>
  <si>
    <t>DavidLandsbergMD@Crouse.org</t>
  </si>
  <si>
    <t>LANDSBERG DAVID</t>
  </si>
  <si>
    <t>LANDSBERG DAVID MITCHELL</t>
  </si>
  <si>
    <t>EMERGENCY PP</t>
  </si>
  <si>
    <t>FLUSHING</t>
  </si>
  <si>
    <t>BELLINA DANIEL</t>
  </si>
  <si>
    <t>E0152681</t>
  </si>
  <si>
    <t>BELLINA DANIEL P MD</t>
  </si>
  <si>
    <t>30 HARRISON ST STE 100</t>
  </si>
  <si>
    <t>BRIGHTSEN ANNE MS.</t>
  </si>
  <si>
    <t>E0003714</t>
  </si>
  <si>
    <t>BRIGHTSEN ANNE</t>
  </si>
  <si>
    <t>3 OHARA DR</t>
  </si>
  <si>
    <t>KRIZAN BRUCE</t>
  </si>
  <si>
    <t>E0287466</t>
  </si>
  <si>
    <t>GELLER ALAN MR.</t>
  </si>
  <si>
    <t>E0370069</t>
  </si>
  <si>
    <t>GELLER ALAN M</t>
  </si>
  <si>
    <t>15 RIVERSIDE DRIVE</t>
  </si>
  <si>
    <t>MATTA ISAAC</t>
  </si>
  <si>
    <t>E0262708</t>
  </si>
  <si>
    <t>MATTA ISAAC I              MD</t>
  </si>
  <si>
    <t>HAYES JAMES</t>
  </si>
  <si>
    <t>E0197315</t>
  </si>
  <si>
    <t>HAYES JAMES DALTON II      MD</t>
  </si>
  <si>
    <t>HAYES JAMES DALTON II</t>
  </si>
  <si>
    <t>55 MAIN ST</t>
  </si>
  <si>
    <t>COLEMAN JANICE</t>
  </si>
  <si>
    <t>E0371829</t>
  </si>
  <si>
    <t>COLEMAN JANICE M</t>
  </si>
  <si>
    <t>736 IRVING AVE</t>
  </si>
  <si>
    <t>MCDOWELL MEREDITH DR.</t>
  </si>
  <si>
    <t>E0001491</t>
  </si>
  <si>
    <t>MCDOWELL MEREDITH BORHAM</t>
  </si>
  <si>
    <t>AUERBACH ROBERT DR.</t>
  </si>
  <si>
    <t>E0006408</t>
  </si>
  <si>
    <t>ROBERT LAWRENCE AVERBACH</t>
  </si>
  <si>
    <t>AUERBACH ROBERT LAWRENCE MD</t>
  </si>
  <si>
    <t>34 MITCHELL AVENUE</t>
  </si>
  <si>
    <t>BELOKUR MATTHEW</t>
  </si>
  <si>
    <t>E0339812</t>
  </si>
  <si>
    <t>KACZYNSKI TANYA</t>
  </si>
  <si>
    <t>E0138526</t>
  </si>
  <si>
    <t>KONEFAL TANYA</t>
  </si>
  <si>
    <t>KONEFAL KACZYNSKI TANYA</t>
  </si>
  <si>
    <t>FARRELL MICHAEL</t>
  </si>
  <si>
    <t>E0133187</t>
  </si>
  <si>
    <t>FARRELL MICHAEL JOSEPH MD</t>
  </si>
  <si>
    <t>ANDERSON LEONARD</t>
  </si>
  <si>
    <t>E0158394</t>
  </si>
  <si>
    <t>ANDERSON LEONARD S MD</t>
  </si>
  <si>
    <t>KWIATKOWSKI DAVID</t>
  </si>
  <si>
    <t>E0125291</t>
  </si>
  <si>
    <t>KWIATKOWSKI DAVID E MD</t>
  </si>
  <si>
    <t>CANDOR FAM CARE CTR</t>
  </si>
  <si>
    <t>PELTZ STEPHANIE</t>
  </si>
  <si>
    <t>E0301042</t>
  </si>
  <si>
    <t>HAMEED NOUMANA</t>
  </si>
  <si>
    <t>E0298930</t>
  </si>
  <si>
    <t>33 MITCHELL AVENUE</t>
  </si>
  <si>
    <t>BUTTON SUE</t>
  </si>
  <si>
    <t>E0314785</t>
  </si>
  <si>
    <t>BUTTON SUE ELLEN</t>
  </si>
  <si>
    <t>MCCARTHY BETH</t>
  </si>
  <si>
    <t>E0035243</t>
  </si>
  <si>
    <t>MCCARTHY BETH ANNE</t>
  </si>
  <si>
    <t>289 CHENANGO ST</t>
  </si>
  <si>
    <t>WARD LAURA</t>
  </si>
  <si>
    <t>E0301518</t>
  </si>
  <si>
    <t>D'ACHILLE LAURA</t>
  </si>
  <si>
    <t>HINKSON MICHAEL DR.</t>
  </si>
  <si>
    <t>E0017718</t>
  </si>
  <si>
    <t>HINKSON MICHAEL COLVIN MD</t>
  </si>
  <si>
    <t>MODRAK MARYANNE</t>
  </si>
  <si>
    <t>E0197289</t>
  </si>
  <si>
    <t>MODRAK MARY ANNE           MD</t>
  </si>
  <si>
    <t>BING GEN HOSP EM RM</t>
  </si>
  <si>
    <t>OLSON KIMBERLY MRS.</t>
  </si>
  <si>
    <t>E0339796</t>
  </si>
  <si>
    <t>OLSON KIMBERLY</t>
  </si>
  <si>
    <t>STILWELL MASON DR.</t>
  </si>
  <si>
    <t>E0324602</t>
  </si>
  <si>
    <t>STILWELL MASON S</t>
  </si>
  <si>
    <t>CLOWES JACKIE</t>
  </si>
  <si>
    <t>E0308621</t>
  </si>
  <si>
    <t>CLOWES JACKIE ANNE</t>
  </si>
  <si>
    <t>WILSON THOMAS DR.</t>
  </si>
  <si>
    <t>E0126394</t>
  </si>
  <si>
    <t>WILSON THOMAS WILLIAM MD</t>
  </si>
  <si>
    <t>THAPA RUPAK DR.</t>
  </si>
  <si>
    <t>E0323630</t>
  </si>
  <si>
    <t>THAPA RUPAK</t>
  </si>
  <si>
    <t>PORTER BURDETT DR.</t>
  </si>
  <si>
    <t>E0105035</t>
  </si>
  <si>
    <t>PORTER BURDETT ROY MD</t>
  </si>
  <si>
    <t>PORTER BURDETT ROY</t>
  </si>
  <si>
    <t>ARGILA CHARLES DR.</t>
  </si>
  <si>
    <t>E0336951</t>
  </si>
  <si>
    <t>ARGILA CHARLES R</t>
  </si>
  <si>
    <t>NOVAK MATTHEW DR.</t>
  </si>
  <si>
    <t>E0007059</t>
  </si>
  <si>
    <t>NOVAK MATTHEW J</t>
  </si>
  <si>
    <t>NOVAK MATTHEW J MD</t>
  </si>
  <si>
    <t>HUDOCK MICHAEL DR.</t>
  </si>
  <si>
    <t>E0208869</t>
  </si>
  <si>
    <t>HUDOCK MICHAEL J           MD</t>
  </si>
  <si>
    <t>ROBERT PACKER HOSP</t>
  </si>
  <si>
    <t>Francis Maguire</t>
  </si>
  <si>
    <t>E0322907</t>
  </si>
  <si>
    <t>MAGUIRE FRANCIS</t>
  </si>
  <si>
    <t>docmaguire@gmail.com</t>
  </si>
  <si>
    <t>MAGUIRE FRANCIS DR.</t>
  </si>
  <si>
    <t>MAGUIRE FRANCIS DO</t>
  </si>
  <si>
    <t>Paul Marino</t>
  </si>
  <si>
    <t>E0174664</t>
  </si>
  <si>
    <t>MARINO PAUL LAWRENCE MD</t>
  </si>
  <si>
    <t>plmarino@gmail.com</t>
  </si>
  <si>
    <t>MARINO PAUL DR.</t>
  </si>
  <si>
    <t>5 E 98TH ST</t>
  </si>
  <si>
    <t>NEW YORK</t>
  </si>
  <si>
    <t>Elisabeth Cotton</t>
  </si>
  <si>
    <t>E0297689</t>
  </si>
  <si>
    <t>COTTON ELISABETH</t>
  </si>
  <si>
    <t>Gail Rhodes</t>
  </si>
  <si>
    <t>(607) 277-2170</t>
  </si>
  <si>
    <t>eliscotton@msn.com</t>
  </si>
  <si>
    <t>COTTON ELISABETH DR.</t>
  </si>
  <si>
    <t>16 BRENTWOOD DR</t>
  </si>
  <si>
    <t>Lawrence Endo</t>
  </si>
  <si>
    <t>E0202906</t>
  </si>
  <si>
    <t>ENDO LAWRENCE PAUL         MD</t>
  </si>
  <si>
    <t>larryendo@gmail.com</t>
  </si>
  <si>
    <t>ENDO LAWRENCE DR.</t>
  </si>
  <si>
    <t>Humaira Hassan</t>
  </si>
  <si>
    <t>E0323686</t>
  </si>
  <si>
    <t>HASSAN HUMAIRA</t>
  </si>
  <si>
    <t>humairahassan.khan@gmail.com</t>
  </si>
  <si>
    <t>HASSAN HUMAIRA DR.</t>
  </si>
  <si>
    <t>Cynthia Jones</t>
  </si>
  <si>
    <t>E0096056</t>
  </si>
  <si>
    <t>JONES CYNTHIA BLAIR MD</t>
  </si>
  <si>
    <t>fishcreekproducts@yahoo.com</t>
  </si>
  <si>
    <t>JONES CYNTHIA</t>
  </si>
  <si>
    <t>EMP OF CORTL CNTY LL</t>
  </si>
  <si>
    <t>Ernesto Levy</t>
  </si>
  <si>
    <t>E0340928</t>
  </si>
  <si>
    <t>LEVY ERNESTO N</t>
  </si>
  <si>
    <t>erlevy@att.net</t>
  </si>
  <si>
    <t>LEVY ERNESTO</t>
  </si>
  <si>
    <t>BERTINI JOHN</t>
  </si>
  <si>
    <t>E0335490</t>
  </si>
  <si>
    <t>BERTINI JOHN NICHOLAS</t>
  </si>
  <si>
    <t>STEUBEN BOARD OF SUPERVISO CO</t>
  </si>
  <si>
    <t>E0263648</t>
  </si>
  <si>
    <t>Chris Congdon</t>
  </si>
  <si>
    <t>(607) 664-2438</t>
  </si>
  <si>
    <t>ChrisC@co.steuben.ny.us</t>
  </si>
  <si>
    <t>COUNTY OF STEUBEN</t>
  </si>
  <si>
    <t>3 E PULTENEY SQ</t>
  </si>
  <si>
    <t>BATH</t>
  </si>
  <si>
    <t>Tompkins County Office for the Aging</t>
  </si>
  <si>
    <t>Lisa Holmes</t>
  </si>
  <si>
    <t>(607) 274-5482</t>
  </si>
  <si>
    <t>214 W. Martin Luther King Jr/ State Street</t>
  </si>
  <si>
    <t>Tompkins Health Network</t>
  </si>
  <si>
    <t>Betty Falcao</t>
  </si>
  <si>
    <t>(607) 273-8686</t>
  </si>
  <si>
    <t>171 East Martin Luther King Jr/ State Street</t>
  </si>
  <si>
    <t>Cornell University -- Gannett Health Services</t>
  </si>
  <si>
    <t>Janet L. Corson-Rikert</t>
  </si>
  <si>
    <t>(607) 255-3564</t>
  </si>
  <si>
    <t>110 Ho Plaza</t>
  </si>
  <si>
    <t>Marc Immerman</t>
  </si>
  <si>
    <t>E0185435</t>
  </si>
  <si>
    <t>IMMERMAN MARC MD</t>
  </si>
  <si>
    <t>Charlie Jenkins</t>
  </si>
  <si>
    <t>(607) 732-5646</t>
  </si>
  <si>
    <t>ctsolstone@aol.com</t>
  </si>
  <si>
    <t>IMMERMAN MARC</t>
  </si>
  <si>
    <t>555 E MARKET ST</t>
  </si>
  <si>
    <t>Access to Independence of Cortland County, Inc.</t>
  </si>
  <si>
    <t>Chad Underwood</t>
  </si>
  <si>
    <t>(607) 753-7363</t>
  </si>
  <si>
    <t>cwunderwood@aticortland.org</t>
  </si>
  <si>
    <t>26 North Main Street</t>
  </si>
  <si>
    <t>UNITED HEALTH SERV HOSP INC</t>
  </si>
  <si>
    <t>E0238207</t>
  </si>
  <si>
    <t>All Other:: Case Management / Health Home:: Clinic:: Hospital:: Mental Health:: Substance Abuse</t>
  </si>
  <si>
    <t>UNITED HEALTH SERVICES HOSPITALS, INC</t>
  </si>
  <si>
    <t>33 N HARRISON ST # 57</t>
  </si>
  <si>
    <t>L</t>
  </si>
  <si>
    <t>PARSONS CHILD AND FAMILY CENTER</t>
  </si>
  <si>
    <t>E0332598</t>
  </si>
  <si>
    <t>PARSONS CHILD AND FAMILY CTR</t>
  </si>
  <si>
    <t>Audrey LaFrenier</t>
  </si>
  <si>
    <t>(518) 431-1652</t>
  </si>
  <si>
    <t>audrey.lafrenier@northernrivers.org</t>
  </si>
  <si>
    <t>All Other:: Case Management / Health Home:: Clinic:: Mental Health</t>
  </si>
  <si>
    <t>60 ACADEMY RD</t>
  </si>
  <si>
    <t>ALBANY</t>
  </si>
  <si>
    <t>NORTHEAST PARENT AND CHILD/CHILD GUIDANCE CENTER</t>
  </si>
  <si>
    <t>E0033735</t>
  </si>
  <si>
    <t>NORTHEAST PARENT CHILD SOCIET</t>
  </si>
  <si>
    <t>Sharon Mahota</t>
  </si>
  <si>
    <t>(518) 426-2768</t>
  </si>
  <si>
    <t>sharon.mahota@northernrivers.org</t>
  </si>
  <si>
    <t>NORTHEAST PARENT AND CHILD SOCIETY, INC.</t>
  </si>
  <si>
    <t>530 FRANKLIN ST STE 2</t>
  </si>
  <si>
    <t>SCHENECTADY</t>
  </si>
  <si>
    <t>E0221254</t>
  </si>
  <si>
    <t>NORTHEAST PARENT CHILD SOC</t>
  </si>
  <si>
    <t>120 PARK AVE</t>
  </si>
  <si>
    <t>CHILD CARE INSTITUTION</t>
  </si>
  <si>
    <t>LAKEVIEW MENTAL HEALTH SERVICES, INC.</t>
  </si>
  <si>
    <t>E0148197</t>
  </si>
  <si>
    <t>LAKEVIEW MENTAL HEALTH ICM MH</t>
  </si>
  <si>
    <t>Cathy Lovejoy</t>
  </si>
  <si>
    <t>(315) 789-5501</t>
  </si>
  <si>
    <t>clovejoy@lakeviewhs.org</t>
  </si>
  <si>
    <t>LAKEVIEW HEALTH SERVICES INC</t>
  </si>
  <si>
    <t>611 WEST WASHINGTON ST</t>
  </si>
  <si>
    <t>GENEVA</t>
  </si>
  <si>
    <t>Children's Health Home of Upstate New York</t>
  </si>
  <si>
    <t>Clyde Comstock</t>
  </si>
  <si>
    <t>(585) 256-7584</t>
  </si>
  <si>
    <t>ccomstoc@hillside.com</t>
  </si>
  <si>
    <t>c/o Hillside Children's Center, 1183 Monroe Avenue</t>
  </si>
  <si>
    <t>Rochester</t>
  </si>
  <si>
    <t>HILLSIDE CHILDRENS CENTER</t>
  </si>
  <si>
    <t>HILLSIDE CHLDRENS CENTER</t>
  </si>
  <si>
    <t>1183 MONROE AVE</t>
  </si>
  <si>
    <t>Twin Tier Home Health</t>
  </si>
  <si>
    <t>E0231334</t>
  </si>
  <si>
    <t>TWIN TIER HOME HEALTH     INC</t>
  </si>
  <si>
    <t>Gregory Rittenhouse</t>
  </si>
  <si>
    <t>(607) 763-5600</t>
  </si>
  <si>
    <t>gregory_rittenhouse@uhs.org</t>
  </si>
  <si>
    <t>TWIN TIER HOME HEALTH, INC.</t>
  </si>
  <si>
    <t>Family Planning of South Central New York, Inc.</t>
  </si>
  <si>
    <t>E0252630</t>
  </si>
  <si>
    <t>PLANNED PRTHD SO CENTRAL NY</t>
  </si>
  <si>
    <t>Mary Robinson</t>
  </si>
  <si>
    <t>(607) 723-5130</t>
  </si>
  <si>
    <t>mary.robinson@fpscny.org</t>
  </si>
  <si>
    <t>FAMILY PLANNING OF SOUTH CENTRAL NEW YORK, INC.</t>
  </si>
  <si>
    <t>FAMILY PLANNING OF SOUTH CENTRAL NY</t>
  </si>
  <si>
    <t>37 DIETZ ST</t>
  </si>
  <si>
    <t>E0376750</t>
  </si>
  <si>
    <t>Tisha Hollenbeck</t>
  </si>
  <si>
    <t>(607) 218-6055</t>
  </si>
  <si>
    <t>thollenbeck@liberty-resources.org</t>
  </si>
  <si>
    <t>WILSON CHRISTINE DR.</t>
  </si>
  <si>
    <t>E0171222</t>
  </si>
  <si>
    <t>WILSON CHRISTINE BEHLING DO</t>
  </si>
  <si>
    <t>PERENYI DENNIS</t>
  </si>
  <si>
    <t>E0197204</t>
  </si>
  <si>
    <t>PERENYI DENNIS  MD</t>
  </si>
  <si>
    <t>MARTINEZ DAVID GREGG MD</t>
  </si>
  <si>
    <t>E0134559</t>
  </si>
  <si>
    <t>2231 BURDETT AVE</t>
  </si>
  <si>
    <t>TROY</t>
  </si>
  <si>
    <t>EL-KASSIS LILIANE</t>
  </si>
  <si>
    <t>E0017339</t>
  </si>
  <si>
    <t>EL-KASSIS LILIANE MD</t>
  </si>
  <si>
    <t>EL-KASSIS LILIANE S MD</t>
  </si>
  <si>
    <t>JAYASENA ROHAN</t>
  </si>
  <si>
    <t>E0083417</t>
  </si>
  <si>
    <t>JAYASENA ROHAN SENERAT MD</t>
  </si>
  <si>
    <t>JAYASENA ROHAN SENERAT</t>
  </si>
  <si>
    <t>EHRETS VICKI</t>
  </si>
  <si>
    <t>E0296300</t>
  </si>
  <si>
    <t>GALLAGHER DAVID DR.</t>
  </si>
  <si>
    <t>E0322129</t>
  </si>
  <si>
    <t>GALLAGHER DAVID JASON MD</t>
  </si>
  <si>
    <t>BAILEY-KUNTE JEMMA</t>
  </si>
  <si>
    <t>E0177439</t>
  </si>
  <si>
    <t>AHWAGA FAMILY PHYS</t>
  </si>
  <si>
    <t>MONTICELLO VICKI</t>
  </si>
  <si>
    <t>E0090881</t>
  </si>
  <si>
    <t>MONTICELLO VICKI C</t>
  </si>
  <si>
    <t>MOUKALA-CADET ANNE-MARIE</t>
  </si>
  <si>
    <t>E0020724</t>
  </si>
  <si>
    <t>MOUKALA-CADET ANNE-MARIE L MD</t>
  </si>
  <si>
    <t>MCMAHON MATTHEW MR.</t>
  </si>
  <si>
    <t>E0307364</t>
  </si>
  <si>
    <t>MCMAHON MATTHEW JOHN</t>
  </si>
  <si>
    <t>200 FRONT ST STE D</t>
  </si>
  <si>
    <t>COOK ANNE MRS.</t>
  </si>
  <si>
    <t>E0063301</t>
  </si>
  <si>
    <t>GRAUSGRUBER ANNE RPA</t>
  </si>
  <si>
    <t>COOK ANNE MARIE RPA</t>
  </si>
  <si>
    <t>JOSHI ABHASH DR.</t>
  </si>
  <si>
    <t>E0352187</t>
  </si>
  <si>
    <t>JOSHI ABHASH</t>
  </si>
  <si>
    <t>EVERTSEN NICHOLAS DR.</t>
  </si>
  <si>
    <t>E0309886</t>
  </si>
  <si>
    <t>EVERTSEN NICHOLAS JAMES</t>
  </si>
  <si>
    <t>GRANET PAUL DR.</t>
  </si>
  <si>
    <t>E0288929</t>
  </si>
  <si>
    <t>GRANET PAUL JASON MD</t>
  </si>
  <si>
    <t>CAGIR BURT DR.</t>
  </si>
  <si>
    <t>E0084874</t>
  </si>
  <si>
    <t>CAGIR BURT MD</t>
  </si>
  <si>
    <t>CAGIR BURT</t>
  </si>
  <si>
    <t>LOWRY PHILIP DR.</t>
  </si>
  <si>
    <t>E0046745</t>
  </si>
  <si>
    <t>LOWRY PHILIP A MD</t>
  </si>
  <si>
    <t>LOWRY PHILIP ANDREW MD</t>
  </si>
  <si>
    <t>BROWN DANIEL DR.</t>
  </si>
  <si>
    <t>E0185908</t>
  </si>
  <si>
    <t>BROWN DANIEL J MD</t>
  </si>
  <si>
    <t>BROWN DANIEL JOSEPH</t>
  </si>
  <si>
    <t>LEE SALLY DR.</t>
  </si>
  <si>
    <t>E0058964</t>
  </si>
  <si>
    <t>LEE SALLY S MD</t>
  </si>
  <si>
    <t>111 E 210TH ST</t>
  </si>
  <si>
    <t>BERTSCH DAVID DR.</t>
  </si>
  <si>
    <t>E0311667</t>
  </si>
  <si>
    <t>DAVID J BERTSCH</t>
  </si>
  <si>
    <t>BERTSCH DAVID J</t>
  </si>
  <si>
    <t>PELLITTERI PHILLIP DR.</t>
  </si>
  <si>
    <t>E0333653</t>
  </si>
  <si>
    <t>PELLITTERI PHILLIP K</t>
  </si>
  <si>
    <t>VANDERMEER THOMAS DR.</t>
  </si>
  <si>
    <t>E0112377</t>
  </si>
  <si>
    <t>VANDERMEER THOMAS J MD</t>
  </si>
  <si>
    <t>GUTHRIE CLINICS</t>
  </si>
  <si>
    <t>MARTINES RICHARD DR.</t>
  </si>
  <si>
    <t>E0191059</t>
  </si>
  <si>
    <t>MARTINES RICHARD MD</t>
  </si>
  <si>
    <t>LINDEMANN TIMOTHY</t>
  </si>
  <si>
    <t>E0346119</t>
  </si>
  <si>
    <t>LINDEMANN TIMOTHY LYNN</t>
  </si>
  <si>
    <t>Tioga County Council on Alcoholism and Substance Abuse</t>
  </si>
  <si>
    <t>Christie Speciale</t>
  </si>
  <si>
    <t>(607) 687-6349</t>
  </si>
  <si>
    <t>cspeciale@tccasa.org</t>
  </si>
  <si>
    <t>6 McMaster Street, Suite 4</t>
  </si>
  <si>
    <t>Owego</t>
  </si>
  <si>
    <t>Venkatesh Govindarajan Dr.</t>
  </si>
  <si>
    <t>E0062190</t>
  </si>
  <si>
    <t>VENKATESH GOVINDARAJAN MD</t>
  </si>
  <si>
    <t>VENKATESH GOVINDARAJAN DR.</t>
  </si>
  <si>
    <t>Walsh James Dr.</t>
  </si>
  <si>
    <t>E0167255</t>
  </si>
  <si>
    <t>WALSH JAMES J MD</t>
  </si>
  <si>
    <t>WALSH JAMES DR.</t>
  </si>
  <si>
    <t>Michael Vertino</t>
  </si>
  <si>
    <t>E0084756</t>
  </si>
  <si>
    <t>VERTINO MICHAEL L MD</t>
  </si>
  <si>
    <t>vertinom@upstate.edu</t>
  </si>
  <si>
    <t>VERTINO MICHAEL</t>
  </si>
  <si>
    <t>NEURO MED SERV GRP</t>
  </si>
  <si>
    <t>Srisatish Devapatla</t>
  </si>
  <si>
    <t>E0062992</t>
  </si>
  <si>
    <t>DEVAPATLA SRISATICH MD</t>
  </si>
  <si>
    <t>(607) 274-4408</t>
  </si>
  <si>
    <t>sdevapatla@cayugamed.org</t>
  </si>
  <si>
    <t>DEVAPATLA SRISATISH DR.</t>
  </si>
  <si>
    <t>Carl West</t>
  </si>
  <si>
    <t>E0139089</t>
  </si>
  <si>
    <t>WEST CARL G</t>
  </si>
  <si>
    <t>cgwest@twcny.rr.com</t>
  </si>
  <si>
    <t>WEST CARL</t>
  </si>
  <si>
    <t>TOMPKINS COMM MED OF</t>
  </si>
  <si>
    <t>Theresa Spaulding MD</t>
  </si>
  <si>
    <t>E0106605</t>
  </si>
  <si>
    <t>SPAULDING THERESA A MD</t>
  </si>
  <si>
    <t>spauldingt@schuylerhospital.org</t>
  </si>
  <si>
    <t>SPAULDING THERESA DR.</t>
  </si>
  <si>
    <t>116 N CATHARINE ST</t>
  </si>
  <si>
    <t>Michele Stewart NP</t>
  </si>
  <si>
    <t>E0034251</t>
  </si>
  <si>
    <t>STEWART MICHELE L</t>
  </si>
  <si>
    <t>stewartm@schuylerhospital.org</t>
  </si>
  <si>
    <t>STEWART MICHELE MS.</t>
  </si>
  <si>
    <t>13 ITHACA ST</t>
  </si>
  <si>
    <t>Caitlin Wright PA</t>
  </si>
  <si>
    <t>E0370479</t>
  </si>
  <si>
    <t>WRIGHT CAITLIN MARIE</t>
  </si>
  <si>
    <t>wrightc@schuylerhospital.org</t>
  </si>
  <si>
    <t>ARNONE CAITLIN</t>
  </si>
  <si>
    <t>220 STEUBEN ST</t>
  </si>
  <si>
    <t>Robert Arleo</t>
  </si>
  <si>
    <t>E0152159</t>
  </si>
  <si>
    <t>ARLEO ROBERT JOSEPH</t>
  </si>
  <si>
    <t>Krista Stuttle/Tama Budinger</t>
  </si>
  <si>
    <t>(607) 257-5599</t>
  </si>
  <si>
    <t>rarleo@aol.com</t>
  </si>
  <si>
    <t>ARLEO ROBERT</t>
  </si>
  <si>
    <t>100 UPTOWN RD</t>
  </si>
  <si>
    <t>Ralph Bishop</t>
  </si>
  <si>
    <t>E0265583</t>
  </si>
  <si>
    <t>BISHOP RALPH M</t>
  </si>
  <si>
    <t>rmbishop@twcny.rr.com</t>
  </si>
  <si>
    <t>BISHOP RALPH DR.</t>
  </si>
  <si>
    <t>Philip Lempert</t>
  </si>
  <si>
    <t>E0252989</t>
  </si>
  <si>
    <t>LEMPERT PHILIP PC          MD</t>
  </si>
  <si>
    <t>eyechartplus@aol.com</t>
  </si>
  <si>
    <t>LEMPERT PHILIP</t>
  </si>
  <si>
    <t>LEMPERT PHILIP    MD</t>
  </si>
  <si>
    <t>Stella Castro</t>
  </si>
  <si>
    <t>E0012873</t>
  </si>
  <si>
    <t>CASTRO STELLA M</t>
  </si>
  <si>
    <t>Julie Totman</t>
  </si>
  <si>
    <t>(607) 257-6563</t>
  </si>
  <si>
    <t>smcastromd@gmail.com</t>
  </si>
  <si>
    <t>CASTRO STELLA</t>
  </si>
  <si>
    <t>840 HANSHAW RD</t>
  </si>
  <si>
    <t>Joseph Flanagan</t>
  </si>
  <si>
    <t>E0000079</t>
  </si>
  <si>
    <t>FLANAGAN JOSEPH WILLIAM</t>
  </si>
  <si>
    <t>jflana129@aol.com</t>
  </si>
  <si>
    <t>FLANAGAN JOSEPH DR.</t>
  </si>
  <si>
    <t>Rizwan Khan</t>
  </si>
  <si>
    <t>E0324093</t>
  </si>
  <si>
    <t>KHAN RIZWAN H</t>
  </si>
  <si>
    <t>rhkhanmd@gmail.com; aaapc4u@hotmail.com</t>
  </si>
  <si>
    <t>KHAN RIZWAN DR.</t>
  </si>
  <si>
    <t>Julie McNairn</t>
  </si>
  <si>
    <t>E0032752</t>
  </si>
  <si>
    <t>MCNAIRN JULIE DK MD</t>
  </si>
  <si>
    <t>jdkmcnairn@gmail.com</t>
  </si>
  <si>
    <t>MCNAIRN JULIE</t>
  </si>
  <si>
    <t>Mariah Pieretti</t>
  </si>
  <si>
    <t>E0020382</t>
  </si>
  <si>
    <t>PIERETTI MARIAH MAGARGEE</t>
  </si>
  <si>
    <t>mmagargee@gmail.com</t>
  </si>
  <si>
    <t>PIERETTI MARIAH DR.</t>
  </si>
  <si>
    <t>Elliot Rubinstein</t>
  </si>
  <si>
    <t>E0244223</t>
  </si>
  <si>
    <t>RUBINSTEIN ELLIOT          MD</t>
  </si>
  <si>
    <t>paelliot@aol.com; aaapc4u@hotmail.com</t>
  </si>
  <si>
    <t>RUBINSTEIN ELLIOT DR.</t>
  </si>
  <si>
    <t>RUBINSTEIN ELLIOT</t>
  </si>
  <si>
    <t>Jessica Casey</t>
  </si>
  <si>
    <t>E0072848</t>
  </si>
  <si>
    <t>CASEY JESSICA L MD</t>
  </si>
  <si>
    <t>Linda Rhoads</t>
  </si>
  <si>
    <t>(607) 272-6880</t>
  </si>
  <si>
    <t>jcasey_do@yahoo.com</t>
  </si>
  <si>
    <t>CASEY JESSICA</t>
  </si>
  <si>
    <t>CASEY JESSICA LYNN</t>
  </si>
  <si>
    <t>STE H</t>
  </si>
  <si>
    <t>John Lambert</t>
  </si>
  <si>
    <t>E0184809</t>
  </si>
  <si>
    <t>LAMBERT JOHN Y III MD</t>
  </si>
  <si>
    <t>Jlamber1@twcny.rr.com</t>
  </si>
  <si>
    <t>LAMBERT JOHN</t>
  </si>
  <si>
    <t>STE H BTRMLK FLS PED</t>
  </si>
  <si>
    <t>Janusz Sendek</t>
  </si>
  <si>
    <t>E0151059</t>
  </si>
  <si>
    <t>SENDEK JANUSZ MD</t>
  </si>
  <si>
    <t>jsendek@twcny.rr.com</t>
  </si>
  <si>
    <t>SENDEK JANUSZ</t>
  </si>
  <si>
    <t>S-H BUTTERMILK FALLS</t>
  </si>
  <si>
    <t>Amit Shrivastava</t>
  </si>
  <si>
    <t>E0148569</t>
  </si>
  <si>
    <t>SHRIVASTAVA AMITABH</t>
  </si>
  <si>
    <t>shiv68ji@aol.com</t>
  </si>
  <si>
    <t>Donald Bluh</t>
  </si>
  <si>
    <t>E0221575</t>
  </si>
  <si>
    <t>BLUH DONALD G              MD</t>
  </si>
  <si>
    <t>Josephine Ballard</t>
  </si>
  <si>
    <t>(607) 274-4327</t>
  </si>
  <si>
    <t>dgb36@columbia.edu</t>
  </si>
  <si>
    <t>BLUH DONALD DR.</t>
  </si>
  <si>
    <t>CAYUGA MED CTR ITHAC</t>
  </si>
  <si>
    <t>Mattison Burt III</t>
  </si>
  <si>
    <t>E0122486</t>
  </si>
  <si>
    <t>BURT MATTISON A MD</t>
  </si>
  <si>
    <t>mburt001@twcny.rr.com</t>
  </si>
  <si>
    <t>BURT MATTISON DR.</t>
  </si>
  <si>
    <t>ANES GRP-STE 5D</t>
  </si>
  <si>
    <t>LIVERPOOL</t>
  </si>
  <si>
    <t>WILLOW POINT NURSING HOME</t>
  </si>
  <si>
    <t>E0268197</t>
  </si>
  <si>
    <t>BROOME COUNTY</t>
  </si>
  <si>
    <t>3700 VESTAL RD</t>
  </si>
  <si>
    <t>E0092118</t>
  </si>
  <si>
    <t>Rita Urbanek</t>
  </si>
  <si>
    <t>GUTHRIE  MEDICAL GROUP PC</t>
  </si>
  <si>
    <t>MULTI-TYPE GROUP</t>
  </si>
  <si>
    <t>ANDRES CHRISTOPHER D MD</t>
  </si>
  <si>
    <t>E0135353</t>
  </si>
  <si>
    <t>ANDRES CHRISTOPHER DR.</t>
  </si>
  <si>
    <t>512 TOWNE PLZ STE 124</t>
  </si>
  <si>
    <t>TUNKHANNOCK</t>
  </si>
  <si>
    <t>ARMSTRONG ROBERT W JR MD</t>
  </si>
  <si>
    <t>E0200300</t>
  </si>
  <si>
    <t>ARMSTRONG ROBERT W JR      MD</t>
  </si>
  <si>
    <t>ARMSTRONG ROBERT</t>
  </si>
  <si>
    <t>ARNOT OGDEN HOSP</t>
  </si>
  <si>
    <t>ASGHER SHOAIB</t>
  </si>
  <si>
    <t>E0323621</t>
  </si>
  <si>
    <t>ASGHER SHOAIB DR.</t>
  </si>
  <si>
    <t>2517 VESTAL PKWY E</t>
  </si>
  <si>
    <t>Mohammed Mowla</t>
  </si>
  <si>
    <t>E0311646</t>
  </si>
  <si>
    <t>MOHAMMED RASHEDUL MOWLA</t>
  </si>
  <si>
    <t>MOWLA MOHAMMED</t>
  </si>
  <si>
    <t>MOWLA MOHAMMED RASHEDUL</t>
  </si>
  <si>
    <t>Clay VanDoren</t>
  </si>
  <si>
    <t>E0117847</t>
  </si>
  <si>
    <t>VAN DOREN CLAY J DO</t>
  </si>
  <si>
    <t>VANDOREN CLAY MR.</t>
  </si>
  <si>
    <t>VAN DOREN CLAY JAMES</t>
  </si>
  <si>
    <t>196 NORTH ST</t>
  </si>
  <si>
    <t>Hasan Zakariyya</t>
  </si>
  <si>
    <t>E0210211</t>
  </si>
  <si>
    <t>ZAKARIYYA HASAN            MD</t>
  </si>
  <si>
    <t>ZAKARIYYA HASAN</t>
  </si>
  <si>
    <t>ZAKARIYYA HASAN MD</t>
  </si>
  <si>
    <t>Yuri Khibkin</t>
  </si>
  <si>
    <t>E0033159</t>
  </si>
  <si>
    <t>KHIBKIN YURI MD</t>
  </si>
  <si>
    <t>KHIBKIN YURI DR.</t>
  </si>
  <si>
    <t>1400 PELHAM PKWY S</t>
  </si>
  <si>
    <t>Jeffrey Snedeker</t>
  </si>
  <si>
    <t>E0145437</t>
  </si>
  <si>
    <t>SNEDEKER JEFFREY DAVID MD</t>
  </si>
  <si>
    <t>Pam Whittaker</t>
  </si>
  <si>
    <t>(607) 257-2188</t>
  </si>
  <si>
    <t>jsnedeker@northeastpeds.com</t>
  </si>
  <si>
    <t>SNEDEKER JEFFREY</t>
  </si>
  <si>
    <t>10 GRAHAM RD W</t>
  </si>
  <si>
    <t>Andrea Torrado</t>
  </si>
  <si>
    <t>E0072950</t>
  </si>
  <si>
    <t>TORRADO ANDREA GONZALEZ MD</t>
  </si>
  <si>
    <t>torradoandrea@yahoo.com</t>
  </si>
  <si>
    <t>TORRADO ANDREA</t>
  </si>
  <si>
    <t>TORRADO ANDREA GONZALEZ</t>
  </si>
  <si>
    <t>Marguerite Uphoff</t>
  </si>
  <si>
    <t>E0252741</t>
  </si>
  <si>
    <t>UPHOFF MARGUERITE H MCKAY  MD</t>
  </si>
  <si>
    <t>muphoff@northeastpeds.com</t>
  </si>
  <si>
    <t>UPHOFF MARGUERITE DR.</t>
  </si>
  <si>
    <t>10 GRAHAM RD WEST</t>
  </si>
  <si>
    <t>Lisa Baclawski</t>
  </si>
  <si>
    <t>E0359283</t>
  </si>
  <si>
    <t>BACLAWSKI LISA</t>
  </si>
  <si>
    <t>Penny Westbrook</t>
  </si>
  <si>
    <t>(607) 266-7800</t>
  </si>
  <si>
    <t>7lisamarie@gmail.com</t>
  </si>
  <si>
    <t>BACLAWSKI LISA MARIE</t>
  </si>
  <si>
    <t>20 ARROWOOD DR</t>
  </si>
  <si>
    <t>Kathleen Gardner</t>
  </si>
  <si>
    <t>E0029863</t>
  </si>
  <si>
    <t>GARDNER KATHLEEN MD</t>
  </si>
  <si>
    <t>kitgardner@gmail.com</t>
  </si>
  <si>
    <t>GARDNER KATHLEEN</t>
  </si>
  <si>
    <t>GARDNER KATHLEEN ELIZABETH</t>
  </si>
  <si>
    <t>Steven Gelber</t>
  </si>
  <si>
    <t>E0141672</t>
  </si>
  <si>
    <t>GELBER STEVEN ANDREW MD</t>
  </si>
  <si>
    <t>sgelber9@gmail.com</t>
  </si>
  <si>
    <t>GELBER STEVEN</t>
  </si>
  <si>
    <t>GELBER STEVEN ANDREW  MD</t>
  </si>
  <si>
    <t>Dvorah Milner</t>
  </si>
  <si>
    <t>E0085009</t>
  </si>
  <si>
    <t>MILNER DVORAH MD</t>
  </si>
  <si>
    <t>dmilner@twcny.rr.com</t>
  </si>
  <si>
    <t>MILNER DVORAH</t>
  </si>
  <si>
    <t>MILNER DVORAH  MD</t>
  </si>
  <si>
    <t>DEPT OB/GYN LIJMC</t>
  </si>
  <si>
    <t>NEW HYDE PARK</t>
  </si>
  <si>
    <t>Phaelon Silva</t>
  </si>
  <si>
    <t>E0337349</t>
  </si>
  <si>
    <t>SILVA PHAELON HENRY</t>
  </si>
  <si>
    <t>phaelonsilva@yahoo.com</t>
  </si>
  <si>
    <t>SILVA PHAELON DR.</t>
  </si>
  <si>
    <t>Deidre Blake</t>
  </si>
  <si>
    <t>E0359178</t>
  </si>
  <si>
    <t>BLAKE DEIDRE M</t>
  </si>
  <si>
    <t>Janet Colpo</t>
  </si>
  <si>
    <t>(607) 272-7000</t>
  </si>
  <si>
    <t>deidreblake1@gmail.com;tspada@cayugamedicalassocia</t>
  </si>
  <si>
    <t>BLAKE DEIDRE DR.</t>
  </si>
  <si>
    <t>1301 TRUMANSBURG RD STE R</t>
  </si>
  <si>
    <t>Kimberly Carney Young</t>
  </si>
  <si>
    <t>E0311369</t>
  </si>
  <si>
    <t>KIMBERLY CARNEY YOUNG</t>
  </si>
  <si>
    <t>kimcarneyyoung@gmail.com</t>
  </si>
  <si>
    <t>YOUNG KIMBERLY DR.</t>
  </si>
  <si>
    <t>CARNEY YOUNG KIMBERLY</t>
  </si>
  <si>
    <t>Dirk Dugan</t>
  </si>
  <si>
    <t>E0227427</t>
  </si>
  <si>
    <t>DUGAN DIRK H MD</t>
  </si>
  <si>
    <t>DDugan@cayugamed.org</t>
  </si>
  <si>
    <t>DUGAN DIRK</t>
  </si>
  <si>
    <t>ORTHO SUR SPORT MED</t>
  </si>
  <si>
    <t>Joseph Mannino</t>
  </si>
  <si>
    <t>E0086340</t>
  </si>
  <si>
    <t>MANNINO JOSEPH ANDREW MD</t>
  </si>
  <si>
    <t>JMannino@aol.com</t>
  </si>
  <si>
    <t>MANNINO JOSEPH</t>
  </si>
  <si>
    <t>85 COLLEGE ST</t>
  </si>
  <si>
    <t>Stephanie Roach</t>
  </si>
  <si>
    <t>E0104125</t>
  </si>
  <si>
    <t>ROACH STEPHANIE SUSAN MD</t>
  </si>
  <si>
    <t>troach1@twcny.rr.com</t>
  </si>
  <si>
    <t>ROACH STEPHANIE</t>
  </si>
  <si>
    <t>10 BRENTWOOD DR</t>
  </si>
  <si>
    <t>Michael Wilson</t>
  </si>
  <si>
    <t>E0327906</t>
  </si>
  <si>
    <t>WILSON MICHAEL</t>
  </si>
  <si>
    <t>mgwilsonmd@gmail.com</t>
  </si>
  <si>
    <t>WILSON MICHAEL DR.</t>
  </si>
  <si>
    <t>WILSON MICHAEL G.</t>
  </si>
  <si>
    <t>Brett Young</t>
  </si>
  <si>
    <t>E0311116</t>
  </si>
  <si>
    <t>YOUNG BRETT HENNERTY</t>
  </si>
  <si>
    <t>youngbh@gmail.com</t>
  </si>
  <si>
    <t>YOUNG BRETT</t>
  </si>
  <si>
    <t>Elizabeth Plocharczyk</t>
  </si>
  <si>
    <t>E0347589</t>
  </si>
  <si>
    <t>PLOCHARCZYK ELIZABETH FRANCES</t>
  </si>
  <si>
    <t>Daniel Sudilovsky, MD</t>
  </si>
  <si>
    <t>(607) 274-4474</t>
  </si>
  <si>
    <t>eplocharczyk@cayugamed.org</t>
  </si>
  <si>
    <t>PLOCHARCZYK ELIZABETH DR.</t>
  </si>
  <si>
    <t>Daniel Sudilovsky</t>
  </si>
  <si>
    <t>E0042642</t>
  </si>
  <si>
    <t>SUDILOVSKY DANIEL MD</t>
  </si>
  <si>
    <t>dsudilovsky@cayugamed.org</t>
  </si>
  <si>
    <t>SUDILOVSKY DANIEL DR.</t>
  </si>
  <si>
    <t>SUDILOVSKY DANIEL</t>
  </si>
  <si>
    <t>Andrew Morpurgo</t>
  </si>
  <si>
    <t>E0132734</t>
  </si>
  <si>
    <t>MORPURGO ANDREW J MD PC</t>
  </si>
  <si>
    <t>(607) 277-4097</t>
  </si>
  <si>
    <t>amorpurgo@cayugamed.org</t>
  </si>
  <si>
    <t>MORPURGO ANDREW DR.</t>
  </si>
  <si>
    <t>Melissa Thibault</t>
  </si>
  <si>
    <t>E0044860</t>
  </si>
  <si>
    <t>THIBAULT MELISSA WEI MD</t>
  </si>
  <si>
    <t>mwthibault@yahoo.com</t>
  </si>
  <si>
    <t>THIBAULT MELISSA DR.</t>
  </si>
  <si>
    <t>THIBAULT MELISSA WEI</t>
  </si>
  <si>
    <t>James Metcalf, Jr.</t>
  </si>
  <si>
    <t>E0354591</t>
  </si>
  <si>
    <t>METCALF JAMES CRAWFORD JR</t>
  </si>
  <si>
    <t>Debbie Troy</t>
  </si>
  <si>
    <t>(607) 269-0033</t>
  </si>
  <si>
    <t>jcmetcalfjr@gmail.com</t>
  </si>
  <si>
    <t>METCALF JAMES</t>
  </si>
  <si>
    <t>Barry Pollack</t>
  </si>
  <si>
    <t>E0071124</t>
  </si>
  <si>
    <t>POLLACK BARRY JAY MD</t>
  </si>
  <si>
    <t>bpollack@cayugamed.org</t>
  </si>
  <si>
    <t>POLLACK BARRY DR.</t>
  </si>
  <si>
    <t>William Carroll</t>
  </si>
  <si>
    <t>E0148174</t>
  </si>
  <si>
    <t>CARROLL WILLIAM JOSEPH MD</t>
  </si>
  <si>
    <t>wcarroll@cayugamed.org; carw@twcny.rr.com</t>
  </si>
  <si>
    <t>CARROLL WILLIAM</t>
  </si>
  <si>
    <t>ALBRO SHERI</t>
  </si>
  <si>
    <t>E0296084</t>
  </si>
  <si>
    <t>3175 E GENESEE ST STE 5</t>
  </si>
  <si>
    <t>BIRMAN GEORGE</t>
  </si>
  <si>
    <t>E0043862</t>
  </si>
  <si>
    <t>BIRMAN GEORGE DDS</t>
  </si>
  <si>
    <t>24 GROTON AVE</t>
  </si>
  <si>
    <t>BURKERT ERICA MS.</t>
  </si>
  <si>
    <t>E0022611</t>
  </si>
  <si>
    <t>BURKERT ERICA ZILLES</t>
  </si>
  <si>
    <t>500 5TH AVE</t>
  </si>
  <si>
    <t>CRISPELL JANE MRS.</t>
  </si>
  <si>
    <t>E0020849</t>
  </si>
  <si>
    <t>CRISPELL JANE</t>
  </si>
  <si>
    <t>CRISPELL JANE KATHRYN</t>
  </si>
  <si>
    <t>903 HANSHAW RD</t>
  </si>
  <si>
    <t>DARLING MICHAEL DR.</t>
  </si>
  <si>
    <t>E0083386</t>
  </si>
  <si>
    <t>DARLING MICHAEL JAMES DDM</t>
  </si>
  <si>
    <t>1423 BUTTERNUT ST</t>
  </si>
  <si>
    <t>DEJONG ALIDA</t>
  </si>
  <si>
    <t>E0037239</t>
  </si>
  <si>
    <t>DE JONG ALIDA A</t>
  </si>
  <si>
    <t>DE JONG ALIDA ANNE</t>
  </si>
  <si>
    <t>17 MAIN ST</t>
  </si>
  <si>
    <t>EDMUNDSON LAUREL DR.</t>
  </si>
  <si>
    <t>E0311001</t>
  </si>
  <si>
    <t>EDMUNDSON LAUREL DUPHINEY</t>
  </si>
  <si>
    <t>11 ALVENA AVE</t>
  </si>
  <si>
    <t>JEWETT SUSAN</t>
  </si>
  <si>
    <t>E0049767</t>
  </si>
  <si>
    <t>JEWETT SUSAN E</t>
  </si>
  <si>
    <t>KEATING CATHERINE</t>
  </si>
  <si>
    <t>E0001991</t>
  </si>
  <si>
    <t>KEATING CATHERINE I</t>
  </si>
  <si>
    <t>20 ELM ST</t>
  </si>
  <si>
    <t>PITTSFIELD</t>
  </si>
  <si>
    <t>KERNER CHERYL MRS.</t>
  </si>
  <si>
    <t>E0018465</t>
  </si>
  <si>
    <t>KERNER CHERYL R NP</t>
  </si>
  <si>
    <t>14 KENNEDY PKWY</t>
  </si>
  <si>
    <t>LOOMIS LISA</t>
  </si>
  <si>
    <t>E0283654</t>
  </si>
  <si>
    <t>LOOMIS LISA MARIE</t>
  </si>
  <si>
    <t>71 MAIN ST</t>
  </si>
  <si>
    <t>MCCAFFREY JENNIFER</t>
  </si>
  <si>
    <t>E0359170</t>
  </si>
  <si>
    <t>MCCAFFREY JENNIFER B</t>
  </si>
  <si>
    <t>MCCAFFREY JENNIFER MRS.</t>
  </si>
  <si>
    <t>4038 WEST RD</t>
  </si>
  <si>
    <t>MUKUNDAN MADHAV DR.</t>
  </si>
  <si>
    <t>E0300353</t>
  </si>
  <si>
    <t>MUKUNDAN DDS MADHAV</t>
  </si>
  <si>
    <t>MUKUNDAN MADHAV</t>
  </si>
  <si>
    <t>PENDELL-MCKEE JUDY</t>
  </si>
  <si>
    <t>E0109729</t>
  </si>
  <si>
    <t>OTSELIC VALLEY FAM H</t>
  </si>
  <si>
    <t>POOLE KIMBERLIE</t>
  </si>
  <si>
    <t>E0036243</t>
  </si>
  <si>
    <t>POOLE KIMBERLIE A</t>
  </si>
  <si>
    <t>COLLIER KIMBERLIE</t>
  </si>
  <si>
    <t>77 NELSON ST</t>
  </si>
  <si>
    <t>RAHNER DOUGLAS</t>
  </si>
  <si>
    <t>E0032803</t>
  </si>
  <si>
    <t>RAHNER DOUGLAS A MD</t>
  </si>
  <si>
    <t>22-24 EAST MAIN ST</t>
  </si>
  <si>
    <t>ROSS JENNY MS.</t>
  </si>
  <si>
    <t>E0329254</t>
  </si>
  <si>
    <t>ROSS JENNY ELLEN</t>
  </si>
  <si>
    <t>160 MAIN ST</t>
  </si>
  <si>
    <t>PENN YAN</t>
  </si>
  <si>
    <t>SEEDAT GHAZALA DR.</t>
  </si>
  <si>
    <t>E0021004</t>
  </si>
  <si>
    <t>SEEDAT GHAZALA</t>
  </si>
  <si>
    <t>SEEDAT GHAZALA ALI DO</t>
  </si>
  <si>
    <t>224 S GEDDES ST</t>
  </si>
  <si>
    <t>SHOLAR LISA MISS</t>
  </si>
  <si>
    <t>E0295032</t>
  </si>
  <si>
    <t>SHOLAR LISA</t>
  </si>
  <si>
    <t>24 COPELAND AVE</t>
  </si>
  <si>
    <t>Nicholas Tarricone, M.D.</t>
  </si>
  <si>
    <t>E0203078</t>
  </si>
  <si>
    <t>TARRICONE NICHOLAS         MD</t>
  </si>
  <si>
    <t>Nicholas_Tarricone@uhs.org</t>
  </si>
  <si>
    <t>TARRICONE NICHOLAS DR.</t>
  </si>
  <si>
    <t>21 FORD AVE</t>
  </si>
  <si>
    <t>Joseph Bylebyl</t>
  </si>
  <si>
    <t>E0239562</t>
  </si>
  <si>
    <t>BYLEBYL JOSEPH KAROL</t>
  </si>
  <si>
    <t>jkbylebyl@gmail.com</t>
  </si>
  <si>
    <t>BYLEBYL JOSEPH DR.</t>
  </si>
  <si>
    <t>David Fellows</t>
  </si>
  <si>
    <t>E0166053</t>
  </si>
  <si>
    <t>FELLOWS DAVID G MD</t>
  </si>
  <si>
    <t>dgfellows@hotmail.com</t>
  </si>
  <si>
    <t>FELLOWS DAVID DR.</t>
  </si>
  <si>
    <t>HOUSE GOOD SAMARITAN</t>
  </si>
  <si>
    <t>Christina Klufas</t>
  </si>
  <si>
    <t>E0132028</t>
  </si>
  <si>
    <t>KLUFAS CHRISTINA IRENE MD</t>
  </si>
  <si>
    <t>christinaiklufas@gmail.com</t>
  </si>
  <si>
    <t>KLUFAS CHRISTINA</t>
  </si>
  <si>
    <t>KLUFAS CHRISTINA IRENE</t>
  </si>
  <si>
    <t>Stephen Meyer</t>
  </si>
  <si>
    <t>E0193136</t>
  </si>
  <si>
    <t>MEYER STEPHEN JAY DO</t>
  </si>
  <si>
    <t>stevemeyer56@yahoo.com</t>
  </si>
  <si>
    <t>MEYER STEPHEN DR.</t>
  </si>
  <si>
    <t>CORTLAND CTR FOR PAI</t>
  </si>
  <si>
    <t>Robert Mitchell</t>
  </si>
  <si>
    <t>E0215935</t>
  </si>
  <si>
    <t>MITCHELL ROBERT LOUIS    MDPC</t>
  </si>
  <si>
    <t>rmitchell@cayugamed.org</t>
  </si>
  <si>
    <t>MITCHELL ROBERT DR.</t>
  </si>
  <si>
    <t>MITCHELL ROBERT LOUIS</t>
  </si>
  <si>
    <t>J. Norton</t>
  </si>
  <si>
    <t>E0082759</t>
  </si>
  <si>
    <t>NORTON J RUSSELL MD</t>
  </si>
  <si>
    <t>drrussnorton@gmail.com</t>
  </si>
  <si>
    <t>NORTON J DR.</t>
  </si>
  <si>
    <t>NORTON J RUSSELL</t>
  </si>
  <si>
    <t>601 ELMWOOD AVE</t>
  </si>
  <si>
    <t>Anthony Sanito</t>
  </si>
  <si>
    <t>E0125532</t>
  </si>
  <si>
    <t>SANITO ANTHONY MD</t>
  </si>
  <si>
    <t>tsanito@twcny.rr.com</t>
  </si>
  <si>
    <t>SANITO ANTHONY DR.</t>
  </si>
  <si>
    <t>CAYUGA MEDICAL CTR</t>
  </si>
  <si>
    <t>Jacob Smith</t>
  </si>
  <si>
    <t>E0337303</t>
  </si>
  <si>
    <t>SMITH JACOB W</t>
  </si>
  <si>
    <t>jake.smith.md@gmail.com</t>
  </si>
  <si>
    <t>SMITH JACOB</t>
  </si>
  <si>
    <t>SMITH JACOB WILLIAM</t>
  </si>
  <si>
    <t>John Tashman</t>
  </si>
  <si>
    <t>E0137517</t>
  </si>
  <si>
    <t>TASHMAN JOHN S MD</t>
  </si>
  <si>
    <t>jspentas19@gmail.com</t>
  </si>
  <si>
    <t>TASHMAN JOHN DR.</t>
  </si>
  <si>
    <t>Thomas Toal</t>
  </si>
  <si>
    <t>E0141177</t>
  </si>
  <si>
    <t>TOAL THOMAS M MD</t>
  </si>
  <si>
    <t>ttoal@twcny.rr.com</t>
  </si>
  <si>
    <t>TOAL THOMAS DR.</t>
  </si>
  <si>
    <t>AUBURN MEM HSP</t>
  </si>
  <si>
    <t>Stephanie Goodwin</t>
  </si>
  <si>
    <t>E0069756</t>
  </si>
  <si>
    <t>GOODWIN STEPHANIE LUETTE DO</t>
  </si>
  <si>
    <t>Geri Ravo</t>
  </si>
  <si>
    <t>(607) 269-0100</t>
  </si>
  <si>
    <t>slgoodwin7@twcny.rr.com</t>
  </si>
  <si>
    <t>GOODWIN STEPHANIE</t>
  </si>
  <si>
    <t>GOODWIN STEPHANIE LUETTE</t>
  </si>
  <si>
    <t>310 TAUGHANNOCK BLVD</t>
  </si>
  <si>
    <t>JOHNSON MARYELLEN MS.</t>
  </si>
  <si>
    <t>E0217549</t>
  </si>
  <si>
    <t>JOHNSON MARYELLEN RN</t>
  </si>
  <si>
    <t>OB GYN HEALTH CARE A</t>
  </si>
  <si>
    <t>MANN NATHAN DR.</t>
  </si>
  <si>
    <t>E0295855</t>
  </si>
  <si>
    <t>MANN NATHAN ANDREW</t>
  </si>
  <si>
    <t>CONSOLAZIO ANTHONY</t>
  </si>
  <si>
    <t>E0050243</t>
  </si>
  <si>
    <t>CONSOLAZIO ANTHONY JR MD</t>
  </si>
  <si>
    <t>HARPER YUSUF DR.</t>
  </si>
  <si>
    <t>E0132667</t>
  </si>
  <si>
    <t>HARPER YUSUF</t>
  </si>
  <si>
    <t>PAGE JESSICA</t>
  </si>
  <si>
    <t>E0330191</t>
  </si>
  <si>
    <t>PAGE JESSICA LYNNE</t>
  </si>
  <si>
    <t>GILL ROY</t>
  </si>
  <si>
    <t>E0258137</t>
  </si>
  <si>
    <t>GILL ROY                   MD</t>
  </si>
  <si>
    <t>GILL ROY MD</t>
  </si>
  <si>
    <t>48 HARRISON ST</t>
  </si>
  <si>
    <t>KERR CHERYL</t>
  </si>
  <si>
    <t>E0237468</t>
  </si>
  <si>
    <t>KERR CHERYL MD</t>
  </si>
  <si>
    <t>UNITED HLTH SVC HOSP</t>
  </si>
  <si>
    <t>FREEMAN DENISE DR.</t>
  </si>
  <si>
    <t>E0113455</t>
  </si>
  <si>
    <t>FREEMAN DENISE ANN DO</t>
  </si>
  <si>
    <t>FREEMAN DENISE ANN</t>
  </si>
  <si>
    <t>DELAWARE VLY FAM HC</t>
  </si>
  <si>
    <t>ALI NADIFA DR.</t>
  </si>
  <si>
    <t>E0121316</t>
  </si>
  <si>
    <t>ALI NADIFA ABDI MD</t>
  </si>
  <si>
    <t>432 MAIN ST</t>
  </si>
  <si>
    <t>MAGAI COLLEEN MS.</t>
  </si>
  <si>
    <t>E0025861</t>
  </si>
  <si>
    <t>MAGAI COLLEEN S RPA</t>
  </si>
  <si>
    <t>28650 STATE HIGHWAY 23</t>
  </si>
  <si>
    <t>MILLER ALAN</t>
  </si>
  <si>
    <t>E0216097</t>
  </si>
  <si>
    <t>MILLER ALAN V MD</t>
  </si>
  <si>
    <t>BARBIS ANDREA</t>
  </si>
  <si>
    <t>E0024936</t>
  </si>
  <si>
    <t>BARBIS ANDREA MARI LCSW</t>
  </si>
  <si>
    <t>13 AYRES ST</t>
  </si>
  <si>
    <t>GIORDANO ELYSE</t>
  </si>
  <si>
    <t>E0316641</t>
  </si>
  <si>
    <t>GIORDANO ELYSE MARIE</t>
  </si>
  <si>
    <t>ROMANIAK ELYSE</t>
  </si>
  <si>
    <t>ROMANIAK ELYSE MARIE</t>
  </si>
  <si>
    <t>KASSIS ISKANDAR</t>
  </si>
  <si>
    <t>E0215775</t>
  </si>
  <si>
    <t>KASSIS ISKANDAR ILVAS      MD</t>
  </si>
  <si>
    <t>CROSBY JAMES</t>
  </si>
  <si>
    <t>E0166578</t>
  </si>
  <si>
    <t>CROSBY JAMES THEO MD</t>
  </si>
  <si>
    <t>CREGAN KATHLEEN</t>
  </si>
  <si>
    <t>E0297930</t>
  </si>
  <si>
    <t>CREGAN KATHLEEN ANN</t>
  </si>
  <si>
    <t>GLOSENGER MARK</t>
  </si>
  <si>
    <t>E0224227</t>
  </si>
  <si>
    <t>GLOSENGER MARK E           MD</t>
  </si>
  <si>
    <t>1285 TRUMANSBURG RD</t>
  </si>
  <si>
    <t>GUIZANO MELISSA</t>
  </si>
  <si>
    <t>E0101833</t>
  </si>
  <si>
    <t>GUIZANO MELISSA TAMONDONG MD</t>
  </si>
  <si>
    <t>BINGHAMTON FAMILY</t>
  </si>
  <si>
    <t>Robert Domke</t>
  </si>
  <si>
    <t>E0113005</t>
  </si>
  <si>
    <t>DOMKE ROBERT M MD</t>
  </si>
  <si>
    <t>rdomke@cayugamed.org</t>
  </si>
  <si>
    <t>DOMKE ROBERT</t>
  </si>
  <si>
    <t>Kim Hwang</t>
  </si>
  <si>
    <t>E0140636</t>
  </si>
  <si>
    <t>HWANG KIM S MD</t>
  </si>
  <si>
    <t>khwang@cayugamed.org</t>
  </si>
  <si>
    <t>HWANG KIM</t>
  </si>
  <si>
    <t>BUFFALO GEN X-RAY</t>
  </si>
  <si>
    <t>Delaware Valley Hospital, Inc.</t>
  </si>
  <si>
    <t>E0264409</t>
  </si>
  <si>
    <t>DELAWARE VALLEY HOSPITAL  INC</t>
  </si>
  <si>
    <t>Paul Summers</t>
  </si>
  <si>
    <t>(607) 865-2160</t>
  </si>
  <si>
    <t>paul_summers@uhs.org</t>
  </si>
  <si>
    <t>All Other:: Clinic:: Hospital:: Substance Abuse</t>
  </si>
  <si>
    <t>DELAWARE VALLEY HOSPITAL, INC</t>
  </si>
  <si>
    <t>1 TITUS PL</t>
  </si>
  <si>
    <t>Greater Binghamton Health Center</t>
  </si>
  <si>
    <t>E0251919</t>
  </si>
  <si>
    <t>BINGHAMTON                 PC</t>
  </si>
  <si>
    <t>Mark Stephany</t>
  </si>
  <si>
    <t>(607) 773-4082</t>
  </si>
  <si>
    <t>mark.stephany@omh.ny.gov</t>
  </si>
  <si>
    <t>NYS OFFICE OF MENTAL HEALTH</t>
  </si>
  <si>
    <t>ON GROUNDS</t>
  </si>
  <si>
    <t>James G. Johnston Memorial Nursing Home</t>
  </si>
  <si>
    <t>E0213312</t>
  </si>
  <si>
    <t>JAMES G JOHNSTON MEM SNF</t>
  </si>
  <si>
    <t>UMH JGJ CORP</t>
  </si>
  <si>
    <t>JAMES G JOHNSTON MEMORIAL NH</t>
  </si>
  <si>
    <t>285 DEYO HILL RD</t>
  </si>
  <si>
    <t>Walter Margie III</t>
  </si>
  <si>
    <t>E0182627</t>
  </si>
  <si>
    <t>MARGIE III WALTER E MD</t>
  </si>
  <si>
    <t>ned.margie@gmail.com</t>
  </si>
  <si>
    <t>MARGIE WALTER DR.</t>
  </si>
  <si>
    <t>16 BRENTWOOD DRIVE</t>
  </si>
  <si>
    <t>John-Paul Mead</t>
  </si>
  <si>
    <t>E0083910</t>
  </si>
  <si>
    <t>MEAD JOHN-PAUL D MD</t>
  </si>
  <si>
    <t>jpmead@cayugamedicalassociates.org</t>
  </si>
  <si>
    <t>MEAD JOHN-PAUL DR.</t>
  </si>
  <si>
    <t>CAYUGA MED CTR</t>
  </si>
  <si>
    <t>Serena Yoon</t>
  </si>
  <si>
    <t>E0133697</t>
  </si>
  <si>
    <t>YOON SERENE HANEE MD</t>
  </si>
  <si>
    <t>syoon@cayugamed.org</t>
  </si>
  <si>
    <t>YOON SERENA DR.</t>
  </si>
  <si>
    <t>YOON SERENA HANEE MD</t>
  </si>
  <si>
    <t>8 BRENTWOOD DR STE B</t>
  </si>
  <si>
    <t>Malcolm Brand</t>
  </si>
  <si>
    <t>E0085354</t>
  </si>
  <si>
    <t>BRAND MALCOLM DOUGLAS MD</t>
  </si>
  <si>
    <t>Cher Zmitrowitz</t>
  </si>
  <si>
    <t>(607) 272-0460</t>
  </si>
  <si>
    <t>mbrand@cayugamed.org</t>
  </si>
  <si>
    <t>BRAND MALCOLM</t>
  </si>
  <si>
    <t>STE 102</t>
  </si>
  <si>
    <t>Gerald Gacioch</t>
  </si>
  <si>
    <t>E0180131</t>
  </si>
  <si>
    <t>GACIOCH GERALD MATTHEW  MD</t>
  </si>
  <si>
    <t>gerald.gacioch@rochestergeneral.org</t>
  </si>
  <si>
    <t>GACIOCH GERALD DR.</t>
  </si>
  <si>
    <t>1445 PORTLAND AVE STE 104</t>
  </si>
  <si>
    <t>Ling Ong</t>
  </si>
  <si>
    <t>E0250943</t>
  </si>
  <si>
    <t>ONG LING S                 MD</t>
  </si>
  <si>
    <t>lingong42@gmail.com; Pam.Buonaccorso@rochestergene</t>
  </si>
  <si>
    <t>ONG LING</t>
  </si>
  <si>
    <t>ONG LING SWIE</t>
  </si>
  <si>
    <t>LING S ONG MD</t>
  </si>
  <si>
    <t>Amit Singh</t>
  </si>
  <si>
    <t>E0104279</t>
  </si>
  <si>
    <t>SINGH AMIT KUMAR</t>
  </si>
  <si>
    <t>asingh@cayugamed.org</t>
  </si>
  <si>
    <t>SINGH AMIT</t>
  </si>
  <si>
    <t>Paul Stefek</t>
  </si>
  <si>
    <t>E0309936</t>
  </si>
  <si>
    <t>STEFEK PAUL</t>
  </si>
  <si>
    <t>cxcskier@aol.com</t>
  </si>
  <si>
    <t>2432 N TRIPHAMMER RD</t>
  </si>
  <si>
    <t>Michael Eisman</t>
  </si>
  <si>
    <t>E0259680</t>
  </si>
  <si>
    <t>EISMAN MICHAEL H MD</t>
  </si>
  <si>
    <t>eismanm@schuylerhospital.org</t>
  </si>
  <si>
    <t>EISMAN MICHAEL DR.</t>
  </si>
  <si>
    <t>COUNTY RD 16</t>
  </si>
  <si>
    <t>Ashraf Sabahat</t>
  </si>
  <si>
    <t>E0066287</t>
  </si>
  <si>
    <t>SABAHAT ASHRAF MD</t>
  </si>
  <si>
    <t>sabahata@schuylerhospital.org</t>
  </si>
  <si>
    <t>SABAHAT ASHRAF</t>
  </si>
  <si>
    <t>Benjamin Saks</t>
  </si>
  <si>
    <t>E0321212</t>
  </si>
  <si>
    <t>SAKS BENJAMIN JOSEPH</t>
  </si>
  <si>
    <t>saksb@schuylerhospital.org</t>
  </si>
  <si>
    <t>SAKS BENJAMIN</t>
  </si>
  <si>
    <t>M.F.P.C.C. 230 STEUBEN STREET</t>
  </si>
  <si>
    <t>Jagmohan Singh</t>
  </si>
  <si>
    <t>E0160945</t>
  </si>
  <si>
    <t>SINGH JAGMOHAN MD</t>
  </si>
  <si>
    <t>singhj@schuylerhospital.org</t>
  </si>
  <si>
    <t>SINGH JAGMOHAN</t>
  </si>
  <si>
    <t>500 OHIO ST</t>
  </si>
  <si>
    <t>MEDINA</t>
  </si>
  <si>
    <t>Sarra Solomon</t>
  </si>
  <si>
    <t>E0059354</t>
  </si>
  <si>
    <t>SOLOMON SARRA GWYN MD</t>
  </si>
  <si>
    <t>solomons@schuylerhospital.org</t>
  </si>
  <si>
    <t>SOLOMON SARRA DR.</t>
  </si>
  <si>
    <t>GUTHRIE CL LTD</t>
  </si>
  <si>
    <t>Stephen Spaulding</t>
  </si>
  <si>
    <t>E0165990</t>
  </si>
  <si>
    <t>SPAULDING STEPHEN ARTHUR MD</t>
  </si>
  <si>
    <t>spauldings@schuylerhospital.org</t>
  </si>
  <si>
    <t>SPAULDING STEPHEN DR.</t>
  </si>
  <si>
    <t>116 N CATHERINE ST</t>
  </si>
  <si>
    <t>Vallerie Franzese-Lynch</t>
  </si>
  <si>
    <t>E0049156</t>
  </si>
  <si>
    <t>FRANZESE-LYNCH VALLERIE</t>
  </si>
  <si>
    <t>lynchv@schuylerhospital.org</t>
  </si>
  <si>
    <t>Michael Makayan</t>
  </si>
  <si>
    <t>E0013375</t>
  </si>
  <si>
    <t>MAKAYAN MICHAEL ACESOR MD</t>
  </si>
  <si>
    <t>MAKAYAN MICHAEL DR.</t>
  </si>
  <si>
    <t>Jose Antonio Matibag</t>
  </si>
  <si>
    <t>E0289751</t>
  </si>
  <si>
    <t>MATIBAG JOSE ANTONIO MD</t>
  </si>
  <si>
    <t>MATIBAG JOSE ANTONIO</t>
  </si>
  <si>
    <t>Marc Settineri</t>
  </si>
  <si>
    <t>E0133007</t>
  </si>
  <si>
    <t>SETTINERI MARC HENRI MD</t>
  </si>
  <si>
    <t>SETTINERI MARC DR.</t>
  </si>
  <si>
    <t>Mohammad Djafari</t>
  </si>
  <si>
    <t>E0110971</t>
  </si>
  <si>
    <t>DJAFARI MOHAMMAD</t>
  </si>
  <si>
    <t>Jessica Delia</t>
  </si>
  <si>
    <t>(607) 756-3051</t>
  </si>
  <si>
    <t>jdelia7@verizon.net</t>
  </si>
  <si>
    <t>DJAFARI MOHAMMAD DR.</t>
  </si>
  <si>
    <t>6 EUCLID AVE</t>
  </si>
  <si>
    <t>Our Lady of Lourdes Memorial Hospital, Inc. (Provider Network)</t>
  </si>
  <si>
    <t>Lisa Harris, M.D.</t>
  </si>
  <si>
    <t>(607) 798-5643</t>
  </si>
  <si>
    <t>lisa.harris@lourdes.com</t>
  </si>
  <si>
    <t>OUR LADY OF LOURDES MEMORIAL HOSPITAL INC.</t>
  </si>
  <si>
    <t>Delaware County Public Health Services</t>
  </si>
  <si>
    <t>E0252198</t>
  </si>
  <si>
    <t>DELAWARE CTY PUBLIC HLTH NURS</t>
  </si>
  <si>
    <t>Bonnie Hamilton</t>
  </si>
  <si>
    <t>(607) 832-5200</t>
  </si>
  <si>
    <t>bonnie.hamilton@co.delaware.ny.us</t>
  </si>
  <si>
    <t>DELAWARE COUNTY PUBLIC HEALTH SERVICES</t>
  </si>
  <si>
    <t>99 MAIN ST</t>
  </si>
  <si>
    <t>Southern Tier AIDS Program/Southern Tier Care Coordination</t>
  </si>
  <si>
    <t>E0131906</t>
  </si>
  <si>
    <t>SOUTHERN TIER AIDS PROGRAM AI</t>
  </si>
  <si>
    <t>John Barry</t>
  </si>
  <si>
    <t>(607) 798-1706</t>
  </si>
  <si>
    <t>jbarry@stcares.org</t>
  </si>
  <si>
    <t>SOUTHERN TIER AIDS PROGRAM, INC.</t>
  </si>
  <si>
    <t>22 RIVERSIDE DR</t>
  </si>
  <si>
    <t>United Medical Associates, P.C. (Provider Network)</t>
  </si>
  <si>
    <t>Alan Miller, MD</t>
  </si>
  <si>
    <t>(607) 763-8383</t>
  </si>
  <si>
    <t>alan_miller@uhs.org</t>
  </si>
  <si>
    <t>Professional Home Care</t>
  </si>
  <si>
    <t>E0123827</t>
  </si>
  <si>
    <t>PROFESSIONAL HOME CARE INC</t>
  </si>
  <si>
    <t>All Other:: Pharmacy</t>
  </si>
  <si>
    <t>PHARMACY</t>
  </si>
  <si>
    <t>Judy Andrews, RPA-C</t>
  </si>
  <si>
    <t>E0014383</t>
  </si>
  <si>
    <t>ANDREWS JUDY A RPA</t>
  </si>
  <si>
    <t>(607) 648-4151</t>
  </si>
  <si>
    <t>Judy_Andrews@uhs.org</t>
  </si>
  <si>
    <t>ANDREWS JUDY MS.</t>
  </si>
  <si>
    <t>502 5TH AVE</t>
  </si>
  <si>
    <t>Jonathan Brooks, PA</t>
  </si>
  <si>
    <t>E0326412</t>
  </si>
  <si>
    <t>JONATHAN DAVID BROOKS</t>
  </si>
  <si>
    <t>Jonathan_Brooks@uhs.org</t>
  </si>
  <si>
    <t>BROOKS JONATHAN</t>
  </si>
  <si>
    <t>BROOKS JONATHAN DAVID</t>
  </si>
  <si>
    <t>Giuliana Gallagher, PA</t>
  </si>
  <si>
    <t>E0333624</t>
  </si>
  <si>
    <t>GIULIANA LOO GALLAGHER</t>
  </si>
  <si>
    <t>Giuliana_Gallagher@uhs.org</t>
  </si>
  <si>
    <t>GALLAGHER GIULIANA</t>
  </si>
  <si>
    <t>GALLAGHER GIULIANA LOO</t>
  </si>
  <si>
    <t>Maegan Lockett, NP</t>
  </si>
  <si>
    <t>E0365139</t>
  </si>
  <si>
    <t>LOCKETT MAEGAN M</t>
  </si>
  <si>
    <t>Maegan_Lockett@uhs.org</t>
  </si>
  <si>
    <t>LOCKETT MAEGAN</t>
  </si>
  <si>
    <t>Donald W. Nash, M.D.</t>
  </si>
  <si>
    <t>E0203126</t>
  </si>
  <si>
    <t>LOFASO PETER JOSEPH MD     JR</t>
  </si>
  <si>
    <t>Donald_Nash@uhs.org</t>
  </si>
  <si>
    <t>LOFASO PETER</t>
  </si>
  <si>
    <t>LOFASO PETER JOSEPH JR MD</t>
  </si>
  <si>
    <t>Jackie Ponticiello, NP</t>
  </si>
  <si>
    <t>E0309023</t>
  </si>
  <si>
    <t>PONTICIELLO JACQUELINE ANN</t>
  </si>
  <si>
    <t>Jacqueline_Ponticiello@uhs.org</t>
  </si>
  <si>
    <t>PONTICIELLO JACQUELINE</t>
  </si>
  <si>
    <t>Brent Lemberg</t>
  </si>
  <si>
    <t>E0025714</t>
  </si>
  <si>
    <t>LEMBERG BRENT DAVIS  MD</t>
  </si>
  <si>
    <t>blemberg1@juno.com</t>
  </si>
  <si>
    <t>LEMBERG BRENT</t>
  </si>
  <si>
    <t>201 DATES DR STE 308</t>
  </si>
  <si>
    <t>Katherine Holmes</t>
  </si>
  <si>
    <t>E0324026</t>
  </si>
  <si>
    <t>HOLMES KATHERINE M MD</t>
  </si>
  <si>
    <t>dr.Katieholmes@gmail.com</t>
  </si>
  <si>
    <t>HOLMES KATHERINE</t>
  </si>
  <si>
    <t>Maura McCauley</t>
  </si>
  <si>
    <t>E0110432</t>
  </si>
  <si>
    <t>MCCAULEY MAURA C MD</t>
  </si>
  <si>
    <t>moputer@aol.com</t>
  </si>
  <si>
    <t>MCCAULEY MAURA</t>
  </si>
  <si>
    <t>1160 CORPORATE DR</t>
  </si>
  <si>
    <t>FARMINGTON</t>
  </si>
  <si>
    <t>Manoj Kumar</t>
  </si>
  <si>
    <t>E0019534</t>
  </si>
  <si>
    <t>KUMAR MANOJ KOYAMPARAMBATH MD</t>
  </si>
  <si>
    <t>Stacie McMullin</t>
  </si>
  <si>
    <t>(607) 756-6560</t>
  </si>
  <si>
    <t>smcmullin@cortlandend.com</t>
  </si>
  <si>
    <t>KUMAR MANOJ</t>
  </si>
  <si>
    <t>KUMAR MANOJ KOYAMPARAMBATH</t>
  </si>
  <si>
    <t>64 POMEROY ST</t>
  </si>
  <si>
    <t>Charlotte Hawkins MD</t>
  </si>
  <si>
    <t>E0166092</t>
  </si>
  <si>
    <t>CHARLOTTE HAWKINS MD</t>
  </si>
  <si>
    <t>Charlotte Hawkins</t>
  </si>
  <si>
    <t>(607) 753-9977</t>
  </si>
  <si>
    <t>chawkinsmd@hotmail.com</t>
  </si>
  <si>
    <t>DR. CHARLOTTE HAWKINS</t>
  </si>
  <si>
    <t>4077 WEST RD</t>
  </si>
  <si>
    <t>E0221383</t>
  </si>
  <si>
    <t>HAWKINS CHARLOTTE ANNETTE  MD</t>
  </si>
  <si>
    <t>HAWKINS CHARLOTTE DR.</t>
  </si>
  <si>
    <t>Rosemarie Hurley</t>
  </si>
  <si>
    <t>E0210566</t>
  </si>
  <si>
    <t>HURLEY ROSEMARIE           MD</t>
  </si>
  <si>
    <t>HURLEY ROSEMARIE</t>
  </si>
  <si>
    <t>CTLD MEMORIAL HOSPIT</t>
  </si>
  <si>
    <t>Margaret Downing</t>
  </si>
  <si>
    <t>E0172780</t>
  </si>
  <si>
    <t>DOWNING MARGARET APELLANIZ</t>
  </si>
  <si>
    <t>DOWNING MARGARET</t>
  </si>
  <si>
    <t>135 N MAIN ST</t>
  </si>
  <si>
    <t>Jenniferleigh Clune</t>
  </si>
  <si>
    <t>E0295598</t>
  </si>
  <si>
    <t>CLUNE JENNIFERLEIGH VONDERHORST</t>
  </si>
  <si>
    <t>CLUNE JENNIFERLEIGH MRS.</t>
  </si>
  <si>
    <t>924 JEFFERSON AVE</t>
  </si>
  <si>
    <t>Donna Devine</t>
  </si>
  <si>
    <t>E0386405</t>
  </si>
  <si>
    <t>DEVINE DONNA</t>
  </si>
  <si>
    <t>DEVINE DONNA MS.</t>
  </si>
  <si>
    <t>DEVINE DONNA REBECCA</t>
  </si>
  <si>
    <t>5100 W TAFT RD</t>
  </si>
  <si>
    <t>Schuyler Hospital Physician Group</t>
  </si>
  <si>
    <t>E0319815</t>
  </si>
  <si>
    <t>SCHUYLER HOSPITAL INC</t>
  </si>
  <si>
    <t>Amy Castle</t>
  </si>
  <si>
    <t>castlea@schuylerhospital.org</t>
  </si>
  <si>
    <t>230 STEUBEN ST</t>
  </si>
  <si>
    <t>Kristina Cummings</t>
  </si>
  <si>
    <t>E0288299</t>
  </si>
  <si>
    <t>CUMMINGS KRISTINA MAE MD</t>
  </si>
  <si>
    <t>cummingsk@schuylerhospital.org</t>
  </si>
  <si>
    <t>CUMMINGS KRISTINA</t>
  </si>
  <si>
    <t>CUMMINGS KRISTINA MAE</t>
  </si>
  <si>
    <t>Cathy Zarzecki</t>
  </si>
  <si>
    <t>E0105567</t>
  </si>
  <si>
    <t>ZARZECKI CATHY</t>
  </si>
  <si>
    <t>Connie VanGorder</t>
  </si>
  <si>
    <t>(607) 753-3774</t>
  </si>
  <si>
    <t>cvango15@yahoo.com</t>
  </si>
  <si>
    <t>29 ALVENA AVE</t>
  </si>
  <si>
    <t>Suzanne Anderson</t>
  </si>
  <si>
    <t>E0208033</t>
  </si>
  <si>
    <t>ANDERSON SUZANNE KOCHWESER MD</t>
  </si>
  <si>
    <t>skwa54@gmail.com</t>
  </si>
  <si>
    <t>ANDERSON SUZANNE</t>
  </si>
  <si>
    <t>TRUMANSBURG FHC</t>
  </si>
  <si>
    <t>Michelle Blegen</t>
  </si>
  <si>
    <t>E0083665</t>
  </si>
  <si>
    <t>BLEGEN MICHELLE P MD</t>
  </si>
  <si>
    <t>docbleg@twcny.rr.com</t>
  </si>
  <si>
    <t>BLEGEN MICHELLE</t>
  </si>
  <si>
    <t>Maysoon Naman, M.D.</t>
  </si>
  <si>
    <t>E0158869</t>
  </si>
  <si>
    <t>NAMAN MAYSOON A MD</t>
  </si>
  <si>
    <t>Maysoon_Naman@uhs.org</t>
  </si>
  <si>
    <t>NAMAN MAYSOON</t>
  </si>
  <si>
    <t>BINGHAMTON GEN HSP</t>
  </si>
  <si>
    <t>James Coleman</t>
  </si>
  <si>
    <t>E0042962</t>
  </si>
  <si>
    <t>COLEMAN JAMES PATRICK MD</t>
  </si>
  <si>
    <t>colemanj@schuylerhospital.org</t>
  </si>
  <si>
    <t>COLEMAN JAMES</t>
  </si>
  <si>
    <t>Broome County Health Department</t>
  </si>
  <si>
    <t>E0252064</t>
  </si>
  <si>
    <t>BROOME CNTY HEALTH DEPT</t>
  </si>
  <si>
    <t>Rebecca Kaufman</t>
  </si>
  <si>
    <t>(607) 778-2802</t>
  </si>
  <si>
    <t>rkaufman2@co.broome.ny.us</t>
  </si>
  <si>
    <t>225 FRONT ST</t>
  </si>
  <si>
    <t>UMH ECM Corp</t>
  </si>
  <si>
    <t>E0257031</t>
  </si>
  <si>
    <t>ELIZABETH CHURCH MANOR NH INC</t>
  </si>
  <si>
    <t>Victoria Morabito</t>
  </si>
  <si>
    <t>(607) 722-3463</t>
  </si>
  <si>
    <t>vmorabito@umhwc.org</t>
  </si>
  <si>
    <t>UMH ECM CORP</t>
  </si>
  <si>
    <t>ELIZABETH CHURCH MANOR NH</t>
  </si>
  <si>
    <t>863 UPPER FRONT ST</t>
  </si>
  <si>
    <t>Rural Health Network of South Central New York, Inc.</t>
  </si>
  <si>
    <t>John C. Salo</t>
  </si>
  <si>
    <t>(607) 692-7669</t>
  </si>
  <si>
    <t>jsalo@rhnscny.org</t>
  </si>
  <si>
    <t>P.O. Box 416, 2663 Main Street</t>
  </si>
  <si>
    <t>Whitney Point</t>
  </si>
  <si>
    <t>Dr. Garabed A. Fattal Community Free Clinic</t>
  </si>
  <si>
    <t>Lenore L. Boris, JD, MS</t>
  </si>
  <si>
    <t>(607) 772-3516</t>
  </si>
  <si>
    <t>borisl@upstate.edu</t>
  </si>
  <si>
    <t>425 Robinson Street</t>
  </si>
  <si>
    <t>MCNERNEY CATHERINE</t>
  </si>
  <si>
    <t>E0315870</t>
  </si>
  <si>
    <t>6700 KIRKVILLE RD STE C-202</t>
  </si>
  <si>
    <t>BHANDARI JACQUELINE DR.</t>
  </si>
  <si>
    <t>E0285037</t>
  </si>
  <si>
    <t>BHANDARI JACQUELINE</t>
  </si>
  <si>
    <t>BHANDARI JACQUELINE EILEEN JULIUS</t>
  </si>
  <si>
    <t>184 BARTON ST</t>
  </si>
  <si>
    <t>BROZOVIC BARBARA</t>
  </si>
  <si>
    <t>E0067467</t>
  </si>
  <si>
    <t>BROZOVIC BARBARA H</t>
  </si>
  <si>
    <t>159 FRONT ST</t>
  </si>
  <si>
    <t>DOWNTON PAUL</t>
  </si>
  <si>
    <t>E0372873</t>
  </si>
  <si>
    <t>DOWNTON PAUL W</t>
  </si>
  <si>
    <t>PISANI JOSEPH</t>
  </si>
  <si>
    <t>E0293566</t>
  </si>
  <si>
    <t>JOSEPH PISANI</t>
  </si>
  <si>
    <t>44 PEARL STREET</t>
  </si>
  <si>
    <t>ALKHOURI HANI</t>
  </si>
  <si>
    <t>E0111948</t>
  </si>
  <si>
    <t>ALKHOURI HANI MD</t>
  </si>
  <si>
    <t>CORNWALL CLAUDE</t>
  </si>
  <si>
    <t>E0106400</t>
  </si>
  <si>
    <t>KIM JIN</t>
  </si>
  <si>
    <t>E0184815</t>
  </si>
  <si>
    <t>KIM JIN BAI MD</t>
  </si>
  <si>
    <t>STE 108</t>
  </si>
  <si>
    <t>KOMATINSKY PAUL MR.</t>
  </si>
  <si>
    <t>E0068647</t>
  </si>
  <si>
    <t>KOMATINSKY PAUL J</t>
  </si>
  <si>
    <t>United Way of Broome County, Inc.</t>
  </si>
  <si>
    <t>P.O. Box 550</t>
  </si>
  <si>
    <t>Phoenix Houses of New York, Inc.</t>
  </si>
  <si>
    <t>E0000033</t>
  </si>
  <si>
    <t>PHOENIX HOUSES OF NEW YORK INC</t>
  </si>
  <si>
    <t>Peter Scaminaci</t>
  </si>
  <si>
    <t>(718) 222-6660</t>
  </si>
  <si>
    <t>pscaminaci@phoenixhouse.org</t>
  </si>
  <si>
    <t>PHOENIX HOUSES OF NEW YORK, INC.</t>
  </si>
  <si>
    <t>PHOENIX HOUSES OF NEW YORK</t>
  </si>
  <si>
    <t>3151 STONY STREET</t>
  </si>
  <si>
    <t>SHRUB OAK</t>
  </si>
  <si>
    <t>Geroulds Professional Pharmacy, Inc./Gerould's Healthcare Center</t>
  </si>
  <si>
    <t>Cheryl Henninger</t>
  </si>
  <si>
    <t>(570) 637-2312</t>
  </si>
  <si>
    <t>cherylh@geroulds.com</t>
  </si>
  <si>
    <t>GEROULD'S PROFESSIONAL PHARMACY INC.</t>
  </si>
  <si>
    <t>200 S MAIN ST</t>
  </si>
  <si>
    <t>Gerould's Professional Pharmacy, Inc.</t>
  </si>
  <si>
    <t>E0263347</t>
  </si>
  <si>
    <t>GEROULD S PROFESSIONAL PHCY</t>
  </si>
  <si>
    <t>130 S MAIN ST</t>
  </si>
  <si>
    <t>E0262757</t>
  </si>
  <si>
    <t>GEROULDS PROF PHARM INC</t>
  </si>
  <si>
    <t>215 HOFFMAN ST</t>
  </si>
  <si>
    <t>E0198888</t>
  </si>
  <si>
    <t>GEROULDS PROF PHARM       INC</t>
  </si>
  <si>
    <t>2887 WESTINGHOUSE RD</t>
  </si>
  <si>
    <t>E0052904</t>
  </si>
  <si>
    <t>GEROULDS PROF PHARAMCY INC</t>
  </si>
  <si>
    <t>GEROULDS PROFESSIONAL PHARMACY INC</t>
  </si>
  <si>
    <t>98 W PULTENEY ST</t>
  </si>
  <si>
    <t>The Institute for Human Services, Inc.</t>
  </si>
  <si>
    <t>E0392403</t>
  </si>
  <si>
    <t>THE INSTITUTE FOR HUMAN SERVICES IN</t>
  </si>
  <si>
    <t>Patrick J. Rogers</t>
  </si>
  <si>
    <t>(607) 776-9467</t>
  </si>
  <si>
    <t>rogersp@ihsnet.org</t>
  </si>
  <si>
    <t>50 LIBERTY ST</t>
  </si>
  <si>
    <t>TRANSPORTATION</t>
  </si>
  <si>
    <t>Chenango Co. CSB for MH - Mental Health</t>
  </si>
  <si>
    <t>E0241553</t>
  </si>
  <si>
    <t>CHENANGO CTY COMMUNITY SV BRD</t>
  </si>
  <si>
    <t>Ruth Roberts</t>
  </si>
  <si>
    <t>(607) 337-1604</t>
  </si>
  <si>
    <t>ruthr@co.chenango.ny.us</t>
  </si>
  <si>
    <t>COUNTY OF CHENANGO</t>
  </si>
  <si>
    <t>HARRY SULLIVAN CL</t>
  </si>
  <si>
    <t>Chenango Co. CSB for MH - Alcohol &amp; Drug Abuse</t>
  </si>
  <si>
    <t>Schuyler County Chapter, NYSARC Inc.</t>
  </si>
  <si>
    <t>E0219924</t>
  </si>
  <si>
    <t>SCHUYLER CNTY NYS ARC CEDAR I</t>
  </si>
  <si>
    <t>Jeannette Frank</t>
  </si>
  <si>
    <t>(607) 535-6934</t>
  </si>
  <si>
    <t>JFrank@arcofschuyler.org</t>
  </si>
  <si>
    <t>SCHUYLER COUNTY CHAPTER, NYSARC, INC.</t>
  </si>
  <si>
    <t>SCHUYLER COUNTY NYS ARC CEDAR</t>
  </si>
  <si>
    <t>CEDAR STREET ICF</t>
  </si>
  <si>
    <t>E0208756</t>
  </si>
  <si>
    <t>SCHUYLER COUNTY CHAPT NYS ARC</t>
  </si>
  <si>
    <t>203 12TH ST # 205</t>
  </si>
  <si>
    <t>Broome County Health Department Early Intervention Program</t>
  </si>
  <si>
    <t>E0252066</t>
  </si>
  <si>
    <t>BROOME COUNTY DEPT OF HLTH</t>
  </si>
  <si>
    <t>BROOME COUNTY HEALTH DEPARTMENT-EI</t>
  </si>
  <si>
    <t>CLOSED EFF 100899</t>
  </si>
  <si>
    <t>Broome County Health Department Licensed Home Care Service Agency</t>
  </si>
  <si>
    <t>BROOME COUNTY HEALTH DEPT</t>
  </si>
  <si>
    <t>E0156935</t>
  </si>
  <si>
    <t>BROOME CO HLTH DEPT PSSHSP</t>
  </si>
  <si>
    <t>(607) 778-2803</t>
  </si>
  <si>
    <t>BROOME COUNTY HEALTH DEPARTMENT-PRESCHOOL</t>
  </si>
  <si>
    <t>Hospice of Chenango County, Inc.</t>
  </si>
  <si>
    <t>E0173066</t>
  </si>
  <si>
    <t>HOSPICE OF CHENANGO CTY INC</t>
  </si>
  <si>
    <t>Patricia Outhouse</t>
  </si>
  <si>
    <t>(607) 334-3556</t>
  </si>
  <si>
    <t>pouthouse@hospicechenango.org</t>
  </si>
  <si>
    <t>HOSPICE OF CHENANGO COUNTY, INC.</t>
  </si>
  <si>
    <t>HOSPICE PALLIATIVE CARE/CHENANGO</t>
  </si>
  <si>
    <t>21 HAYES ST</t>
  </si>
  <si>
    <t>ATTIA MAXIMOS NABIL YOUSSEF</t>
  </si>
  <si>
    <t>E0338604</t>
  </si>
  <si>
    <t>ATTIA MAXIMOS DR.</t>
  </si>
  <si>
    <t>BISTA SUKIRTI</t>
  </si>
  <si>
    <t>E0336111</t>
  </si>
  <si>
    <t>7 COLONIAL DRIVE</t>
  </si>
  <si>
    <t>BLOOD JOSEPH BELTEN MD     JR</t>
  </si>
  <si>
    <t>E0262637</t>
  </si>
  <si>
    <t>BLOOD JOSEPH DR.</t>
  </si>
  <si>
    <t>BROWN DERYCK WINSTON MD</t>
  </si>
  <si>
    <t>E0113964</t>
  </si>
  <si>
    <t>BROWN DERYCK W S MD</t>
  </si>
  <si>
    <t>BROWN DERYCK DR.</t>
  </si>
  <si>
    <t>PO BOX 417</t>
  </si>
  <si>
    <t>DUSHORE</t>
  </si>
  <si>
    <t>CARSKADDEN ERBA ELIZABETH</t>
  </si>
  <si>
    <t>E0353240</t>
  </si>
  <si>
    <t>CARSKADDEN ERBA DR.</t>
  </si>
  <si>
    <t>CETTON GREGORY MD</t>
  </si>
  <si>
    <t>E0091966</t>
  </si>
  <si>
    <t>CETTON GREGORY DR.</t>
  </si>
  <si>
    <t>CETTON GREGORY ALLEN</t>
  </si>
  <si>
    <t>GUTHRIE GRP PRAC LLC</t>
  </si>
  <si>
    <t>MANSFIELD</t>
  </si>
  <si>
    <t>CHAPMAN ALLA GRIGOREVNA MD</t>
  </si>
  <si>
    <t>E0042007</t>
  </si>
  <si>
    <t>CHAPMAN ALLA DR.</t>
  </si>
  <si>
    <t>CHOI SUSAN MD</t>
  </si>
  <si>
    <t>E0177691</t>
  </si>
  <si>
    <t>CHOI SUSAN DR.</t>
  </si>
  <si>
    <t>GUTHRIE MEDICAL GRP</t>
  </si>
  <si>
    <t>COREY MARK J MD</t>
  </si>
  <si>
    <t>E0107332</t>
  </si>
  <si>
    <t>COREY MARK DR.</t>
  </si>
  <si>
    <t>WELLSBORO</t>
  </si>
  <si>
    <t>CREPET RUTH  MD</t>
  </si>
  <si>
    <t>E0182555</t>
  </si>
  <si>
    <t>CREPET RUTH DR.</t>
  </si>
  <si>
    <t>DAS SUJATA</t>
  </si>
  <si>
    <t>E0361785</t>
  </si>
  <si>
    <t>DAS SUJATA DR.</t>
  </si>
  <si>
    <t>DOTY JOHN MD</t>
  </si>
  <si>
    <t>E0091027</t>
  </si>
  <si>
    <t>DOTY JOHN PATRICK</t>
  </si>
  <si>
    <t>DOTY JOHN DR.</t>
  </si>
  <si>
    <t>ELSISI AMR M MD</t>
  </si>
  <si>
    <t>E0065003</t>
  </si>
  <si>
    <t>ELSISI AMR DR.</t>
  </si>
  <si>
    <t>ENDERS GARY C MD</t>
  </si>
  <si>
    <t>E0222558</t>
  </si>
  <si>
    <t>ENDERS GARY</t>
  </si>
  <si>
    <t>ENDERS GARY CARL</t>
  </si>
  <si>
    <t>351 E 2ND ST</t>
  </si>
  <si>
    <t>ESTILL MATTHEW REILLY MD</t>
  </si>
  <si>
    <t>E0136363</t>
  </si>
  <si>
    <t>ESTILL MATTHEW DR.</t>
  </si>
  <si>
    <t>FUCITO CHRISTOPHER D DO</t>
  </si>
  <si>
    <t>E0009621</t>
  </si>
  <si>
    <t>FUCITO CHRISTOPHER DR.</t>
  </si>
  <si>
    <t>GALYANOVA VALENTINA</t>
  </si>
  <si>
    <t>E0103905</t>
  </si>
  <si>
    <t>GALYANOVA VALENTINA DR.</t>
  </si>
  <si>
    <t>GILLAN MICHAEL FREDRIC</t>
  </si>
  <si>
    <t>E0378870</t>
  </si>
  <si>
    <t>GILLAN MICHAEL</t>
  </si>
  <si>
    <t>GOOD VANCE ARIEL</t>
  </si>
  <si>
    <t>E0262735</t>
  </si>
  <si>
    <t>GOOD VANCE DR.</t>
  </si>
  <si>
    <t>GUSTAFSON THOMAS R  MD</t>
  </si>
  <si>
    <t>E0174328</t>
  </si>
  <si>
    <t>GUSTAFSON THOMAS DR.</t>
  </si>
  <si>
    <t>1336 CEDAR ST</t>
  </si>
  <si>
    <t>HALLINAN KATHLEEN ANN MD</t>
  </si>
  <si>
    <t>E0102374</t>
  </si>
  <si>
    <t>HALLINAN KATHLEEN</t>
  </si>
  <si>
    <t>176 DENISON PKWY E</t>
  </si>
  <si>
    <t>HARPST LISA LYNNELLE MD</t>
  </si>
  <si>
    <t>E0107717</t>
  </si>
  <si>
    <t>HARPST LISA DR.</t>
  </si>
  <si>
    <t>BERTINI MARIA DR.</t>
  </si>
  <si>
    <t>E0338647</t>
  </si>
  <si>
    <t>BERTINI MARIA T</t>
  </si>
  <si>
    <t>4417 VESTAL PKWY E</t>
  </si>
  <si>
    <t>MCNERNEY JAMES</t>
  </si>
  <si>
    <t>E0257706</t>
  </si>
  <si>
    <t>MC NERNEY JAMES EDWARD DPM</t>
  </si>
  <si>
    <t>65 PENNSYLVANIA AVE STE 200</t>
  </si>
  <si>
    <t>NICHOLS SHARI</t>
  </si>
  <si>
    <t>E0109860</t>
  </si>
  <si>
    <t>NICHOLS SHARI LOU  DPM</t>
  </si>
  <si>
    <t>CORRIGAN FRANK</t>
  </si>
  <si>
    <t>E0294335</t>
  </si>
  <si>
    <t>CORRIGAN FRANK JOHN</t>
  </si>
  <si>
    <t>33 MITCHELL AVE STE G50</t>
  </si>
  <si>
    <t>BRENNAN MARK</t>
  </si>
  <si>
    <t>E0091835</t>
  </si>
  <si>
    <t>BRENNAN MARK JOSEPH MD</t>
  </si>
  <si>
    <t>COLAS CRAIG DR.</t>
  </si>
  <si>
    <t>E0209013</t>
  </si>
  <si>
    <t>COLAS CRAIG STANLEY       DDS</t>
  </si>
  <si>
    <t>241 GLENWOOD ROAD</t>
  </si>
  <si>
    <t>DUNN JUNIUS JOSEPHINE</t>
  </si>
  <si>
    <t>E0332089</t>
  </si>
  <si>
    <t>DUNN JUNIUS JOSEPHINE MARTINA</t>
  </si>
  <si>
    <t>LODI YAHIA</t>
  </si>
  <si>
    <t>E0092030</t>
  </si>
  <si>
    <t>LODI YAHIA M MD</t>
  </si>
  <si>
    <t>CHUNG-HUSSAIN HELEN</t>
  </si>
  <si>
    <t>E0322541</t>
  </si>
  <si>
    <t>CHUNG-HUSSAIN HELEN K DO</t>
  </si>
  <si>
    <t>LAWRENCE CAMELIA DR.</t>
  </si>
  <si>
    <t>E0321489</t>
  </si>
  <si>
    <t>LAWRENCE CAMELIA ARLENE</t>
  </si>
  <si>
    <t>BORDENET SIMONE MISS</t>
  </si>
  <si>
    <t>E0327097</t>
  </si>
  <si>
    <t>BORDENET SIMONE</t>
  </si>
  <si>
    <t>FINKELSTEIN ARTHUR</t>
  </si>
  <si>
    <t>E0049783</t>
  </si>
  <si>
    <t>FINKELSTEIN ARTHUR J PT</t>
  </si>
  <si>
    <t>FINKELSTEIN ARTHUR J</t>
  </si>
  <si>
    <t>INCER MARIA DR.</t>
  </si>
  <si>
    <t>E0007244</t>
  </si>
  <si>
    <t>MARIA A INCER</t>
  </si>
  <si>
    <t>INCER-OBANDO MARIA DR.</t>
  </si>
  <si>
    <t>INCER MARIA A MD</t>
  </si>
  <si>
    <t>BURGER TAMARA</t>
  </si>
  <si>
    <t>E0061911</t>
  </si>
  <si>
    <t>BURGER TAMARA CNM</t>
  </si>
  <si>
    <t>PERINATAL CENTER</t>
  </si>
  <si>
    <t>LITTLE RYAN</t>
  </si>
  <si>
    <t>E0019665</t>
  </si>
  <si>
    <t>LITTLE RYAN DANIEL NP</t>
  </si>
  <si>
    <t>POWELL MARITA</t>
  </si>
  <si>
    <t>E0150591</t>
  </si>
  <si>
    <t>POWELL MARITA MD</t>
  </si>
  <si>
    <t>LOURDES FAM PRACT</t>
  </si>
  <si>
    <t>BURKE PATRICIA</t>
  </si>
  <si>
    <t>E0117681</t>
  </si>
  <si>
    <t>BURKE PATRICIA YVONNE MD</t>
  </si>
  <si>
    <t>COLE FRANK</t>
  </si>
  <si>
    <t>E0178870</t>
  </si>
  <si>
    <t>COLE FRANK C III  MD</t>
  </si>
  <si>
    <t>GUTHRIE MED GROUP</t>
  </si>
  <si>
    <t>BAHR JENNIFER</t>
  </si>
  <si>
    <t>E0332321</t>
  </si>
  <si>
    <t>JENNIFER LEE BAHR</t>
  </si>
  <si>
    <t>BAHR JENNIFER LEE</t>
  </si>
  <si>
    <t>FLORINI MARITA</t>
  </si>
  <si>
    <t>E0085389</t>
  </si>
  <si>
    <t>FLORINI MARITA A</t>
  </si>
  <si>
    <t>STE 355</t>
  </si>
  <si>
    <t>FACTOUROVICH ALEXANDER</t>
  </si>
  <si>
    <t>E0039994</t>
  </si>
  <si>
    <t>FACTOUROVICH ALEXANDER MD</t>
  </si>
  <si>
    <t>10 MITCHELL AVE # 24</t>
  </si>
  <si>
    <t>CONGDON STACY</t>
  </si>
  <si>
    <t>E0296069</t>
  </si>
  <si>
    <t>SMITH STACY L</t>
  </si>
  <si>
    <t>CONGDON STACY L</t>
  </si>
  <si>
    <t>HUSSAIN AHMED</t>
  </si>
  <si>
    <t>E0222211</t>
  </si>
  <si>
    <t>HUSSAIN AHMED              MD</t>
  </si>
  <si>
    <t>MORALES ROMEO</t>
  </si>
  <si>
    <t>E0071498</t>
  </si>
  <si>
    <t>MORALES ROMEO E MD</t>
  </si>
  <si>
    <t>BORRA MARY</t>
  </si>
  <si>
    <t>E0083696</t>
  </si>
  <si>
    <t>BORRA MARY ANN CNM</t>
  </si>
  <si>
    <t>LORD AMY</t>
  </si>
  <si>
    <t>E0119437</t>
  </si>
  <si>
    <t>LORD AMY ELIZABETH</t>
  </si>
  <si>
    <t>ENDICOTT MEDICENTER</t>
  </si>
  <si>
    <t>DONAHUE MINDI MS.</t>
  </si>
  <si>
    <t>E0288676</t>
  </si>
  <si>
    <t>GRAY MINDI ANNE</t>
  </si>
  <si>
    <t>DONAHUE MINDI ANNE RPA</t>
  </si>
  <si>
    <t>240 RIVERSIDE DR</t>
  </si>
  <si>
    <t>BARTON VICTORIA</t>
  </si>
  <si>
    <t>E0077261</t>
  </si>
  <si>
    <t>PARK SLOPE OB/GYN</t>
  </si>
  <si>
    <t>LUKOSE JOSEPH DR.</t>
  </si>
  <si>
    <t>E0249813</t>
  </si>
  <si>
    <t>LUKOSE JOSEPH M PC MD</t>
  </si>
  <si>
    <t>THE HOSPITAL</t>
  </si>
  <si>
    <t>MEDLAR CHARIESE</t>
  </si>
  <si>
    <t>E0016154</t>
  </si>
  <si>
    <t>FREYER CHARIESE ANN RPT</t>
  </si>
  <si>
    <t>MEDLAR CHARIESE ANN</t>
  </si>
  <si>
    <t>GATES-MABY TIFFANY</t>
  </si>
  <si>
    <t>E0299493</t>
  </si>
  <si>
    <t>TIFFANY J GATES-MABY</t>
  </si>
  <si>
    <t>GATES-MABY TIFFANY JILL</t>
  </si>
  <si>
    <t>53 PINE ST</t>
  </si>
  <si>
    <t>DEPOSIT</t>
  </si>
  <si>
    <t>HATALA PETER</t>
  </si>
  <si>
    <t>E0323192</t>
  </si>
  <si>
    <t>CRISPELL CAROLYN</t>
  </si>
  <si>
    <t>E0011542</t>
  </si>
  <si>
    <t>CRISPELL CAROLYN D.O.</t>
  </si>
  <si>
    <t>STULB JOHN</t>
  </si>
  <si>
    <t>E0370590</t>
  </si>
  <si>
    <t>STULB JOHN RIORDAN</t>
  </si>
  <si>
    <t>127 SEELEY RD</t>
  </si>
  <si>
    <t>E0177193</t>
  </si>
  <si>
    <t>SCHUYLER CNTY NYS ARC CANAL</t>
  </si>
  <si>
    <t>SCHUYLER COUNTY NYS ARC CANAL</t>
  </si>
  <si>
    <t>CANAL ST ICF</t>
  </si>
  <si>
    <t>E0099535</t>
  </si>
  <si>
    <t>OMRDD/SCHUYLER CO CHAP NYSARC</t>
  </si>
  <si>
    <t>SCHUYLER COUNTY CHAPTER NYSARC</t>
  </si>
  <si>
    <t>203 12TH ST</t>
  </si>
  <si>
    <t>E0090759</t>
  </si>
  <si>
    <t>SCHUYLER CO CHAP NYSARC HCBS2</t>
  </si>
  <si>
    <t>UUD3126</t>
  </si>
  <si>
    <t>E0083245</t>
  </si>
  <si>
    <t>SCHUYLER CO CHAP NYSARC SMP</t>
  </si>
  <si>
    <t>E0075190</t>
  </si>
  <si>
    <t>SCHUYLER CO CHAP NYSARC SPT</t>
  </si>
  <si>
    <t>SCHUYLER CO CHAP NYSARC INC</t>
  </si>
  <si>
    <t>E0075186</t>
  </si>
  <si>
    <t>SCHUYLER CO CHAP NYSARC  SPV</t>
  </si>
  <si>
    <t>E0040200</t>
  </si>
  <si>
    <t>SCHUYLER COUNTY NYSARC RSP</t>
  </si>
  <si>
    <t>E0029938</t>
  </si>
  <si>
    <t>SCHUYLER CO CHAP NYSARC DAY</t>
  </si>
  <si>
    <t>E0025799</t>
  </si>
  <si>
    <t>OMRDD/SCHUYLER CO MSC BROOME</t>
  </si>
  <si>
    <t>SCHUYLER CO NYSARC BROOME MSC</t>
  </si>
  <si>
    <t>E0345927</t>
  </si>
  <si>
    <t>SCHUYLER COUNTY CHAPTER NYSARC INC</t>
  </si>
  <si>
    <t>SCHUYLER COUNTY CHAPTER, NYSARC, INC,</t>
  </si>
  <si>
    <t>425-447 PENNSYLVANIA AVE</t>
  </si>
  <si>
    <t>Springbrook NY, Inc.</t>
  </si>
  <si>
    <t>E0368010</t>
  </si>
  <si>
    <t>SPRINGBROOK NY INC</t>
  </si>
  <si>
    <t>Patricia Kennedy</t>
  </si>
  <si>
    <t>(607) 286-7171</t>
  </si>
  <si>
    <t>kennedyp@springbrookny.org</t>
  </si>
  <si>
    <t>SPRINGBROOK NY, INC</t>
  </si>
  <si>
    <t>JAVID AHMAD</t>
  </si>
  <si>
    <t>E0133108</t>
  </si>
  <si>
    <t>Timothy Bael</t>
  </si>
  <si>
    <t>E0033581</t>
  </si>
  <si>
    <t>BAEL TIMOTHY E MD</t>
  </si>
  <si>
    <t>Lori Toolan</t>
  </si>
  <si>
    <t>(607) 272-5414</t>
  </si>
  <si>
    <t>tbael@cayugamed.org</t>
  </si>
  <si>
    <t>BAEL TIMOTHY DR.</t>
  </si>
  <si>
    <t>10 DATES RD</t>
  </si>
  <si>
    <t>Julie Campbell</t>
  </si>
  <si>
    <t>E0323218</t>
  </si>
  <si>
    <t>CAMPBELL JULIE</t>
  </si>
  <si>
    <t>Drjulie26@gmail.com</t>
  </si>
  <si>
    <t>CAMPBELL JULIE LYNN</t>
  </si>
  <si>
    <t>Charles Garbo</t>
  </si>
  <si>
    <t>E0161562</t>
  </si>
  <si>
    <t>GARBO CHARLES L MD</t>
  </si>
  <si>
    <t>chgarbo@aol.com</t>
  </si>
  <si>
    <t>GARBO CHARLES DR.</t>
  </si>
  <si>
    <t>Andrew Getzin</t>
  </si>
  <si>
    <t>E0089788</t>
  </si>
  <si>
    <t>GETZIN ANDREW</t>
  </si>
  <si>
    <t>Tracy Thompson</t>
  </si>
  <si>
    <t>(607) 252-3580</t>
  </si>
  <si>
    <t>agetzin@cayugamed.org</t>
  </si>
  <si>
    <t>GETZIN ANDREW DR.</t>
  </si>
  <si>
    <t>Amy MacQueen</t>
  </si>
  <si>
    <t>E0344489</t>
  </si>
  <si>
    <t>MACQUEEN AMY</t>
  </si>
  <si>
    <t>amacqueen@cayugamed.org</t>
  </si>
  <si>
    <t>310 TAUGHANNOCK BLVD STE 5A</t>
  </si>
  <si>
    <t>Colin Dauria</t>
  </si>
  <si>
    <t>E0382296</t>
  </si>
  <si>
    <t>DAURIA COLIN KENNETH</t>
  </si>
  <si>
    <t>Jeanne Chappel</t>
  </si>
  <si>
    <t>(607) 274-4304</t>
  </si>
  <si>
    <t>cdauria@cayugamed.org</t>
  </si>
  <si>
    <t>DAURIA COLIN</t>
  </si>
  <si>
    <t>Auguste Duplan</t>
  </si>
  <si>
    <t>E0042061</t>
  </si>
  <si>
    <t>DUPLAN AUGUSTE LYTTON MD</t>
  </si>
  <si>
    <t>aduplan@cayugamed.org</t>
  </si>
  <si>
    <t>DUPLAN AUGUSTE DR.</t>
  </si>
  <si>
    <t>ST JOSEPH'S PSYCH</t>
  </si>
  <si>
    <t>YONKERS</t>
  </si>
  <si>
    <t>Henry Gerson</t>
  </si>
  <si>
    <t>E0022780</t>
  </si>
  <si>
    <t>GERSON HENRY DAVID</t>
  </si>
  <si>
    <t>hgerson@cayugamed.org</t>
  </si>
  <si>
    <t>GERSON HENRY</t>
  </si>
  <si>
    <t>Ann Costello</t>
  </si>
  <si>
    <t>E0228184</t>
  </si>
  <si>
    <t>COSTELLO ANN RACKER        MD</t>
  </si>
  <si>
    <t>Holly Sincebaugh</t>
  </si>
  <si>
    <t>(607) 273-2811</t>
  </si>
  <si>
    <t>arcostello@gmail.com</t>
  </si>
  <si>
    <t>COSTELLO ANN</t>
  </si>
  <si>
    <t>COSTELLO ANN RACKER</t>
  </si>
  <si>
    <t>217 N AURORA ST</t>
  </si>
  <si>
    <t>John Costello</t>
  </si>
  <si>
    <t>E0228183</t>
  </si>
  <si>
    <t>COSTELLO JOHN E            MD</t>
  </si>
  <si>
    <t>jcostel2@twcny.rr.com</t>
  </si>
  <si>
    <t>COSTELLO JOHN</t>
  </si>
  <si>
    <t>COSTELLO JOHN E</t>
  </si>
  <si>
    <t>Guillermo Ferrer</t>
  </si>
  <si>
    <t>E0192561</t>
  </si>
  <si>
    <t>FERRER GUILLERMO</t>
  </si>
  <si>
    <t>Jessica Struble</t>
  </si>
  <si>
    <t>(607) 257-2116</t>
  </si>
  <si>
    <t>gferrer@veinscny.com; jessicas@veinscny.com</t>
  </si>
  <si>
    <t>FERRER GUILLERMO MR.</t>
  </si>
  <si>
    <t>6410 VETERANS AVE</t>
  </si>
  <si>
    <t>Viola Monaghan</t>
  </si>
  <si>
    <t>E0096003</t>
  </si>
  <si>
    <t>MONAGHAN VIOLA PEACHEY MD</t>
  </si>
  <si>
    <t>vmonaghan@veinscny.com</t>
  </si>
  <si>
    <t>MONAGHAN VIOLA MRS.</t>
  </si>
  <si>
    <t>SCHUYLER HSP</t>
  </si>
  <si>
    <t>Cindy Gordon</t>
  </si>
  <si>
    <t>E0123637</t>
  </si>
  <si>
    <t>GORDON CINDY MD</t>
  </si>
  <si>
    <t>Carol Klepeck</t>
  </si>
  <si>
    <t>(607) 844-8181</t>
  </si>
  <si>
    <t>silco94@frontiernet.net</t>
  </si>
  <si>
    <t>GORDON CINDY</t>
  </si>
  <si>
    <t>5 EVERGREEN STREET</t>
  </si>
  <si>
    <t>William Klepack</t>
  </si>
  <si>
    <t>E0242652</t>
  </si>
  <si>
    <t>KLEPACK WILLIAM ANDREW     MD</t>
  </si>
  <si>
    <t>cklepac1@twcny.rr.com</t>
  </si>
  <si>
    <t>KLEPACK WILLIAM</t>
  </si>
  <si>
    <t>DRYDEN FAMILY MED</t>
  </si>
  <si>
    <t>Howard Silcoff</t>
  </si>
  <si>
    <t>E0123341</t>
  </si>
  <si>
    <t>SILCOFF HOWARD W MD</t>
  </si>
  <si>
    <t>silco94@frontiernet.net'</t>
  </si>
  <si>
    <t>SILCOFF HOWARD</t>
  </si>
  <si>
    <t>Mason Sopchak</t>
  </si>
  <si>
    <t>E0359285</t>
  </si>
  <si>
    <t>SOPCHAK MASON MICHAEL</t>
  </si>
  <si>
    <t>msopchak@atsu.edu</t>
  </si>
  <si>
    <t>SOPCHAK MASON DR.</t>
  </si>
  <si>
    <t>Wallace Baker</t>
  </si>
  <si>
    <t>E0002760</t>
  </si>
  <si>
    <t>BAKER WALLACE</t>
  </si>
  <si>
    <t>Attn:  Christopher Brixey</t>
  </si>
  <si>
    <t>(607) 277-4341</t>
  </si>
  <si>
    <t>bakerwal@gmail.com</t>
  </si>
  <si>
    <t>BAKER WALLACE ANDREW</t>
  </si>
  <si>
    <t>209 W STATE ST</t>
  </si>
  <si>
    <t>Robert Breiman</t>
  </si>
  <si>
    <t>E0258996</t>
  </si>
  <si>
    <t>BREIMAN ROBERT J           MD</t>
  </si>
  <si>
    <t>breimanbb@aol.com</t>
  </si>
  <si>
    <t>BREIMAN ROBERT DR.</t>
  </si>
  <si>
    <t>BREIMAN ROBERT J</t>
  </si>
  <si>
    <t>Mike Choi</t>
  </si>
  <si>
    <t>E0058046</t>
  </si>
  <si>
    <t>CHOI MIKE JOON MD</t>
  </si>
  <si>
    <t>m723choi@yahoo.com</t>
  </si>
  <si>
    <t>CHOI MIKE DR.</t>
  </si>
  <si>
    <t>Lloyd Darlow</t>
  </si>
  <si>
    <t>E0092112</t>
  </si>
  <si>
    <t>DARLOW LLOYD ALAN MD</t>
  </si>
  <si>
    <t>ldarlow@cayugamed.org</t>
  </si>
  <si>
    <t>DARLOW LLOYD DR.</t>
  </si>
  <si>
    <t>HO ELIZABETH T F  MD</t>
  </si>
  <si>
    <t>E0174342</t>
  </si>
  <si>
    <t>HO ELIZABETH DR.</t>
  </si>
  <si>
    <t>HODDER HEIDI ROSE DO</t>
  </si>
  <si>
    <t>E0285532</t>
  </si>
  <si>
    <t>HODDER HEIDI DR.</t>
  </si>
  <si>
    <t>DERRICK JOHN HOOVER</t>
  </si>
  <si>
    <t>E0339646</t>
  </si>
  <si>
    <t>HOOVER DERRICK J</t>
  </si>
  <si>
    <t>HOOVER DERRICK</t>
  </si>
  <si>
    <t>68 FENNER AVE</t>
  </si>
  <si>
    <t>IBRAHIM MOHAMMED U</t>
  </si>
  <si>
    <t>E0365113</t>
  </si>
  <si>
    <t>IBRAHIM MOHAMMED DR.</t>
  </si>
  <si>
    <t>Chenango County Department of Public Health</t>
  </si>
  <si>
    <t>E0252061</t>
  </si>
  <si>
    <t>CHENANGO CTY DEPT OF PUB HLTH</t>
  </si>
  <si>
    <t>Marcas W. Flindt</t>
  </si>
  <si>
    <t>(607) 337-1660</t>
  </si>
  <si>
    <t>mwflindt@co.chenango.ny.us</t>
  </si>
  <si>
    <t>CHENANGO COUNTY</t>
  </si>
  <si>
    <t>Delaware County Community Services</t>
  </si>
  <si>
    <t>E0241753</t>
  </si>
  <si>
    <t>DELAWARE CNTY COMM SVC BOARD</t>
  </si>
  <si>
    <t>Cynthia Heaney</t>
  </si>
  <si>
    <t>(607) 865-6522</t>
  </si>
  <si>
    <t>cindy.heaney@co.delaware.ny.us</t>
  </si>
  <si>
    <t>DELAWARE COUNTY</t>
  </si>
  <si>
    <t>MH CL OMH</t>
  </si>
  <si>
    <t>Cortland Regional Nursing and Rehabilitation Center</t>
  </si>
  <si>
    <t>E0155502</t>
  </si>
  <si>
    <t>Crown Center for Nursing and Rehabilitation</t>
  </si>
  <si>
    <t>E0319702</t>
  </si>
  <si>
    <t>CROWN CENTER NURSING &amp; REHAB</t>
  </si>
  <si>
    <t>Patrick M. Deptula</t>
  </si>
  <si>
    <t>(607) 753-6060</t>
  </si>
  <si>
    <t>pdeptula@crowncenterrehab.com</t>
  </si>
  <si>
    <t>CORTLAND OPERATING CO LLC</t>
  </si>
  <si>
    <t>28 KELLOGG RD</t>
  </si>
  <si>
    <t>CORTLAND REGIONAL MEDICAL CENTER, INC</t>
  </si>
  <si>
    <t>J Bradley Stevens</t>
  </si>
  <si>
    <t>E0170325</t>
  </si>
  <si>
    <t>STEVENS JOHN B</t>
  </si>
  <si>
    <t>STEVENS JOHN</t>
  </si>
  <si>
    <t>FAM PRAC DRYDEN</t>
  </si>
  <si>
    <t>Christine Atkins</t>
  </si>
  <si>
    <t>E0081594</t>
  </si>
  <si>
    <t>ATKINS CHRISTINE NP</t>
  </si>
  <si>
    <t>ATKINS CHRISTINE</t>
  </si>
  <si>
    <t>5900 N BURDICK ST</t>
  </si>
  <si>
    <t>Temitope Olarewaju</t>
  </si>
  <si>
    <t>E0383574</t>
  </si>
  <si>
    <t>OLAREWAJU TEMITOPE O</t>
  </si>
  <si>
    <t>OLAREWAJU TEMITOPE</t>
  </si>
  <si>
    <t>Susan Rosato</t>
  </si>
  <si>
    <t>E0383437</t>
  </si>
  <si>
    <t>ROSATO SUSAN</t>
  </si>
  <si>
    <t>ROSATO SUSAN MARIE</t>
  </si>
  <si>
    <t>2805 CINCINNATUS RD</t>
  </si>
  <si>
    <t>Joanne Speicher</t>
  </si>
  <si>
    <t>E0293606</t>
  </si>
  <si>
    <t>SPEICHER JOANNE ELIZABETH</t>
  </si>
  <si>
    <t>SPEICHER JOANNE</t>
  </si>
  <si>
    <t>22 E MAIN ST # 24</t>
  </si>
  <si>
    <t>Amanda Pero</t>
  </si>
  <si>
    <t>E0326145</t>
  </si>
  <si>
    <t>PERO AMANDA R</t>
  </si>
  <si>
    <t>PERO AMANDA MISS</t>
  </si>
  <si>
    <t>PERO AMANDA REA</t>
  </si>
  <si>
    <t>169B SNYDER HILL RD</t>
  </si>
  <si>
    <t>Theodore Petkov, M.D.</t>
  </si>
  <si>
    <t>E0125994</t>
  </si>
  <si>
    <t>PETKOV THEODORE MICHAEL MD</t>
  </si>
  <si>
    <t>Theodore_Petkov@uhs.org</t>
  </si>
  <si>
    <t>PETKOV THEODORE</t>
  </si>
  <si>
    <t>Srinivasa B. Prasad, M.D.</t>
  </si>
  <si>
    <t>E0218558</t>
  </si>
  <si>
    <t>PRASAD SRINIVASA BR        MD</t>
  </si>
  <si>
    <t>Srinivasa_Prasad@uhs.org</t>
  </si>
  <si>
    <t>PRASAD SRINIVASA</t>
  </si>
  <si>
    <t>PRASAD SRINIVASA BR</t>
  </si>
  <si>
    <t>David Robinson, NP</t>
  </si>
  <si>
    <t>E0315314</t>
  </si>
  <si>
    <t>ROBINSON DAVID</t>
  </si>
  <si>
    <t>David_Robinson@uhs.org</t>
  </si>
  <si>
    <t>Thomas Burkert PA</t>
  </si>
  <si>
    <t>E0347339</t>
  </si>
  <si>
    <t>BURKERT THOMAS EDWARD</t>
  </si>
  <si>
    <t>burkertt@schuylerhospital.org</t>
  </si>
  <si>
    <t>BURKERT THOMAS MR.</t>
  </si>
  <si>
    <t>Laura Connor PA</t>
  </si>
  <si>
    <t>E0370480</t>
  </si>
  <si>
    <t>CONNOR LAURA R</t>
  </si>
  <si>
    <t>connorl@schuylerhospital.org</t>
  </si>
  <si>
    <t>CONNOR LAURA</t>
  </si>
  <si>
    <t>TILLOTSON REBECCA</t>
  </si>
  <si>
    <t>E0081931</t>
  </si>
  <si>
    <t>TILLOTSON REBECCA RPA</t>
  </si>
  <si>
    <t>FAM HLTH NTWK/S-201</t>
  </si>
  <si>
    <t>VIDAL CARMEN DR.</t>
  </si>
  <si>
    <t>E0306462</t>
  </si>
  <si>
    <t>VIDAL CARMEN M DDS</t>
  </si>
  <si>
    <t>VIDAL CARMEN</t>
  </si>
  <si>
    <t>WARNER DEBORAH</t>
  </si>
  <si>
    <t>E0131646</t>
  </si>
  <si>
    <t>WARNER DEBORAH ANN</t>
  </si>
  <si>
    <t>WHITE CHERILYN</t>
  </si>
  <si>
    <t>E0126396</t>
  </si>
  <si>
    <t>WHITE CHERILYN ANNE MD</t>
  </si>
  <si>
    <t>BERG RICHARD DR.</t>
  </si>
  <si>
    <t>E0027024</t>
  </si>
  <si>
    <t>BERG RICHARD E MD</t>
  </si>
  <si>
    <t>116 E FRONT ST</t>
  </si>
  <si>
    <t>HANCOCK</t>
  </si>
  <si>
    <t>BLEILER BRIAN</t>
  </si>
  <si>
    <t>E0173204</t>
  </si>
  <si>
    <t>BLEILER BRIAN EUGENE OD</t>
  </si>
  <si>
    <t>406 E 4TH ST</t>
  </si>
  <si>
    <t>OPTOMETRIST</t>
  </si>
  <si>
    <t>FATHALLA MAHMOUD</t>
  </si>
  <si>
    <t>E0140644</t>
  </si>
  <si>
    <t>FATHALLA MAHMOUD F MD</t>
  </si>
  <si>
    <t>Chris Kisacky</t>
  </si>
  <si>
    <t>(607) 337-4260</t>
  </si>
  <si>
    <t>christina_kisacky@uhs.org</t>
  </si>
  <si>
    <t>NORWICH EXT CLINIC</t>
  </si>
  <si>
    <t>HUMMER KRISTINA</t>
  </si>
  <si>
    <t>E0340029</t>
  </si>
  <si>
    <t>HUMMER KRISTINA KAY</t>
  </si>
  <si>
    <t>RUBIN JOHN</t>
  </si>
  <si>
    <t>E0085053</t>
  </si>
  <si>
    <t>RUBIN JOHN DO</t>
  </si>
  <si>
    <t>2209 GENESEE ST</t>
  </si>
  <si>
    <t>COREY TIMOTHY DR.</t>
  </si>
  <si>
    <t>E0132227</t>
  </si>
  <si>
    <t>COREY TIMOTHY JAMES MD</t>
  </si>
  <si>
    <t>MARKS BETH</t>
  </si>
  <si>
    <t>E0036626</t>
  </si>
  <si>
    <t>LOPICCOLO BETH A RPA</t>
  </si>
  <si>
    <t>MARKS BETH A RPA</t>
  </si>
  <si>
    <t>STE 4</t>
  </si>
  <si>
    <t>SARANAC LAKE</t>
  </si>
  <si>
    <t>WALDRON JENNIFER</t>
  </si>
  <si>
    <t>E0082302</t>
  </si>
  <si>
    <t>WALDRON JENNIFER ANN</t>
  </si>
  <si>
    <t>FORT HILL</t>
  </si>
  <si>
    <t>PISANI CARRIEANNE MRS.</t>
  </si>
  <si>
    <t>E0002205</t>
  </si>
  <si>
    <t>PISANI CARRIE ANNE RPA</t>
  </si>
  <si>
    <t>DOWNS DANIEL</t>
  </si>
  <si>
    <t>E0041153</t>
  </si>
  <si>
    <t>DOWNS DANIEL M MD</t>
  </si>
  <si>
    <t>DOWNS DANIEL MARK</t>
  </si>
  <si>
    <t>BRESLAU VLADIMIR</t>
  </si>
  <si>
    <t>E0343843</t>
  </si>
  <si>
    <t>BRESLAU VLADIMIR F</t>
  </si>
  <si>
    <t>MITCHELL-BOWMAN PATRICIA MRS.</t>
  </si>
  <si>
    <t>E0000220</t>
  </si>
  <si>
    <t>MITCHELL PATRICIA ANNE</t>
  </si>
  <si>
    <t>SHERIFF-WHITE PHYLLIS</t>
  </si>
  <si>
    <t>E0020580</t>
  </si>
  <si>
    <t>SHERIFF-WHITE PHYLLIS MD</t>
  </si>
  <si>
    <t>Mothers and Babies Perinatal Network of SCNY, Inc.</t>
  </si>
  <si>
    <t>Sharon Chesna</t>
  </si>
  <si>
    <t>(607) 772-0517</t>
  </si>
  <si>
    <t>schesna@mothersandbabies.org</t>
  </si>
  <si>
    <t>457 State Street</t>
  </si>
  <si>
    <t>Tioga County Department of Social Services</t>
  </si>
  <si>
    <t>Shawn L. Yetter</t>
  </si>
  <si>
    <t>(607) 687-8302</t>
  </si>
  <si>
    <t>shawn.yetter@dfa.state.ny.us</t>
  </si>
  <si>
    <t>Social Service District Office</t>
  </si>
  <si>
    <t>P.O. Box 240</t>
  </si>
  <si>
    <t>Alan Midura</t>
  </si>
  <si>
    <t>E0209859</t>
  </si>
  <si>
    <t>MIDURA ALAN T MD</t>
  </si>
  <si>
    <t>keithemery@fma-ithaca.com</t>
  </si>
  <si>
    <t>MIDURA ALAN</t>
  </si>
  <si>
    <t>MIDURA ALAN T</t>
  </si>
  <si>
    <t>FAMILY MEDICINE ASSO</t>
  </si>
  <si>
    <t>Neil Shallish</t>
  </si>
  <si>
    <t>E0229138</t>
  </si>
  <si>
    <t>SHALLISH NEIL FREDERICK MD</t>
  </si>
  <si>
    <t>Drshallish@aol.com</t>
  </si>
  <si>
    <t>SHALLISH NEIL</t>
  </si>
  <si>
    <t>SHALLISH NEIL FREDERICK</t>
  </si>
  <si>
    <t>Sharon Ziegler</t>
  </si>
  <si>
    <t>E0155436</t>
  </si>
  <si>
    <t>ZIEGLER SHARON LYNN MD</t>
  </si>
  <si>
    <t>ziegler.sharon@gmail.com</t>
  </si>
  <si>
    <t>ZIEGLER SHARON</t>
  </si>
  <si>
    <t>ZIEGLER SHARON LYNN</t>
  </si>
  <si>
    <t>BUFFALO GENERAL HOSP</t>
  </si>
  <si>
    <t>Peter Brennan</t>
  </si>
  <si>
    <t>E0209314</t>
  </si>
  <si>
    <t>BRENNAN PETER TERENCE</t>
  </si>
  <si>
    <t>gastro@twcny.rr.com; pbrennanny@yahoo.com</t>
  </si>
  <si>
    <t>BRENNAN PETER DR.</t>
  </si>
  <si>
    <t>STE 308</t>
  </si>
  <si>
    <t>KLEIN ELEANOR CHRISTINE</t>
  </si>
  <si>
    <t>E0049766</t>
  </si>
  <si>
    <t>KLEIN ELEANOR</t>
  </si>
  <si>
    <t>SCARSETH STEPHEN CLIVE</t>
  </si>
  <si>
    <t>E0011887</t>
  </si>
  <si>
    <t>SCARSETH STEPHEN MR.</t>
  </si>
  <si>
    <t>2224 E MAIN ST</t>
  </si>
  <si>
    <t>KARN DANIEL F</t>
  </si>
  <si>
    <t>E0313385</t>
  </si>
  <si>
    <t>DANIEL F KARN</t>
  </si>
  <si>
    <t>KARN DANIEL</t>
  </si>
  <si>
    <t>23 CENTRAL STREET</t>
  </si>
  <si>
    <t>MORAVIA</t>
  </si>
  <si>
    <t>DODDS JEANNINE MISUTKA</t>
  </si>
  <si>
    <t>E0330703</t>
  </si>
  <si>
    <t>JEANNINE DODDS</t>
  </si>
  <si>
    <t>DODDS JEANNINE</t>
  </si>
  <si>
    <t>SAVORY BRIDGET</t>
  </si>
  <si>
    <t>E0330196</t>
  </si>
  <si>
    <t>BRIDGET SAVORY</t>
  </si>
  <si>
    <t>MARATHON ELEM SCHOOL</t>
  </si>
  <si>
    <t>PAREEK NATWAR DR.</t>
  </si>
  <si>
    <t>E0263365</t>
  </si>
  <si>
    <t>PAREEK NATWAR K            MD</t>
  </si>
  <si>
    <t>PAREEK NATWAR K MD</t>
  </si>
  <si>
    <t>KHAN MAHMUD</t>
  </si>
  <si>
    <t>E0025317</t>
  </si>
  <si>
    <t>KHAN MAHMUD MD</t>
  </si>
  <si>
    <t>BIDWELL FRANCES</t>
  </si>
  <si>
    <t>E0067483</t>
  </si>
  <si>
    <t>BIDWELL FRANCES C NP</t>
  </si>
  <si>
    <t>NAMAN SAFA</t>
  </si>
  <si>
    <t>E0199300</t>
  </si>
  <si>
    <t>NAMAN SAFA K               MD</t>
  </si>
  <si>
    <t>JONES KARA</t>
  </si>
  <si>
    <t>E0285165</t>
  </si>
  <si>
    <t>JONES KARA E NP</t>
  </si>
  <si>
    <t>EMMONS KARA E NP</t>
  </si>
  <si>
    <t>CAI DOVE</t>
  </si>
  <si>
    <t>E0322594</t>
  </si>
  <si>
    <t>2 TITUS PL</t>
  </si>
  <si>
    <t>MOHRIEN KARI</t>
  </si>
  <si>
    <t>E0301885</t>
  </si>
  <si>
    <t>MOHRIEN KARI LYNN</t>
  </si>
  <si>
    <t>FRAS IVAN</t>
  </si>
  <si>
    <t>E0240906</t>
  </si>
  <si>
    <t>FRAS IVAN                  MD</t>
  </si>
  <si>
    <t>425 ROBINSON ST</t>
  </si>
  <si>
    <t>LAWYER DAWN MS.</t>
  </si>
  <si>
    <t>E0030091</t>
  </si>
  <si>
    <t>LAWYER DAWN CATHERINE NP</t>
  </si>
  <si>
    <t>CASTETTER LISA</t>
  </si>
  <si>
    <t>E0294930</t>
  </si>
  <si>
    <t>CASTETTER LISA S</t>
  </si>
  <si>
    <t>MARTYNIK MICHAEL</t>
  </si>
  <si>
    <t>E0108477</t>
  </si>
  <si>
    <t>MARTYNIK MICHAEL J MD</t>
  </si>
  <si>
    <t>30 HARRISON ST STE 460</t>
  </si>
  <si>
    <t>MARTIN TAMARA</t>
  </si>
  <si>
    <t>E0047341</t>
  </si>
  <si>
    <t>MARTIN TAMARA L RPA</t>
  </si>
  <si>
    <t>STE 115</t>
  </si>
  <si>
    <t>DIAB WADIH</t>
  </si>
  <si>
    <t>E0235133</t>
  </si>
  <si>
    <t>DIAB WADIH                 MD</t>
  </si>
  <si>
    <t>HARRISON MARZELLA</t>
  </si>
  <si>
    <t>E0331990</t>
  </si>
  <si>
    <t>HARRISON MARZELLA J</t>
  </si>
  <si>
    <t>CAMPBELL ADAM</t>
  </si>
  <si>
    <t>E0288589</t>
  </si>
  <si>
    <t>ADAM T CAMPBELL</t>
  </si>
  <si>
    <t>CAMPBELL ADAM T RPA</t>
  </si>
  <si>
    <t>MAJOR LESLIE DR.</t>
  </si>
  <si>
    <t>E0256811</t>
  </si>
  <si>
    <t>MAJOR LESLIE F             MD</t>
  </si>
  <si>
    <t>GIANNONE JOHN</t>
  </si>
  <si>
    <t>E0205804</t>
  </si>
  <si>
    <t>GIANNONE JOHN J            MD</t>
  </si>
  <si>
    <t>UNITED HLTH SVC</t>
  </si>
  <si>
    <t>FEDCZUK BOHDAN</t>
  </si>
  <si>
    <t>E0180751</t>
  </si>
  <si>
    <t>FEDCZUK BOHDAN P MD</t>
  </si>
  <si>
    <t>PLASTIC SURG SO TIER</t>
  </si>
  <si>
    <t>GOTTLIEB MEGAN</t>
  </si>
  <si>
    <t>E0003938</t>
  </si>
  <si>
    <t>MEGAN MUNSON PT</t>
  </si>
  <si>
    <t>GOTTLIEB MEGAN E</t>
  </si>
  <si>
    <t>GREER CHARLENE</t>
  </si>
  <si>
    <t>E0331574</t>
  </si>
  <si>
    <t>GREER CHARLENE MARIE</t>
  </si>
  <si>
    <t>HAAS CATHERINE MRS.</t>
  </si>
  <si>
    <t>E0358120</t>
  </si>
  <si>
    <t>HAAS CATHERINE A</t>
  </si>
  <si>
    <t>Karen Dumont PA</t>
  </si>
  <si>
    <t>E0172767</t>
  </si>
  <si>
    <t>DUMONT KAREN M RPA</t>
  </si>
  <si>
    <t>dumontk@schuylerhospital.org</t>
  </si>
  <si>
    <t>DUMONT KAREN MS.</t>
  </si>
  <si>
    <t>DUMONT KAREN M</t>
  </si>
  <si>
    <t>Paula Fitzsimmons PA</t>
  </si>
  <si>
    <t>E0005033</t>
  </si>
  <si>
    <t>PAULA FITZSIMMONS RPA</t>
  </si>
  <si>
    <t>fitzsimmonsp@schuylerhospital.org</t>
  </si>
  <si>
    <t>FITZSIMMONS PAULA MS.</t>
  </si>
  <si>
    <t>FITZSIMMONS PAULA RPA</t>
  </si>
  <si>
    <t>1 1ST ST</t>
  </si>
  <si>
    <t>Adrian Gonzalez PA</t>
  </si>
  <si>
    <t>E0060517</t>
  </si>
  <si>
    <t>GONZALEZ ADRIAN MICHAEL</t>
  </si>
  <si>
    <t>gonzaleza@schuylerhospital.org</t>
  </si>
  <si>
    <t>GONZALEZ ADRIAN</t>
  </si>
  <si>
    <t>ELMIRA URO ASSOC</t>
  </si>
  <si>
    <t>Catholic Charities of Chenango County</t>
  </si>
  <si>
    <t>E0169522</t>
  </si>
  <si>
    <t>CATHOLIC CHARITIES CHENANGO</t>
  </si>
  <si>
    <t>Robin Beckwith</t>
  </si>
  <si>
    <t>(607) 334-8244</t>
  </si>
  <si>
    <t>rbeckwith@ccofcc.com</t>
  </si>
  <si>
    <t>CHENANGO COUNTY CATHOLIC CHARITIES</t>
  </si>
  <si>
    <t>IA/7893431 INT SUPP</t>
  </si>
  <si>
    <t>United Health Services Hospitals, Inc. (Wilson Medical Center and Binghamton General Hospital)</t>
  </si>
  <si>
    <t>Robin Kinslow-Evans</t>
  </si>
  <si>
    <t>(607) 762-2801</t>
  </si>
  <si>
    <t>Robin_kinslow-evans@uhs.org</t>
  </si>
  <si>
    <t>UNITED HEALTH SERVICES HOSPITALS, INC.</t>
  </si>
  <si>
    <t>CHAS S WILSON HSP</t>
  </si>
  <si>
    <t>Bridgewater Center for Rehabilitation and Nursing</t>
  </si>
  <si>
    <t>E0268128</t>
  </si>
  <si>
    <t>BRIDGEWATER CTR REHAB &amp; NRS</t>
  </si>
  <si>
    <t>Kurt Apthorpe</t>
  </si>
  <si>
    <t>(607) 722-7225</t>
  </si>
  <si>
    <t>kapthorpe@bwrehab.com</t>
  </si>
  <si>
    <t>BRIDGEWATER CENTER FOR REHABILITATION &amp; NURSING LLC</t>
  </si>
  <si>
    <t>BRIDGEWATER CTR REHAB &amp; NRS LLC</t>
  </si>
  <si>
    <t>159 163 FRONT ST</t>
  </si>
  <si>
    <t>Pine Valley Center, LLC DBA Pine Center for Rehabilitation and Nursing</t>
  </si>
  <si>
    <t>E0263798</t>
  </si>
  <si>
    <t>RIVERVIEW MANOR HEALTH CARE C</t>
  </si>
  <si>
    <t>Mark T. Scalise</t>
  </si>
  <si>
    <t>(607) 687-2594</t>
  </si>
  <si>
    <t>mscalise@riverviewmanorrehab.com</t>
  </si>
  <si>
    <t>RIVERVIEW ACQUISITION COMPANY , LLC</t>
  </si>
  <si>
    <t>510 5TH AVE</t>
  </si>
  <si>
    <t>Chemung County Certified Home Health Agency</t>
  </si>
  <si>
    <t>E0232585</t>
  </si>
  <si>
    <t>CHEMUNG COUNTY DOH LTHHCP</t>
  </si>
  <si>
    <t>Melissa Traub</t>
  </si>
  <si>
    <t>(607) 737-2028</t>
  </si>
  <si>
    <t>mtraub@co.chemung.ny.us</t>
  </si>
  <si>
    <t>COUNTY OF CHEMUNG</t>
  </si>
  <si>
    <t>CHEMUNG DEPT HOME HLTH     CO</t>
  </si>
  <si>
    <t>103 WASHINGTON ST</t>
  </si>
  <si>
    <t>Cathy Page, N.P.</t>
  </si>
  <si>
    <t>E0296090</t>
  </si>
  <si>
    <t>PAGE CATHY MARIE</t>
  </si>
  <si>
    <t>Cathy_Page@uhs.org</t>
  </si>
  <si>
    <t>PAGE CATHY</t>
  </si>
  <si>
    <t>Lynn Swisher</t>
  </si>
  <si>
    <t>E0154569</t>
  </si>
  <si>
    <t>SWISHER LYNN MD</t>
  </si>
  <si>
    <t>lswisher@twcny.rr.com</t>
  </si>
  <si>
    <t>SWISHER LYNN</t>
  </si>
  <si>
    <t>CORTLAND HOSPITAL</t>
  </si>
  <si>
    <t>Sami Husseini</t>
  </si>
  <si>
    <t>E0224063</t>
  </si>
  <si>
    <t>HUSSEINI SAMI T            MD</t>
  </si>
  <si>
    <t>Jacklyn Havington</t>
  </si>
  <si>
    <t>(607) 273-8502</t>
  </si>
  <si>
    <t>samhuss@gmail.com</t>
  </si>
  <si>
    <t>HUSSEINI SAMI DR.</t>
  </si>
  <si>
    <t>Sanjeev Vohra</t>
  </si>
  <si>
    <t>E0131727</t>
  </si>
  <si>
    <t>VOHRA SANJEEV MD</t>
  </si>
  <si>
    <t>svohramd@yahoo.com</t>
  </si>
  <si>
    <t>VOHRA SANJEEV DR.</t>
  </si>
  <si>
    <t>HUSSEINI &amp; HUSA MD</t>
  </si>
  <si>
    <t>John Bradshaw</t>
  </si>
  <si>
    <t>E0077724</t>
  </si>
  <si>
    <t>BRADSHAW JOHN A MD</t>
  </si>
  <si>
    <t>jbradshaw@northeastpeds.com</t>
  </si>
  <si>
    <t>BRADSHAW JOHN</t>
  </si>
  <si>
    <t>SOUTHERN TIER PEDIAT</t>
  </si>
  <si>
    <t>Suzanne Bradshaw</t>
  </si>
  <si>
    <t>E0076121</t>
  </si>
  <si>
    <t>BRADSHAW SUZANNE M MD</t>
  </si>
  <si>
    <t>soix50@aol.com</t>
  </si>
  <si>
    <t>BRADSHAW SUZANNE</t>
  </si>
  <si>
    <t>302 HOFFMAN ST</t>
  </si>
  <si>
    <t>Audrey DeSilva</t>
  </si>
  <si>
    <t>E0113209</t>
  </si>
  <si>
    <t>DESILVA AUDREY H MD</t>
  </si>
  <si>
    <t>AHdesilva@twcny.rr.com;adesilva@northeastpeds.com</t>
  </si>
  <si>
    <t>DESILVA AUDREY</t>
  </si>
  <si>
    <t>DESILVA AUDREY HOPE</t>
  </si>
  <si>
    <t>Timothy Harris</t>
  </si>
  <si>
    <t>E0358265</t>
  </si>
  <si>
    <t>HARRIS TIMOTHY CARR</t>
  </si>
  <si>
    <t>timothyharris27@gmail.com</t>
  </si>
  <si>
    <t>HARRIS TIMOTHY</t>
  </si>
  <si>
    <t>Rajaram Rao</t>
  </si>
  <si>
    <t>E0252743</t>
  </si>
  <si>
    <t>RAO RAJARAM N S            MD</t>
  </si>
  <si>
    <t>rraons@aol.com</t>
  </si>
  <si>
    <t>RAO RAJARAM</t>
  </si>
  <si>
    <t>Schuyler Hospital, Inc.</t>
  </si>
  <si>
    <t>E0262916</t>
  </si>
  <si>
    <t>SCHUYLER HOSPITAL</t>
  </si>
  <si>
    <t>All Other:: Clinic:: Hospital:: Pharmacy</t>
  </si>
  <si>
    <t>Seneca View Skilled Nursing Facility at Schuyler Hospital</t>
  </si>
  <si>
    <t>E0263948</t>
  </si>
  <si>
    <t>SCHUYLER HOSP LONG TERM   INC</t>
  </si>
  <si>
    <t>The William George Agency for Children's Services, Inc.</t>
  </si>
  <si>
    <t>E0092292</t>
  </si>
  <si>
    <t>GEORGE JUNIOR REPUBLIC ASSOC</t>
  </si>
  <si>
    <t>Jeffery Dailey</t>
  </si>
  <si>
    <t>(607) 844-6214</t>
  </si>
  <si>
    <t>daileyj@gjrmail.com</t>
  </si>
  <si>
    <t>THE WILLIAM GEORGE AGENCY</t>
  </si>
  <si>
    <t>WILLIAM GEORGE AGENCY F/CHILD SVCS</t>
  </si>
  <si>
    <t>380 FREEVILLE RD</t>
  </si>
  <si>
    <t>FREEVILLE</t>
  </si>
  <si>
    <t>Tompkins County Health Department</t>
  </si>
  <si>
    <t>E0263568</t>
  </si>
  <si>
    <t>TOMPKINS COUNTY HM HLTH CARE</t>
  </si>
  <si>
    <t>Frank Kruppa</t>
  </si>
  <si>
    <t>(607) 274-6674</t>
  </si>
  <si>
    <t>fkruppa@tompkins-co.org</t>
  </si>
  <si>
    <t>TOMPKINS COUNTY</t>
  </si>
  <si>
    <t>55 BROWN RD</t>
  </si>
  <si>
    <t>E0263569</t>
  </si>
  <si>
    <t>TOMPKINS CNTY HLTH DEPT CLINI</t>
  </si>
  <si>
    <t xml:space="preserve">Tompkins County Mental Health </t>
  </si>
  <si>
    <t>E0185526</t>
  </si>
  <si>
    <t>TOMPKINS COUNTY MH DEPT MH</t>
  </si>
  <si>
    <t>Sue Romanczuk</t>
  </si>
  <si>
    <t>(607) 274-6303</t>
  </si>
  <si>
    <t>sromanczuk@tompkins-co-org</t>
  </si>
  <si>
    <t>TOMPKINS COUNTY MENTAL HEALTH SERVICES</t>
  </si>
  <si>
    <t>TOMPKINS CNTY COMM M H SVC BR</t>
  </si>
  <si>
    <t>201 E GREEN ST</t>
  </si>
  <si>
    <t>Visiting Nurse Service of Ithaca and Tompkins County</t>
  </si>
  <si>
    <t>E0206270</t>
  </si>
  <si>
    <t>VNS ITHACA &amp; TOMPKINS CO INC</t>
  </si>
  <si>
    <t>Sue Ellen Stuart</t>
  </si>
  <si>
    <t>(607) 273-0466</t>
  </si>
  <si>
    <t>sstuart@vnsithaca.org</t>
  </si>
  <si>
    <t>VISITING NURSE SERVICE OF ITHACA AND TOMPKINS COUNTY INC</t>
  </si>
  <si>
    <t>TOMPKINS</t>
  </si>
  <si>
    <t>Chemung County Public Health</t>
  </si>
  <si>
    <t>Melissa Klossner</t>
  </si>
  <si>
    <t>mklossner@co.chemung.ny.us</t>
  </si>
  <si>
    <t>103 Washington Street</t>
  </si>
  <si>
    <t>Chenango Health Network, Inc.</t>
  </si>
  <si>
    <t>(607) 337-4171</t>
  </si>
  <si>
    <t>24 Conkey Avenue</t>
  </si>
  <si>
    <t>Norwich</t>
  </si>
  <si>
    <t>Tioga County Health Department</t>
  </si>
  <si>
    <t>James Rich</t>
  </si>
  <si>
    <t>(607) 687-8566</t>
  </si>
  <si>
    <t>richj@co.tioga.ny.us</t>
  </si>
  <si>
    <t xml:space="preserve">PO Box 120 St Rt 38 </t>
  </si>
  <si>
    <t>BROOME COUNTY HEALTH DEPARTMENT-LHCSA</t>
  </si>
  <si>
    <t>225 FRONT ST.</t>
  </si>
  <si>
    <t>Other State Agency</t>
  </si>
  <si>
    <t>Elderwood at Waverly</t>
  </si>
  <si>
    <t>E0396595</t>
  </si>
  <si>
    <t>37 NORTH CHEMUNG STREET OPERATING C</t>
  </si>
  <si>
    <t>(607) 565-6314</t>
  </si>
  <si>
    <t>mlandy@elderwood.com</t>
  </si>
  <si>
    <t>37 NORTH CHEMUNG STREET OPERATING COMPANY LLC</t>
  </si>
  <si>
    <t>Mental Health Association of the Southern Tier, Inc.</t>
  </si>
  <si>
    <t>E0384453</t>
  </si>
  <si>
    <t>MENTAL HEALTH ASSOCIATION OF THE SO</t>
  </si>
  <si>
    <t>Keith Leahey</t>
  </si>
  <si>
    <t>keith.leahey@yourmha.com</t>
  </si>
  <si>
    <t>MENTAL HEALTH ASSOCIATION OF THE SOUTHERN TIER, INC.</t>
  </si>
  <si>
    <t>153 COURT ST</t>
  </si>
  <si>
    <t>Fairview Recovery Services, Inc.</t>
  </si>
  <si>
    <t>Michele Napolitano</t>
  </si>
  <si>
    <t>(607) 722-8987</t>
  </si>
  <si>
    <t>mnapolitano@frsinc.org</t>
  </si>
  <si>
    <t>5 Merrick Street</t>
  </si>
  <si>
    <t>Catholic Charities of Broome County</t>
  </si>
  <si>
    <t>Julie Smith</t>
  </si>
  <si>
    <t>(607) 723-9991</t>
  </si>
  <si>
    <t>jsmith@ccbc.net</t>
  </si>
  <si>
    <t>Case Management / Health Homes</t>
  </si>
  <si>
    <t>CATHOLIC CHARITIES OF BROOME COUNTY</t>
  </si>
  <si>
    <t>232 MAIN ST</t>
  </si>
  <si>
    <t>Arjun J. Patel, M.D.</t>
  </si>
  <si>
    <t>(607) 862-4325</t>
  </si>
  <si>
    <t>Arjun_Patel@uhs.org</t>
  </si>
  <si>
    <t>ARJUN J PATEL, MD, PC</t>
  </si>
  <si>
    <t>609 E MAIN ST</t>
  </si>
  <si>
    <t>Michael Hennessey, M.D.</t>
  </si>
  <si>
    <t>E0134591</t>
  </si>
  <si>
    <t>HENNESSEY MICHAEL SHANNON MD</t>
  </si>
  <si>
    <t>Michael_Hennessey@uhs.org</t>
  </si>
  <si>
    <t>HENNESSEY MICHAEL</t>
  </si>
  <si>
    <t>612 W SMITH ST</t>
  </si>
  <si>
    <t>CORRY</t>
  </si>
  <si>
    <t>CORTLAND REGIONAL MEDICAL CENTER INC</t>
  </si>
  <si>
    <t>E0200970</t>
  </si>
  <si>
    <t>TIOGA COUNTY COMM SER BRD DAA</t>
  </si>
  <si>
    <t>1062 NYS RTE 38 FL1</t>
  </si>
  <si>
    <t>Catholic Charities of the Diocese of Rochester dba Catholic Charities Chemung Schuyler</t>
  </si>
  <si>
    <t>E0411793</t>
  </si>
  <si>
    <t>CATHOLIC CHARITIES OF THE DIOCESE</t>
  </si>
  <si>
    <t>Charles Nocera</t>
  </si>
  <si>
    <t>(607) 734-9784</t>
  </si>
  <si>
    <t>cnocera@dor.org</t>
  </si>
  <si>
    <t>CATHOLIC CHARITIES OF THE DIOCESE OF ROCHESTER</t>
  </si>
  <si>
    <t>CATHOLIC CHARITIES CHEMUNG-SCHUYLER</t>
  </si>
  <si>
    <t>215 E CHURCH ST</t>
  </si>
  <si>
    <t>Rehabilitation Support Services, Inc.</t>
  </si>
  <si>
    <t>E0165585</t>
  </si>
  <si>
    <t>REHABILITATION SUPP SVCS C</t>
  </si>
  <si>
    <t>Edward Butz</t>
  </si>
  <si>
    <t>(607) 433-0002</t>
  </si>
  <si>
    <t>ebutz@rehab.org</t>
  </si>
  <si>
    <t>REHABILITATION SUPPORT SERVICES, INC</t>
  </si>
  <si>
    <t>REHABILITATION SUPPORT SERVICES</t>
  </si>
  <si>
    <t>C/7144409 SRCR</t>
  </si>
  <si>
    <t>POUGHKEEPSIE</t>
  </si>
  <si>
    <t>The Addiction Center of Broome County</t>
  </si>
  <si>
    <t>E0236173</t>
  </si>
  <si>
    <t>ADDICTION CTR OF BROOME CNTY</t>
  </si>
  <si>
    <t>Carmela Pirich</t>
  </si>
  <si>
    <t>(607) 723-7308</t>
  </si>
  <si>
    <t>carmelap@stny.rr.com</t>
  </si>
  <si>
    <t>THE ADDICTION CENTER OF BROOME COUNTY, INC/</t>
  </si>
  <si>
    <t>30 W STATE ST</t>
  </si>
  <si>
    <t>E0224785</t>
  </si>
  <si>
    <t>LAX THEODORE              DDS</t>
  </si>
  <si>
    <t>LAX THEODORE</t>
  </si>
  <si>
    <t>E0262644</t>
  </si>
  <si>
    <t>CHEMUNG COUNTY HEALTH CTR NSG</t>
  </si>
  <si>
    <t>CHEMUNG COUNTY NURSING FACILITY</t>
  </si>
  <si>
    <t>Absolut Care at Endicott</t>
  </si>
  <si>
    <t>E0204781</t>
  </si>
  <si>
    <t>ABSOLUT CT NR &amp; REH AT ENDICOTT</t>
  </si>
  <si>
    <t>Deb English</t>
  </si>
  <si>
    <t>(607) 754-2705</t>
  </si>
  <si>
    <t>denglish@absolutcare.com</t>
  </si>
  <si>
    <t>ABSOLUT CENTER FOR NURSING AND REHABILITATION AT ENDICOTT, LLC</t>
  </si>
  <si>
    <t>301 NANTUCKET DR</t>
  </si>
  <si>
    <t>Absolut Care of Three Rivers</t>
  </si>
  <si>
    <t>E0229168</t>
  </si>
  <si>
    <t>ABSOLUT CT NR &amp; REH AT THREE RIVERS</t>
  </si>
  <si>
    <t>Joe Tolpa</t>
  </si>
  <si>
    <t>(607) 936-4108</t>
  </si>
  <si>
    <t>jtolpa@absolutcare.com</t>
  </si>
  <si>
    <t>ABSOLUT CENTER FOR NURSING AND REHABILITATION AT THREE RIVERS, LLC</t>
  </si>
  <si>
    <t>101 CREEKSIDE DR</t>
  </si>
  <si>
    <t>E0222785</t>
  </si>
  <si>
    <t>DELAWARE COUNTY COMMUNITY SERVICES</t>
  </si>
  <si>
    <t>DELAWARE CNTY COMM SVC BRD CD</t>
  </si>
  <si>
    <t>34570 STATE HIGHWAY 10 STE 5</t>
  </si>
  <si>
    <t>E0180370</t>
  </si>
  <si>
    <t>IDEAL SENIOR LIVING CTR LTC</t>
  </si>
  <si>
    <t>IDEAL SENIOR LIVING CENTER, INC.</t>
  </si>
  <si>
    <t>508 HIGH AVE</t>
  </si>
  <si>
    <t>Our Lady of Lourdes Memorial Hospital, Inc.</t>
  </si>
  <si>
    <t>E0140865</t>
  </si>
  <si>
    <t>LOURDES PRIMARY CARE ASSOCIAT</t>
  </si>
  <si>
    <t>(607) 772-1715</t>
  </si>
  <si>
    <t>OUR LADY OF LOURDES MEMORIAL HOSPIT</t>
  </si>
  <si>
    <t>NULTON MICHELLE</t>
  </si>
  <si>
    <t>E0120995</t>
  </si>
  <si>
    <t>NULTON MICHELLE ANN</t>
  </si>
  <si>
    <t>BARNES CHARLES</t>
  </si>
  <si>
    <t>E0024907</t>
  </si>
  <si>
    <t>BARNES CHARLES R RPA</t>
  </si>
  <si>
    <t>NEW HARTFORD</t>
  </si>
  <si>
    <t>BAMBARA JULIE</t>
  </si>
  <si>
    <t>E0067494</t>
  </si>
  <si>
    <t>BAMBARA JULIE ANN</t>
  </si>
  <si>
    <t>HARVEY DARREL</t>
  </si>
  <si>
    <t>E0283606</t>
  </si>
  <si>
    <t>DARREL JAMES HARVEY</t>
  </si>
  <si>
    <t>HARVEY DARREL JAMES RPT</t>
  </si>
  <si>
    <t>RAJARAM ASWINI</t>
  </si>
  <si>
    <t>E0295565</t>
  </si>
  <si>
    <t>10-42 MITCHELL AVENUE</t>
  </si>
  <si>
    <t>REILLY TRACEY</t>
  </si>
  <si>
    <t>E0032539</t>
  </si>
  <si>
    <t>REILLY TRACEY H MD</t>
  </si>
  <si>
    <t>REYES ROWENA</t>
  </si>
  <si>
    <t>E0009574</t>
  </si>
  <si>
    <t>REYES ROWENN MARIA MD</t>
  </si>
  <si>
    <t>REYES ROWENA MARIA MD</t>
  </si>
  <si>
    <t>REYNOLDS ROBERT</t>
  </si>
  <si>
    <t>E0077615</t>
  </si>
  <si>
    <t>REYNOLDS ROBERT MICHAEL</t>
  </si>
  <si>
    <t>RIPLEY KENNETH MR.</t>
  </si>
  <si>
    <t>E0172860</t>
  </si>
  <si>
    <t>RIPLEY KENNETH DALE JR</t>
  </si>
  <si>
    <t>DEPOSIT FAM CARE CTR</t>
  </si>
  <si>
    <t>RIVARD KATHERINE</t>
  </si>
  <si>
    <t>E0327691</t>
  </si>
  <si>
    <t>KATHERINE M RIVARD</t>
  </si>
  <si>
    <t>RIVARD KATHERINE M</t>
  </si>
  <si>
    <t>HANDICAPPED CHILDRENS ASSN SMP</t>
  </si>
  <si>
    <t>E0373573</t>
  </si>
  <si>
    <t>HANDICAPPED CHILDREN'S ASSOCIATION</t>
  </si>
  <si>
    <t>E0340786</t>
  </si>
  <si>
    <t>HANDICAPPED CHILDRENS ASSOC OF SOUT</t>
  </si>
  <si>
    <t>225 FRONT ST STE 1</t>
  </si>
  <si>
    <t>FAMILY &amp; CHILD SRV OF ITHACA</t>
  </si>
  <si>
    <t>E0215391</t>
  </si>
  <si>
    <t>David Shapiro</t>
  </si>
  <si>
    <t>(607) 273-7497</t>
  </si>
  <si>
    <t>FAMILY &amp; CHILDREN'S SERVICE OF ITHACA INC</t>
  </si>
  <si>
    <t>127 W STATE ST</t>
  </si>
  <si>
    <t>Compeer, Inc.</t>
  </si>
  <si>
    <t>Johanna Ambrose</t>
  </si>
  <si>
    <t>(800) 836-0475</t>
  </si>
  <si>
    <t>jambrose@compeer.org</t>
  </si>
  <si>
    <t>1600 South Avenue</t>
  </si>
  <si>
    <t>Compeer of the Southern Tier</t>
  </si>
  <si>
    <t>Kathy Eckert</t>
  </si>
  <si>
    <t>(607) 771-8888</t>
  </si>
  <si>
    <t>kathy.eckert@yourmha.com</t>
  </si>
  <si>
    <t>153 Court Street</t>
  </si>
  <si>
    <t>Compeer Chemung</t>
  </si>
  <si>
    <t>Nicole Bouchard-Erway</t>
  </si>
  <si>
    <t>(607) 737-2490</t>
  </si>
  <si>
    <t>nboucharderway@familyservices.cc</t>
  </si>
  <si>
    <t>550 E. Church Street</t>
  </si>
  <si>
    <t>Compeer Steuben</t>
  </si>
  <si>
    <t>Tracie Barner</t>
  </si>
  <si>
    <t>(607) 664-2045</t>
  </si>
  <si>
    <t>compeer@co.steuben.ny.us</t>
  </si>
  <si>
    <t>114 Chestnut Street</t>
  </si>
  <si>
    <t>Suicide Prevention and Crisis Service</t>
  </si>
  <si>
    <t>Lee Ellen Marvin</t>
  </si>
  <si>
    <t>(607) 272-1616</t>
  </si>
  <si>
    <t>124 E. Court Street</t>
  </si>
  <si>
    <t>UNITY HOUSE OF CAYUGA CO SPV</t>
  </si>
  <si>
    <t>E0074808</t>
  </si>
  <si>
    <t>Elizabeth Smith</t>
  </si>
  <si>
    <t>(315) 253-6227</t>
  </si>
  <si>
    <t>UNITY HOUSE OF CAYUGA CO SPT</t>
  </si>
  <si>
    <t>E0025826</t>
  </si>
  <si>
    <t>UNITY HUSE OF CAYUGA CO ND 6</t>
  </si>
  <si>
    <t>OMRDD/UNITY/CAYUGA-BR</t>
  </si>
  <si>
    <t>E0099676</t>
  </si>
  <si>
    <t>UNITY/CAYUGA-BR</t>
  </si>
  <si>
    <t>34 WRIGHT AVE STE C</t>
  </si>
  <si>
    <t>UNITY HOUSE OF CAYUGA CTY SMP</t>
  </si>
  <si>
    <t>E0083143</t>
  </si>
  <si>
    <t>UNITY HS CAYUGA CO INC DAY</t>
  </si>
  <si>
    <t>E0029846</t>
  </si>
  <si>
    <t>UNITY HOUSE OF CAYUGA COUNTY, INC.</t>
  </si>
  <si>
    <t>E0154469</t>
  </si>
  <si>
    <t>UNITY HOUSE CAYUGA COUNTY INC</t>
  </si>
  <si>
    <t>UNITY HOUSE CAYUGA CO INC</t>
  </si>
  <si>
    <t>56 GRANT AVE APT 5 &amp; 6</t>
  </si>
  <si>
    <t>Regional Medical Practice, PC</t>
  </si>
  <si>
    <t>E0317801</t>
  </si>
  <si>
    <t>REGIONAL MEDICAL PRACTICE PC</t>
  </si>
  <si>
    <t>REGIONAL MEDICAL PRACTICE, PC</t>
  </si>
  <si>
    <t>Kwame Adusei</t>
  </si>
  <si>
    <t>E0118348</t>
  </si>
  <si>
    <t>ADUSEI KWAME A MD</t>
  </si>
  <si>
    <t>ADUSEI KWAME</t>
  </si>
  <si>
    <t>Chaudhury Davuluri</t>
  </si>
  <si>
    <t>E0047430</t>
  </si>
  <si>
    <t>DAVULURI CHAUDHURY D K</t>
  </si>
  <si>
    <t>DAVULURI CHAUDHURY</t>
  </si>
  <si>
    <t>LABOR &amp; DELIVERY</t>
  </si>
  <si>
    <t>INGERICK BRENT S DO</t>
  </si>
  <si>
    <t>E0042008</t>
  </si>
  <si>
    <t>INGERICK BRENT DR.</t>
  </si>
  <si>
    <t>JONES EDWARD LESLIE MD</t>
  </si>
  <si>
    <t>E0220330</t>
  </si>
  <si>
    <t>JONES EDWARD DR.</t>
  </si>
  <si>
    <t>KHAN ROWSHANUL ISLAM MD</t>
  </si>
  <si>
    <t>E0083932</t>
  </si>
  <si>
    <t>KHAN ROWSHANUL DR.</t>
  </si>
  <si>
    <t>KHAN ROWSHANUL ISLAM</t>
  </si>
  <si>
    <t>KOHN DANIEL MICHAEL</t>
  </si>
  <si>
    <t>E0343524</t>
  </si>
  <si>
    <t>KOHN DANIEL DR.</t>
  </si>
  <si>
    <t>KUNTZ BRUCE L MD</t>
  </si>
  <si>
    <t>E0077749</t>
  </si>
  <si>
    <t>KUNTZ BRUCE DR.</t>
  </si>
  <si>
    <t>LEESON THOMAS A</t>
  </si>
  <si>
    <t>E0351757</t>
  </si>
  <si>
    <t>LEESON THOMAS</t>
  </si>
  <si>
    <t>LEWIS PAULETTE V MD</t>
  </si>
  <si>
    <t>E0123898</t>
  </si>
  <si>
    <t>LEWIS PAULETTE DR.</t>
  </si>
  <si>
    <t>OXFORD HLTH CTRS</t>
  </si>
  <si>
    <t>MALAVET ANGEL L MD</t>
  </si>
  <si>
    <t>E0142503</t>
  </si>
  <si>
    <t>MALAVET ANGEL DR.</t>
  </si>
  <si>
    <t>SERRANO DE MALAVET JANETTE MD</t>
  </si>
  <si>
    <t>E0142437</t>
  </si>
  <si>
    <t>SERRANO DE MALAVET JANETTE</t>
  </si>
  <si>
    <t>SERRANO DE MALAVET JANETTE DR.</t>
  </si>
  <si>
    <t>MANEK MEGHA BHARAT</t>
  </si>
  <si>
    <t>E0322185</t>
  </si>
  <si>
    <t>MANEK MEGHA</t>
  </si>
  <si>
    <t>MAUER MARK WILLIAM MD</t>
  </si>
  <si>
    <t>E0179830</t>
  </si>
  <si>
    <t>MAUER MARK WILLIAM  MD</t>
  </si>
  <si>
    <t>MAUER MARK DR.</t>
  </si>
  <si>
    <t>MAUER MARK WILLIAM</t>
  </si>
  <si>
    <t>CHEMUNG MEDICAL SVCS</t>
  </si>
  <si>
    <t>MCCLELLAND ROBERT THOMAS MD</t>
  </si>
  <si>
    <t>E0042364</t>
  </si>
  <si>
    <t>MCCLELLAND ROBERT DR.</t>
  </si>
  <si>
    <t>MCCLELLAND ROBERT THOMAS</t>
  </si>
  <si>
    <t>MCCLINTIC WILLIAM R        DO</t>
  </si>
  <si>
    <t>E0262709</t>
  </si>
  <si>
    <t>MCCLINTIC WILLIAM DR.</t>
  </si>
  <si>
    <t>MCCLINTIC WILLIAM RIDGE</t>
  </si>
  <si>
    <t>100 JOHN ST</t>
  </si>
  <si>
    <t>MEIKLE ROBERT W</t>
  </si>
  <si>
    <t>E0335100</t>
  </si>
  <si>
    <t>MEIKLE ROBERT</t>
  </si>
  <si>
    <t>MENESES ROBERT P MD</t>
  </si>
  <si>
    <t>E0146709</t>
  </si>
  <si>
    <t>MENESES ROBERT DR.</t>
  </si>
  <si>
    <t>STEUBEN MED ASSOC</t>
  </si>
  <si>
    <t>MEYERS LEE C MD</t>
  </si>
  <si>
    <t>E0020080</t>
  </si>
  <si>
    <t>MEYERS LEE DR.</t>
  </si>
  <si>
    <t>MEYERS LEE C</t>
  </si>
  <si>
    <t>7 WATER ST</t>
  </si>
  <si>
    <t>MOHYUDDIN ALIASGHAR MD</t>
  </si>
  <si>
    <t>E0101966</t>
  </si>
  <si>
    <t>MOHYUDDIN ALIASGHAR DR.</t>
  </si>
  <si>
    <t>MOHYUDDIN ALIASGHAR</t>
  </si>
  <si>
    <t>GUTHRIE MED GRP PC</t>
  </si>
  <si>
    <t>NAIK DHRUTI MD</t>
  </si>
  <si>
    <t>E0024914</t>
  </si>
  <si>
    <t>NAIK DHRUTI</t>
  </si>
  <si>
    <t>222 STATION PLZ N</t>
  </si>
  <si>
    <t>MINEOLA</t>
  </si>
  <si>
    <t>ODIFE AMECHI VALENTINE JR MD</t>
  </si>
  <si>
    <t>E0298193</t>
  </si>
  <si>
    <t>ODIFE AMECHI DR.</t>
  </si>
  <si>
    <t>PALAKKUMAR K PATEL   MD</t>
  </si>
  <si>
    <t>E0296938</t>
  </si>
  <si>
    <t>PALAKKUMAR K PATEL MD</t>
  </si>
  <si>
    <t>PATEL PALAKKUMAR DR.</t>
  </si>
  <si>
    <t>PERALTA EDELWEISS DE PERIO</t>
  </si>
  <si>
    <t>E0363412</t>
  </si>
  <si>
    <t>31 ARNOT RD STE A</t>
  </si>
  <si>
    <t>PERLE KRISTINE ELLEN MD</t>
  </si>
  <si>
    <t>E0293440</t>
  </si>
  <si>
    <t>PERLE KRISTINE</t>
  </si>
  <si>
    <t>PERLE KRISTINE ELLEN</t>
  </si>
  <si>
    <t>9768 LIBERTY DR</t>
  </si>
  <si>
    <t>PFISTERER DAVID ALAN MD</t>
  </si>
  <si>
    <t>E0133502</t>
  </si>
  <si>
    <t>PFISTERER DAVID DR.</t>
  </si>
  <si>
    <t>PFISTERER DAVID ALAN</t>
  </si>
  <si>
    <t>110 PLAZA LN</t>
  </si>
  <si>
    <t>PHILLIPS ERIC C MD</t>
  </si>
  <si>
    <t>E0156811</t>
  </si>
  <si>
    <t>PHILLIPS ERIC DR.</t>
  </si>
  <si>
    <t>PHILLIPS ERIC CHRISTOPHER</t>
  </si>
  <si>
    <t>ARONIS MICHAEL</t>
  </si>
  <si>
    <t>E0102841</t>
  </si>
  <si>
    <t>ARONIS MICHAEL MD</t>
  </si>
  <si>
    <t>130 PARK ST</t>
  </si>
  <si>
    <t>MALONE</t>
  </si>
  <si>
    <t>BOUDREAU WILLIAM</t>
  </si>
  <si>
    <t>E0159245</t>
  </si>
  <si>
    <t>BOUDREAU WILLIAM J MD</t>
  </si>
  <si>
    <t>CORTLAND MEM HOSP</t>
  </si>
  <si>
    <t>OBRIEN JAMES</t>
  </si>
  <si>
    <t>E0147486</t>
  </si>
  <si>
    <t>OBRIEN JAMES K MD</t>
  </si>
  <si>
    <t>GROMNIAK SUZANNE</t>
  </si>
  <si>
    <t>E0122254</t>
  </si>
  <si>
    <t>GROMNIAK SUZANNE M</t>
  </si>
  <si>
    <t>262 CONKLIN AVE</t>
  </si>
  <si>
    <t>BARRETO MARK DR.</t>
  </si>
  <si>
    <t>E0283588</t>
  </si>
  <si>
    <t>BARRETO MARK ANTHONY MD</t>
  </si>
  <si>
    <t>JOSEPH JASON</t>
  </si>
  <si>
    <t>E0009310</t>
  </si>
  <si>
    <t>JOSEPH JASON MD</t>
  </si>
  <si>
    <t>ONYSKO MELODYE</t>
  </si>
  <si>
    <t>E0100833</t>
  </si>
  <si>
    <t>ONYSKO MELODYE ELAINE CNM</t>
  </si>
  <si>
    <t>ONYSKO MELODYE ELAINE</t>
  </si>
  <si>
    <t>24 MADISON AVE</t>
  </si>
  <si>
    <t>GUTER MARVIN DR.</t>
  </si>
  <si>
    <t>E0180754</t>
  </si>
  <si>
    <t>GUTER MARVIN G MD</t>
  </si>
  <si>
    <t>MASARECH MARTIN</t>
  </si>
  <si>
    <t>E0205270</t>
  </si>
  <si>
    <t>MASARECH MARTIN CHARLES    MD</t>
  </si>
  <si>
    <t>BABA MICHAEL DR.</t>
  </si>
  <si>
    <t>E0335389</t>
  </si>
  <si>
    <t>BABA MICHAEL JOHN</t>
  </si>
  <si>
    <t>1290 UPPER FRONT ST</t>
  </si>
  <si>
    <t>BURPEE CHARLES</t>
  </si>
  <si>
    <t>E0027167</t>
  </si>
  <si>
    <t>BURPEE CHARLES ALAN  PT</t>
  </si>
  <si>
    <t>BURPEE CHARLES ALAN</t>
  </si>
  <si>
    <t>HINKLEY KIRK DR.</t>
  </si>
  <si>
    <t>E0321869</t>
  </si>
  <si>
    <t>HINKLEY KIRK STEPHENS IV</t>
  </si>
  <si>
    <t>433 CHURCH ST</t>
  </si>
  <si>
    <t>NEW MILFORD</t>
  </si>
  <si>
    <t>GEORGE MATTHEW</t>
  </si>
  <si>
    <t>E0047206</t>
  </si>
  <si>
    <t>GEORGE MATTHEW W</t>
  </si>
  <si>
    <t>FREEMAN MICHAEL DR.</t>
  </si>
  <si>
    <t>E0117775</t>
  </si>
  <si>
    <t>FREEMAN MICHAEL JAY DO</t>
  </si>
  <si>
    <t>NAUGHTON CONNIE</t>
  </si>
  <si>
    <t>E0067301</t>
  </si>
  <si>
    <t>NAUGHTON CONNIE A</t>
  </si>
  <si>
    <t>GOLDEN JAMES</t>
  </si>
  <si>
    <t>E0315051</t>
  </si>
  <si>
    <t>GOLDEN JAMES EDWARD</t>
  </si>
  <si>
    <t>DOWD SHARON</t>
  </si>
  <si>
    <t>E0125401</t>
  </si>
  <si>
    <t>DOWD SHARON A</t>
  </si>
  <si>
    <t>COOK HENRY</t>
  </si>
  <si>
    <t>E0001393</t>
  </si>
  <si>
    <t>COOK HENRY NEAL</t>
  </si>
  <si>
    <t>ARGETSINGER DOROTHY</t>
  </si>
  <si>
    <t>E0304583</t>
  </si>
  <si>
    <t>BRERETON JOHN DR.</t>
  </si>
  <si>
    <t>E0241405</t>
  </si>
  <si>
    <t>BRERETON JOHN              MD</t>
  </si>
  <si>
    <t>MEDICAL ARTS BLDG</t>
  </si>
  <si>
    <t>HAVTUR ASHLEY</t>
  </si>
  <si>
    <t>E0326552</t>
  </si>
  <si>
    <t>ASHLEY MARIE HAVTUR</t>
  </si>
  <si>
    <t>HAVTUR ASHLEY MARIE</t>
  </si>
  <si>
    <t>ALKHALIDI OMAR DR.</t>
  </si>
  <si>
    <t>E0035765</t>
  </si>
  <si>
    <t>AL-KHALIDI OMAR FAROUQ MD</t>
  </si>
  <si>
    <t>AL-KHALIDI OMAR FAROUQ</t>
  </si>
  <si>
    <t>52-57 HARRISON ST</t>
  </si>
  <si>
    <t>JEWELL JAMES</t>
  </si>
  <si>
    <t>E0197179</t>
  </si>
  <si>
    <t>JEWELL JAMES R             MD</t>
  </si>
  <si>
    <t>FACTOUROVICH INNA</t>
  </si>
  <si>
    <t>E0038910</t>
  </si>
  <si>
    <t>FACTOUROVICH INNA MD</t>
  </si>
  <si>
    <t>GASPARIS DEMETRIOS DR.</t>
  </si>
  <si>
    <t>E0298911</t>
  </si>
  <si>
    <t>GASPARIS DEMETRIOS MD</t>
  </si>
  <si>
    <t>GASPARIS DEMETRIOS</t>
  </si>
  <si>
    <t>OSBORNE THOMAS</t>
  </si>
  <si>
    <t>E0283614</t>
  </si>
  <si>
    <t>THOMAS NELSON OSBORNE</t>
  </si>
  <si>
    <t>OSBORNE THOMAS NELSON  MD</t>
  </si>
  <si>
    <t>MCCANN JOSEPH DR.</t>
  </si>
  <si>
    <t>E0183659</t>
  </si>
  <si>
    <t>MCCANN JOSEPH THOMAS PHD</t>
  </si>
  <si>
    <t>MCCANN JOSEPH THOMAS</t>
  </si>
  <si>
    <t>MURPHY MATTHEW</t>
  </si>
  <si>
    <t>E0296853</t>
  </si>
  <si>
    <t>MURPHY MATTHEW PAUL</t>
  </si>
  <si>
    <t>KACYRAT JAMAL</t>
  </si>
  <si>
    <t>E0221410</t>
  </si>
  <si>
    <t>KACYRAT JAMAL              MD</t>
  </si>
  <si>
    <t>CRON AMY</t>
  </si>
  <si>
    <t>E0332172</t>
  </si>
  <si>
    <t>CRON AMY ESTHER</t>
  </si>
  <si>
    <t>SHEIKH MUSTAQ</t>
  </si>
  <si>
    <t>E0258616</t>
  </si>
  <si>
    <t>SHEIKH MUSHTAQ A           MD</t>
  </si>
  <si>
    <t>1879 W WATER ST</t>
  </si>
  <si>
    <t>BAXTER FRANKLIN DR.</t>
  </si>
  <si>
    <t>E0334047</t>
  </si>
  <si>
    <t>BAXTER FRANKLIN</t>
  </si>
  <si>
    <t>BAXTER FRANKLIN ROSS</t>
  </si>
  <si>
    <t>ABRAMS JUDITH MRS.</t>
  </si>
  <si>
    <t>E0345548</t>
  </si>
  <si>
    <t>JUDITH ANN ABRAMS</t>
  </si>
  <si>
    <t>All Other:: Clinic:: Practitioner - Non-Primary Care Provider (PCP)</t>
  </si>
  <si>
    <t>Friends of Recovery Delaware and Otsego</t>
  </si>
  <si>
    <t>Jeanette Tolson</t>
  </si>
  <si>
    <t>(607) 267-4435</t>
  </si>
  <si>
    <t>edfordo@hotmail.com</t>
  </si>
  <si>
    <t>22 Elm Street</t>
  </si>
  <si>
    <t>Oneonta</t>
  </si>
  <si>
    <t>Tompkins Community Action</t>
  </si>
  <si>
    <t>Lee Dillon</t>
  </si>
  <si>
    <t>(607) 273-8816</t>
  </si>
  <si>
    <t>701 Spencer Road</t>
  </si>
  <si>
    <t>ACCESS TO HOME CARE SERVICES INC.</t>
  </si>
  <si>
    <t>Tina Nash</t>
  </si>
  <si>
    <t>(315) 258-2842</t>
  </si>
  <si>
    <t>t.nash@accesshomecarecny.com</t>
  </si>
  <si>
    <t>1947 WHITEHEAD LN</t>
  </si>
  <si>
    <t>DICK VAN DYKE ADDICTION TREATMENT CENTER</t>
  </si>
  <si>
    <t>E0156742</t>
  </si>
  <si>
    <t>DICK VAN DYKE A T C</t>
  </si>
  <si>
    <t>Russ Traunstein</t>
  </si>
  <si>
    <t>(607) 869-9500</t>
  </si>
  <si>
    <t>russ.traunstein@oasas.ny.gov</t>
  </si>
  <si>
    <t>7116 COUNTY RD 132</t>
  </si>
  <si>
    <t>WILLIARD</t>
  </si>
  <si>
    <t>RITTER JADE ANNIQUE</t>
  </si>
  <si>
    <t>E0367109</t>
  </si>
  <si>
    <t>CARTER JADE</t>
  </si>
  <si>
    <t>CARTER JADE ANNIQUE</t>
  </si>
  <si>
    <t>23 CENTRAL ST</t>
  </si>
  <si>
    <t>STORMANN NITA J</t>
  </si>
  <si>
    <t>E0049741</t>
  </si>
  <si>
    <t>STORMANN NITA</t>
  </si>
  <si>
    <t>134 HOLMER AVE</t>
  </si>
  <si>
    <t>FITZGERALD KATHLEEN J</t>
  </si>
  <si>
    <t>E0049687</t>
  </si>
  <si>
    <t>FITZGERALD KATHLEEN</t>
  </si>
  <si>
    <t>PAVILION OPERATIONS, LLC</t>
  </si>
  <si>
    <t>E0370246</t>
  </si>
  <si>
    <t>PAVILION OPERATIONS , LLC</t>
  </si>
  <si>
    <t>Isaac Rubin</t>
  </si>
  <si>
    <t>(917) 618-4869</t>
  </si>
  <si>
    <t>irubin@centersforcare.org</t>
  </si>
  <si>
    <t>CORNING CENTER FOR  REHABILITATION</t>
  </si>
  <si>
    <t>205 E 1ST ST</t>
  </si>
  <si>
    <t>Audry LaFrenier</t>
  </si>
  <si>
    <t># M04</t>
  </si>
  <si>
    <t>Qutaybeh Maghaydah</t>
  </si>
  <si>
    <t>E0040673</t>
  </si>
  <si>
    <t>MAGHAYDAH QUTAYBEH S MD</t>
  </si>
  <si>
    <t>MaghaydahQ@gmail.com</t>
  </si>
  <si>
    <t>MAGHAYDAH QUTAYBEH</t>
  </si>
  <si>
    <t>STE 202</t>
  </si>
  <si>
    <t>Jonathan Mauser</t>
  </si>
  <si>
    <t>E0147132</t>
  </si>
  <si>
    <t>MAUSER JONATHAN FRANK MD</t>
  </si>
  <si>
    <t>mauser5@runbox.com</t>
  </si>
  <si>
    <t>MAUSER JONATHAN DR.</t>
  </si>
  <si>
    <t>ITHACA CARDIO ASSOC</t>
  </si>
  <si>
    <t>Douglas MacQueen</t>
  </si>
  <si>
    <t>E0334845</t>
  </si>
  <si>
    <t>MACQUEEN DOUGLAS D</t>
  </si>
  <si>
    <t>(607) 241-1118</t>
  </si>
  <si>
    <t>dmacqueen@cayugamed.org</t>
  </si>
  <si>
    <t>MACQUEEN DOUGLAS DR.</t>
  </si>
  <si>
    <t>Jonathan Cryer</t>
  </si>
  <si>
    <t>E0033371</t>
  </si>
  <si>
    <t>CRYER JONATHAN ERIC</t>
  </si>
  <si>
    <t>jonecryer@yahoo.com</t>
  </si>
  <si>
    <t>CRYER JONATHAN</t>
  </si>
  <si>
    <t>Justine Schaff</t>
  </si>
  <si>
    <t>E0070238</t>
  </si>
  <si>
    <t>SCHAFF JUSTINE LARA MD</t>
  </si>
  <si>
    <t>Laura Keefe</t>
  </si>
  <si>
    <t>(607) 274-3177</t>
  </si>
  <si>
    <t>jschaff@ithaca.edu</t>
  </si>
  <si>
    <t>WALDMAN JUSTINE</t>
  </si>
  <si>
    <t>WALDMAN JUSTINE LARA MD</t>
  </si>
  <si>
    <t>105 MARYS AVE</t>
  </si>
  <si>
    <t>KINGSTON</t>
  </si>
  <si>
    <t>Eric Lessinger</t>
  </si>
  <si>
    <t>E0256334</t>
  </si>
  <si>
    <t>LESSINGER ERIC             MD</t>
  </si>
  <si>
    <t>(607) 272-2012</t>
  </si>
  <si>
    <t>elessinger@hospicare.org</t>
  </si>
  <si>
    <t>LESSINGER ERIC</t>
  </si>
  <si>
    <t>Nisar Alvi</t>
  </si>
  <si>
    <t>E0038297</t>
  </si>
  <si>
    <t>ALVI NISAR AHMED MD</t>
  </si>
  <si>
    <t>Murawski, Megan</t>
  </si>
  <si>
    <t>nisar0801@gmail.com</t>
  </si>
  <si>
    <t>ALVI NISAR DR.</t>
  </si>
  <si>
    <t>Eric Chanko</t>
  </si>
  <si>
    <t>E0296701</t>
  </si>
  <si>
    <t>CHANKO ERIC H</t>
  </si>
  <si>
    <t>echanko@earthlink.net</t>
  </si>
  <si>
    <t>CHANKO ERIC DR.</t>
  </si>
  <si>
    <t>Andreia deLima</t>
  </si>
  <si>
    <t>E0300939</t>
  </si>
  <si>
    <t>ANDREIA PEREIRA DE LIMA</t>
  </si>
  <si>
    <t>a_p_lima@hotmail.com; adelima@cayugamed.org</t>
  </si>
  <si>
    <t>DE LIMA ANDREIA</t>
  </si>
  <si>
    <t>DE LIMA ANDREIA PEREIRA</t>
  </si>
  <si>
    <t>James Della Valle</t>
  </si>
  <si>
    <t>E0224636</t>
  </si>
  <si>
    <t>DELLA VALLE JAMES          MD</t>
  </si>
  <si>
    <t>james.dellavalle@yahoo.com</t>
  </si>
  <si>
    <t>DELLAVALLE JAMES</t>
  </si>
  <si>
    <t>Fred Frankenberg</t>
  </si>
  <si>
    <t>E0341627</t>
  </si>
  <si>
    <t>FRANKENBERG FRED WAYNE II</t>
  </si>
  <si>
    <t>ffrankenberg@cayugamed.org</t>
  </si>
  <si>
    <t>FRANKENBERG FRED DR.</t>
  </si>
  <si>
    <t>Magdalena Hohn</t>
  </si>
  <si>
    <t>E0017039</t>
  </si>
  <si>
    <t>HOHN MAGDALENA D MD</t>
  </si>
  <si>
    <t>mthohn@gmail.com</t>
  </si>
  <si>
    <t>HOHN MAGDALENA DR.</t>
  </si>
  <si>
    <t>Fredric Kardon</t>
  </si>
  <si>
    <t>E0226267</t>
  </si>
  <si>
    <t>KARDON FREDRIC M           MD</t>
  </si>
  <si>
    <t>fredrickardon@gmail.com</t>
  </si>
  <si>
    <t>KARDON FREDRIC DR.</t>
  </si>
  <si>
    <t>SUITE 106</t>
  </si>
  <si>
    <t>Charbel Moussallem</t>
  </si>
  <si>
    <t>E0035881</t>
  </si>
  <si>
    <t>MOUSSALLEM CHARBEL GEORGES</t>
  </si>
  <si>
    <t>lebrach22@hotmail.com</t>
  </si>
  <si>
    <t>MOUSSALLEM CHARBEL</t>
  </si>
  <si>
    <t>PHYKITT DONALD MD</t>
  </si>
  <si>
    <t>E0151097</t>
  </si>
  <si>
    <t>PHYKITT DONALD DR.</t>
  </si>
  <si>
    <t>PHYKITT DONALD</t>
  </si>
  <si>
    <t>PRABHU SHEELA MD</t>
  </si>
  <si>
    <t>E0042729</t>
  </si>
  <si>
    <t>PRABHU SHEELA DR.</t>
  </si>
  <si>
    <t>PRABHU SHEELA</t>
  </si>
  <si>
    <t>QADIR ABDUL                MD</t>
  </si>
  <si>
    <t>E0230770</t>
  </si>
  <si>
    <t>QADIR ABDUL DR.</t>
  </si>
  <si>
    <t>QADIR ABDUL</t>
  </si>
  <si>
    <t>Joseph Hinterberger MD</t>
  </si>
  <si>
    <t>E0140093</t>
  </si>
  <si>
    <t>HINTERBERGER JOSEPH W MD</t>
  </si>
  <si>
    <t>hinterbergerj@schuylerhospital.org</t>
  </si>
  <si>
    <t>HINTERBERGER JOSEPH DR.</t>
  </si>
  <si>
    <t>HINTERBERGER JOSEPH WILLIAM</t>
  </si>
  <si>
    <t>Pat Nelson PA</t>
  </si>
  <si>
    <t>E0288357</t>
  </si>
  <si>
    <t>NELSON PATRICIA JOAN RPA</t>
  </si>
  <si>
    <t>nelsonp@schuylerhospital.org</t>
  </si>
  <si>
    <t>NELSON PATRICIA MS.</t>
  </si>
  <si>
    <t>Michael Ronald PA</t>
  </si>
  <si>
    <t>E0073420</t>
  </si>
  <si>
    <t>RONALD MICHAEL R</t>
  </si>
  <si>
    <t>ronaldm@schuylerhospital.org</t>
  </si>
  <si>
    <t>RONALD MICHAEL</t>
  </si>
  <si>
    <t>Noreen Ruff PA</t>
  </si>
  <si>
    <t>E0325273</t>
  </si>
  <si>
    <t>NOREEN RUFF</t>
  </si>
  <si>
    <t>ruffn@schuylerhospital.org</t>
  </si>
  <si>
    <t>RUFF NOREEN MS.</t>
  </si>
  <si>
    <t>RUFF NOREEN</t>
  </si>
  <si>
    <t>Patrick Schamel, PA</t>
  </si>
  <si>
    <t>E0339304</t>
  </si>
  <si>
    <t>SCHAMEL PATRICK B</t>
  </si>
  <si>
    <t>schamelp@schuylerhospital.org</t>
  </si>
  <si>
    <t>SCHAMEL PATRICK MR.</t>
  </si>
  <si>
    <t>Rosa Solis, M.D.</t>
  </si>
  <si>
    <t>E0058652</t>
  </si>
  <si>
    <t>SOLIS ROSA A MD</t>
  </si>
  <si>
    <t>Rosa_Solis@uhs.org</t>
  </si>
  <si>
    <t>SOLIS ROSA</t>
  </si>
  <si>
    <t>Kelly M. Reynolds, PA</t>
  </si>
  <si>
    <t>E0347070</t>
  </si>
  <si>
    <t>REYNOLDS KELLY M</t>
  </si>
  <si>
    <t>Kelly_Reynolds@uhs.org</t>
  </si>
  <si>
    <t>REYNOLDS KELLY</t>
  </si>
  <si>
    <t>Ho Ling (Tina) Siu, NP</t>
  </si>
  <si>
    <t>E0365547</t>
  </si>
  <si>
    <t>SIU HOLING</t>
  </si>
  <si>
    <t>Holing_Siu@uhs.org</t>
  </si>
  <si>
    <t>SIU HO LING</t>
  </si>
  <si>
    <t>Nicholas Tarnowski, PA</t>
  </si>
  <si>
    <t>E0341862</t>
  </si>
  <si>
    <t>TARNOWSKI NICHOLAS J</t>
  </si>
  <si>
    <t>Nicholas_Tarnowski@uhs.org</t>
  </si>
  <si>
    <t>TARNOWSKI NICHOLAS</t>
  </si>
  <si>
    <t>Wayne Teris, M.D.</t>
  </si>
  <si>
    <t>E0198341</t>
  </si>
  <si>
    <t>TERIS WAYNE C              MD</t>
  </si>
  <si>
    <t>Wayne_Teris@lourdes.com</t>
  </si>
  <si>
    <t>TERIS WAYNE</t>
  </si>
  <si>
    <t>TERIS WAYNE C MD</t>
  </si>
  <si>
    <t>Steven R. Walker, RPA-C</t>
  </si>
  <si>
    <t>E0165851</t>
  </si>
  <si>
    <t>WALKER STEVEN R</t>
  </si>
  <si>
    <t>Steve_Walker@uhs.org</t>
  </si>
  <si>
    <t>WALKER STEVEN MR.</t>
  </si>
  <si>
    <t>Christopher Winterstein, NP</t>
  </si>
  <si>
    <t>E0342147</t>
  </si>
  <si>
    <t>WINTERSTEIN CHRISTOPHER JAMES</t>
  </si>
  <si>
    <t>Christopher_Winterstein@uhs.org</t>
  </si>
  <si>
    <t>WINTERSTEIN CHRISTOPHER</t>
  </si>
  <si>
    <t>Hossein Zarrini, M.D.</t>
  </si>
  <si>
    <t>E0016234</t>
  </si>
  <si>
    <t>ZARRINI HOSSEIN MD</t>
  </si>
  <si>
    <t>Hossein_Zarrini@uhs.org</t>
  </si>
  <si>
    <t>ZARRINI HOSSEIN</t>
  </si>
  <si>
    <t>Douglas Taber, D.C.</t>
  </si>
  <si>
    <t>E0319393</t>
  </si>
  <si>
    <t>DOUGLAS JAY TABER</t>
  </si>
  <si>
    <t>(607) 754-4850</t>
  </si>
  <si>
    <t>Douglas_Taber@uhs.org</t>
  </si>
  <si>
    <t>TABER DOUGLAS</t>
  </si>
  <si>
    <t>TABER DOUGLAS JAY</t>
  </si>
  <si>
    <t>CHIROPRACTOR/PORT-XRAY-SVC  - QMB SERVICES</t>
  </si>
  <si>
    <t>Helene Longacre-Price, M.D.</t>
  </si>
  <si>
    <t>E0081223</t>
  </si>
  <si>
    <t>LONGACRE HELENE C MD</t>
  </si>
  <si>
    <t>(607) 625-5004</t>
  </si>
  <si>
    <t>Helen_Longacre-Price@uhs.org</t>
  </si>
  <si>
    <t>LONGACRE-PRICE HELENE DR.</t>
  </si>
  <si>
    <t>LONGACRE-PRICE HELENE C MD</t>
  </si>
  <si>
    <t>9578 STATE ROUTE 434</t>
  </si>
  <si>
    <t>Barbara L. Wiseman, M.D.</t>
  </si>
  <si>
    <t>E0175790</t>
  </si>
  <si>
    <t>WISEMAN BARBARA L  MD</t>
  </si>
  <si>
    <t>Barbara_Wiseman@uhs.org</t>
  </si>
  <si>
    <t>WISEMAN BARBARA</t>
  </si>
  <si>
    <t>Teresa A. Sacco-Bedosky, M.D.</t>
  </si>
  <si>
    <t>E0135752</t>
  </si>
  <si>
    <t>SACCO-BEDOSKY TERESA ANN</t>
  </si>
  <si>
    <t>Teresa_Sacco@uhs.org</t>
  </si>
  <si>
    <t>SACCO-BEDOSKY TERESA</t>
  </si>
  <si>
    <t>BINGHAMPTON GENERAL</t>
  </si>
  <si>
    <t>Bryan Burke, PA</t>
  </si>
  <si>
    <t>E0314738</t>
  </si>
  <si>
    <t>BRYAN MATTHEW BURKE</t>
  </si>
  <si>
    <t>Bryan_Burke@uhs.org</t>
  </si>
  <si>
    <t>BURKE BRYAN</t>
  </si>
  <si>
    <t>BURKE BRYAN MATTHEW</t>
  </si>
  <si>
    <t>Terri Chase, NP</t>
  </si>
  <si>
    <t>E0004545</t>
  </si>
  <si>
    <t>CHASE TERRI</t>
  </si>
  <si>
    <t>Terri_Chase@uhs.org</t>
  </si>
  <si>
    <t>CHASE TERRI MS.</t>
  </si>
  <si>
    <t>CHASE TERRI LYNN</t>
  </si>
  <si>
    <t>Aaron Daggy, M.D.</t>
  </si>
  <si>
    <t>E0064487</t>
  </si>
  <si>
    <t>BRETZ GREGORY J RPA</t>
  </si>
  <si>
    <t>Aaron_Daggy@uhs.org</t>
  </si>
  <si>
    <t>BRETZ GREGORY</t>
  </si>
  <si>
    <t>Andrea DellaValle, D.O.</t>
  </si>
  <si>
    <t>E0343330</t>
  </si>
  <si>
    <t>DELLAVALLE ANDREA</t>
  </si>
  <si>
    <t>Andrea_DellaValle@uhs.org</t>
  </si>
  <si>
    <t>Brett Dietzman, NP</t>
  </si>
  <si>
    <t>E0297061</t>
  </si>
  <si>
    <t>DIETZMAN BRETT ANDREW</t>
  </si>
  <si>
    <t>Brett_Dietzman@uhs.org</t>
  </si>
  <si>
    <t>DIETZMAN BRETT</t>
  </si>
  <si>
    <t>Dina M. Farrell, M.D.</t>
  </si>
  <si>
    <t>E0133455</t>
  </si>
  <si>
    <t>FARRELL DINA</t>
  </si>
  <si>
    <t>Dina_Farrell@uhs.org</t>
  </si>
  <si>
    <t>Stephen Gomez, M.D.</t>
  </si>
  <si>
    <t>E0119111</t>
  </si>
  <si>
    <t>GOMEZ STEPHEN DOMINIC MD</t>
  </si>
  <si>
    <t>Stephen_Gomez@uhs.org</t>
  </si>
  <si>
    <t>GOMEZ STEPHEN</t>
  </si>
  <si>
    <t>Michael Schreck, M.D.</t>
  </si>
  <si>
    <t>E0216004</t>
  </si>
  <si>
    <t>SCHRECK MICHAEL J MD</t>
  </si>
  <si>
    <t>Michael_Schreck@uhs.org</t>
  </si>
  <si>
    <t>SCHRECK MICHAEL</t>
  </si>
  <si>
    <t>SCHRECK MICHAEL J</t>
  </si>
  <si>
    <t>BINGHAMTON GEN EM RM</t>
  </si>
  <si>
    <t>Stuart Stiles, M.D.</t>
  </si>
  <si>
    <t>E0190256</t>
  </si>
  <si>
    <t>STILES STUART MD</t>
  </si>
  <si>
    <t>Stuart_Stiles@uhs.org</t>
  </si>
  <si>
    <t>STILES STUART</t>
  </si>
  <si>
    <t>CORTLAND REGIONAL NURSING &amp; REH CTR</t>
  </si>
  <si>
    <t>E0155504</t>
  </si>
  <si>
    <t>CORTLAND REGIONAL MEDICAL CENTER IN</t>
  </si>
  <si>
    <t>SHAH MANISH DR.</t>
  </si>
  <si>
    <t>E0346403</t>
  </si>
  <si>
    <t>SHAH MANISH VIPINCHADRA</t>
  </si>
  <si>
    <t>MILESTONES PEDIATRIC OCCUPATIONAL THERAPY PC</t>
  </si>
  <si>
    <t>E0345854</t>
  </si>
  <si>
    <t>MILESTONES PEDIATRIC OT PC</t>
  </si>
  <si>
    <t>O'NEILL ALLISON</t>
  </si>
  <si>
    <t>E0077811</t>
  </si>
  <si>
    <t>O'NEILL ALLISON ELIZABETH RPT</t>
  </si>
  <si>
    <t>6110 CTY RTE 32</t>
  </si>
  <si>
    <t>CHIKUNGUWO SILAS DR.</t>
  </si>
  <si>
    <t>E0362262</t>
  </si>
  <si>
    <t>CHIKUNGUWO SILAS</t>
  </si>
  <si>
    <t>CHIKUNGUWO SILAS MBASERA</t>
  </si>
  <si>
    <t>CANNON KATHLEEN</t>
  </si>
  <si>
    <t>E0105421</t>
  </si>
  <si>
    <t>CANNON KATHLEEN ANN</t>
  </si>
  <si>
    <t>Christina Kisacky</t>
  </si>
  <si>
    <t>CHILDRENS HOME RTF INC</t>
  </si>
  <si>
    <t>E0168599</t>
  </si>
  <si>
    <t>RTF CHILDRENS HOME RTF INC</t>
  </si>
  <si>
    <t>638 SQUIRREL HILL RD</t>
  </si>
  <si>
    <t>CHENANGO FORKS</t>
  </si>
  <si>
    <t>Mental Health Association of Tompkins County</t>
  </si>
  <si>
    <t>James Root</t>
  </si>
  <si>
    <t>(607) 273-9250</t>
  </si>
  <si>
    <t>director@mhaedu.org</t>
  </si>
  <si>
    <t>301 South Geneva Street</t>
  </si>
  <si>
    <t>LESLIE JOYCE</t>
  </si>
  <si>
    <t>E0234446</t>
  </si>
  <si>
    <t>LESLIE JOYCE RUTH          MD</t>
  </si>
  <si>
    <t>Joyce Leslie</t>
  </si>
  <si>
    <t>(607) 216-0021</t>
  </si>
  <si>
    <t>LESLIE JOYCE RUTH</t>
  </si>
  <si>
    <t>MADISON CO CHAP NYSARC INC</t>
  </si>
  <si>
    <t>E0154483</t>
  </si>
  <si>
    <t>NYSARC INC.</t>
  </si>
  <si>
    <t>588 BROAD ST</t>
  </si>
  <si>
    <t>E0183473</t>
  </si>
  <si>
    <t>CATHOLIC CHARITIES MH</t>
  </si>
  <si>
    <t>BROOME MHS</t>
  </si>
  <si>
    <t>Betsy Koickel, M.D.</t>
  </si>
  <si>
    <t>E0339364</t>
  </si>
  <si>
    <t>KOICKE BETSY C</t>
  </si>
  <si>
    <t>(607) 775-1771</t>
  </si>
  <si>
    <t>Betsy_Koickel@uhs.org</t>
  </si>
  <si>
    <t>KOICKEL BETSY</t>
  </si>
  <si>
    <t>KOICKEL BETSY C</t>
  </si>
  <si>
    <t>1436 BROADWAY</t>
  </si>
  <si>
    <t>HEWLETT</t>
  </si>
  <si>
    <t>Meghan Laing, N.P.</t>
  </si>
  <si>
    <t>E0352125</t>
  </si>
  <si>
    <t>LAING MEGHAN MARIE</t>
  </si>
  <si>
    <t>Meghan_Laing@uhs.org</t>
  </si>
  <si>
    <t>LAING MEGHAN</t>
  </si>
  <si>
    <t>865 US ROUTE 11</t>
  </si>
  <si>
    <t>KIRKWOOD</t>
  </si>
  <si>
    <t>Candice Oliver</t>
  </si>
  <si>
    <t>E0320720</t>
  </si>
  <si>
    <t>OLIVER CANDICE M</t>
  </si>
  <si>
    <t>coliver516@gmail.com</t>
  </si>
  <si>
    <t>OLIVER CANDICE DR.</t>
  </si>
  <si>
    <t>Kathryn Rooth</t>
  </si>
  <si>
    <t>E0339228</t>
  </si>
  <si>
    <t>ROOTH KATHRYN MARIE</t>
  </si>
  <si>
    <t>roothmed@yahoo.com</t>
  </si>
  <si>
    <t>ROOTH KATHRYN</t>
  </si>
  <si>
    <t>Martin Stallone</t>
  </si>
  <si>
    <t>E0293726</t>
  </si>
  <si>
    <t>STALLONE MARTIN</t>
  </si>
  <si>
    <t>mstallone@cayugamed.org</t>
  </si>
  <si>
    <t>STALLONE MARTIN DR.</t>
  </si>
  <si>
    <t>John Suen</t>
  </si>
  <si>
    <t>E0384969</t>
  </si>
  <si>
    <t>SUEN JOHN SHAW-DER</t>
  </si>
  <si>
    <t>jsuen@cayugamed.org</t>
  </si>
  <si>
    <t>SUEN JOHN DR.</t>
  </si>
  <si>
    <t>1355 37TH ST STE 302</t>
  </si>
  <si>
    <t>VERO BEACH</t>
  </si>
  <si>
    <t>FL</t>
  </si>
  <si>
    <t>John Bezirganian</t>
  </si>
  <si>
    <t>E0187825</t>
  </si>
  <si>
    <t>BEZIRGANIAN JOHN B MD</t>
  </si>
  <si>
    <t>(607) 274-6230</t>
  </si>
  <si>
    <t>johnbezir@yahoo.com</t>
  </si>
  <si>
    <t>BEZIRGANIAN JOHN</t>
  </si>
  <si>
    <t>Timothy Cardina</t>
  </si>
  <si>
    <t>E0246074</t>
  </si>
  <si>
    <t>CARDINA TIMOTHY M          MD</t>
  </si>
  <si>
    <t>Mary Prosperi</t>
  </si>
  <si>
    <t>(607) 273-7700</t>
  </si>
  <si>
    <t>tcardina@twcny.rr.com; marypros@twcny.rr.com</t>
  </si>
  <si>
    <t>CARDINA TIMOTHY</t>
  </si>
  <si>
    <t>Peter Clark</t>
  </si>
  <si>
    <t>E0168487</t>
  </si>
  <si>
    <t>CLARK PETER DAVID</t>
  </si>
  <si>
    <t>Katherine Wolf</t>
  </si>
  <si>
    <t>(607) 898-3341</t>
  </si>
  <si>
    <t>peterclarkmd@verizon.net</t>
  </si>
  <si>
    <t>CLARK PETER DR.</t>
  </si>
  <si>
    <t>CLARK PETER DAVID MD</t>
  </si>
  <si>
    <t>220 W SOUTH ST</t>
  </si>
  <si>
    <t>Robert Hesson</t>
  </si>
  <si>
    <t>E0214256</t>
  </si>
  <si>
    <t>HESSON ROBERT A            MD</t>
  </si>
  <si>
    <t>Heather Jones</t>
  </si>
  <si>
    <t>(607) 273-9111</t>
  </si>
  <si>
    <t>RAHMD@TWCNY.RR.COM; jscouter@aol.com</t>
  </si>
  <si>
    <t>HESSON ROBERT DR.</t>
  </si>
  <si>
    <t>STE 206</t>
  </si>
  <si>
    <t>Lucia Jander</t>
  </si>
  <si>
    <t>E0063349</t>
  </si>
  <si>
    <t>JANDER LUCIA MD</t>
  </si>
  <si>
    <t>luciajander@hotmail.com</t>
  </si>
  <si>
    <t>JANDER LUCIA</t>
  </si>
  <si>
    <t>Jeffrey Kadlecik</t>
  </si>
  <si>
    <t>E0080493</t>
  </si>
  <si>
    <t>KADLECIK JEFFREY PINKNEY DPM</t>
  </si>
  <si>
    <t>Tracie Walter</t>
  </si>
  <si>
    <t>(607) 257-7700</t>
  </si>
  <si>
    <t>jpkad@yahoo.com</t>
  </si>
  <si>
    <t>KADLECIK JEFFREY</t>
  </si>
  <si>
    <t>WEBSTER ROBERT</t>
  </si>
  <si>
    <t>E0311827</t>
  </si>
  <si>
    <t>WEBSTER ROBERT BENDANA</t>
  </si>
  <si>
    <t>80 WILLIAM DONNELLY PKWY</t>
  </si>
  <si>
    <t>ROCHE TIMOTHY</t>
  </si>
  <si>
    <t>E0071898</t>
  </si>
  <si>
    <t>ROCHE TIMOTHY SCOTT DO</t>
  </si>
  <si>
    <t>RONAN PETER</t>
  </si>
  <si>
    <t>E0209777</t>
  </si>
  <si>
    <t>RONAN PETER GRAHAM         MD</t>
  </si>
  <si>
    <t>UNTD HLTH SVC/BGH</t>
  </si>
  <si>
    <t>ROSATO ELIZABETH DR.</t>
  </si>
  <si>
    <t>E0337258</t>
  </si>
  <si>
    <t>ROSATO ELIZABETH ANN</t>
  </si>
  <si>
    <t>ROSENFELD VALERIE</t>
  </si>
  <si>
    <t>E0304468</t>
  </si>
  <si>
    <t>1040 VESTAL PKWY</t>
  </si>
  <si>
    <t>ROSENSTEIN JEROME</t>
  </si>
  <si>
    <t>E0077178</t>
  </si>
  <si>
    <t>ROSENSTEIN JEROME H MD</t>
  </si>
  <si>
    <t>ROSMAN SCOTT</t>
  </si>
  <si>
    <t>E0322552</t>
  </si>
  <si>
    <t>ROSMAN SCOTT R</t>
  </si>
  <si>
    <t>ROSS COURTNEY</t>
  </si>
  <si>
    <t>E0288029</t>
  </si>
  <si>
    <t>COURTNEY L ROSS</t>
  </si>
  <si>
    <t>EGGLESTON COURTNEY</t>
  </si>
  <si>
    <t>EGGLESTON COURTNEY L</t>
  </si>
  <si>
    <t>RUBIN HYMAN</t>
  </si>
  <si>
    <t>E0286095</t>
  </si>
  <si>
    <t>RUCHAMES ROBERT</t>
  </si>
  <si>
    <t>E0096475</t>
  </si>
  <si>
    <t>RUCHAMES ROBERT MARK</t>
  </si>
  <si>
    <t>RUITER TODD DR.</t>
  </si>
  <si>
    <t>E0290227</t>
  </si>
  <si>
    <t>RUITER TODD CHARLES DO</t>
  </si>
  <si>
    <t>43 PEARL ST W</t>
  </si>
  <si>
    <t>RYAN CHRISTOPHER</t>
  </si>
  <si>
    <t>E0153349</t>
  </si>
  <si>
    <t>RYAN CHRISTOPHER W MD</t>
  </si>
  <si>
    <t>SABATINO MICHAEL DR.</t>
  </si>
  <si>
    <t>E0322795</t>
  </si>
  <si>
    <t>SABATINO MICHAEL MD</t>
  </si>
  <si>
    <t>SABER KENDALL</t>
  </si>
  <si>
    <t>E0114297</t>
  </si>
  <si>
    <t>SABER KENDALL M</t>
  </si>
  <si>
    <t>SACKS RONALD</t>
  </si>
  <si>
    <t>E0143815</t>
  </si>
  <si>
    <t>SACKS RONALD H MD</t>
  </si>
  <si>
    <t>SANDWAY DAVID CHARLES</t>
  </si>
  <si>
    <t>E0085168</t>
  </si>
  <si>
    <t>SANTA INES CARLOS DR.</t>
  </si>
  <si>
    <t>E0206284</t>
  </si>
  <si>
    <t>SANTA-INES CARLOS P        MD</t>
  </si>
  <si>
    <t>E0035625</t>
  </si>
  <si>
    <t>SANTA INES CARLOS JR MD</t>
  </si>
  <si>
    <t>7529 MOONVALLEY DR</t>
  </si>
  <si>
    <t>SCHIAVONE MICHAEL DR.</t>
  </si>
  <si>
    <t>E0314009</t>
  </si>
  <si>
    <t>SCHIAVONE MICHAEL</t>
  </si>
  <si>
    <t>SCHLAEN BRENDA</t>
  </si>
  <si>
    <t>E0027422</t>
  </si>
  <si>
    <t>SCHLAEN BRENDA-ROXANA MD</t>
  </si>
  <si>
    <t>SCHWARTZ JERROLD</t>
  </si>
  <si>
    <t>E0068752</t>
  </si>
  <si>
    <t>SCHWARTZ JERROLD PAUL MD</t>
  </si>
  <si>
    <t>DELAWARE COUNTY OFFICE FOR THE AGING</t>
  </si>
  <si>
    <t>Tamie MacDonald</t>
  </si>
  <si>
    <t>(607) 832-5752</t>
  </si>
  <si>
    <t>tamie.macdonald@gmail.com</t>
  </si>
  <si>
    <t>6 COURT ST</t>
  </si>
  <si>
    <t>FAMILY SERVICES OF CHEMUNG COUNTY, INC.</t>
  </si>
  <si>
    <t>E0086000</t>
  </si>
  <si>
    <t>FAMILY SER OF CHEMUNG CNTY MH</t>
  </si>
  <si>
    <t>David Crist</t>
  </si>
  <si>
    <t>(607) 733-5696</t>
  </si>
  <si>
    <t>dcrist@familyservices.cc</t>
  </si>
  <si>
    <t>FAMILY SVCS OF CHEMUNG CNTY</t>
  </si>
  <si>
    <t>THE FAMILY &amp; CHILDREN'S SOCIETY, INC.</t>
  </si>
  <si>
    <t>E0263604</t>
  </si>
  <si>
    <t>SCHUYLER HOME HLTH AGCY    CO</t>
  </si>
  <si>
    <t>COUNTY OF STEUBEN TREASURERS OFFICE</t>
  </si>
  <si>
    <t>E0263466</t>
  </si>
  <si>
    <t>STEUBEN CNTY COMM SVCS BRD</t>
  </si>
  <si>
    <t>Kathryn Muller</t>
  </si>
  <si>
    <t>(607) 664-2444</t>
  </si>
  <si>
    <t>kathryn.muller@co.steuben.ny.us</t>
  </si>
  <si>
    <t>115 LIBERTY ST</t>
  </si>
  <si>
    <t>VALLONE JENNIFER MS.</t>
  </si>
  <si>
    <t>Jennifer Vallone</t>
  </si>
  <si>
    <t>(607) 744-0684</t>
  </si>
  <si>
    <t>jennifervallone@gmail.com</t>
  </si>
  <si>
    <t>Other Practitioners</t>
  </si>
  <si>
    <t>800 IRVING AVE</t>
  </si>
  <si>
    <t>CRNC LLC</t>
  </si>
  <si>
    <t>E0330384</t>
  </si>
  <si>
    <t>CORTLAND CARE CENTER</t>
  </si>
  <si>
    <t>John Alvarez</t>
  </si>
  <si>
    <t>(607) 756-9921</t>
  </si>
  <si>
    <t>jalvarez@cortlandparkrehab.com</t>
  </si>
  <si>
    <t>CRNC, LLC</t>
  </si>
  <si>
    <t>193 CLINTON AVE</t>
  </si>
  <si>
    <t>CONIFER PARK, INC</t>
  </si>
  <si>
    <t>E0157893</t>
  </si>
  <si>
    <t>CONIFER PARK</t>
  </si>
  <si>
    <t>Mike Kettle</t>
  </si>
  <si>
    <t>(800) 989-6446</t>
  </si>
  <si>
    <t>mkettle@libertymgt.com</t>
  </si>
  <si>
    <t>79 GLENRIDGE RD</t>
  </si>
  <si>
    <t>GLENVILLE</t>
  </si>
  <si>
    <t>CHENANGO MEMORIAL HOSPITAL INC</t>
  </si>
  <si>
    <t>E0267641</t>
  </si>
  <si>
    <t>CHENANGO MEMORIAL HOSP    INC</t>
  </si>
  <si>
    <t>chris_kisacky@uhs.org</t>
  </si>
  <si>
    <t>BROOME-TIOGA CO CHAP NYSARC DAY</t>
  </si>
  <si>
    <t>E0030926</t>
  </si>
  <si>
    <t>Amy Howard</t>
  </si>
  <si>
    <t>(607) 231-5218</t>
  </si>
  <si>
    <t>ahoward@achieveny.org</t>
  </si>
  <si>
    <t>CHASE MEMORIAL NURSING HOME CO INC</t>
  </si>
  <si>
    <t>E0252054</t>
  </si>
  <si>
    <t>CHASE MEMORIAL NUR HOME IN CO</t>
  </si>
  <si>
    <t>(607) 847-7000</t>
  </si>
  <si>
    <t>ceo@chasehealth.org</t>
  </si>
  <si>
    <t>CHASE MEMORIAL NURSING HOME CO</t>
  </si>
  <si>
    <t>1 TERRACE HTS</t>
  </si>
  <si>
    <t>NEW BERLIN</t>
  </si>
  <si>
    <t>THE GREATER HUDSON VALLEY FAMILY HEALTH CENTER, INC</t>
  </si>
  <si>
    <t>E0252215</t>
  </si>
  <si>
    <t>GREATER HUDSON VALLEY FAM HLT, THE</t>
  </si>
  <si>
    <t>Jesse Sarubbi</t>
  </si>
  <si>
    <t>(845) 563-1254</t>
  </si>
  <si>
    <t>jsarubbi@gvhfhc.org</t>
  </si>
  <si>
    <t>All Other:: Clinic:: Substance Abuse</t>
  </si>
  <si>
    <t>CORNERSTONE FAMILY HEALTHCARE</t>
  </si>
  <si>
    <t>147-201 LAKE ST</t>
  </si>
  <si>
    <t>NEWBURGH</t>
  </si>
  <si>
    <t>LOURDES HEALTH SUPPORT, LLC</t>
  </si>
  <si>
    <t>E0062988</t>
  </si>
  <si>
    <t>LOURDES HEALTH SUPPORT LLC</t>
  </si>
  <si>
    <t>Douglas Firpo</t>
  </si>
  <si>
    <t>(607) 724-0115</t>
  </si>
  <si>
    <t>douglas.firpo@sjhsyr.org</t>
  </si>
  <si>
    <t>1155 UPPER FRONT ST</t>
  </si>
  <si>
    <t>Catholic Charities Tompkins/Tioga</t>
  </si>
  <si>
    <t>Renee Spear</t>
  </si>
  <si>
    <t>(607) 272-5062</t>
  </si>
  <si>
    <t>rspear@dor.org</t>
  </si>
  <si>
    <t>324 West Buffalo Street</t>
  </si>
  <si>
    <t>Chenango County Area Agency on Aging</t>
  </si>
  <si>
    <t>Brian Wessels</t>
  </si>
  <si>
    <t>(607) 337-1770</t>
  </si>
  <si>
    <t>brianw@co.chenango.ny.us</t>
  </si>
  <si>
    <t>5 Court Street</t>
  </si>
  <si>
    <t>Ithaca Housing Authority</t>
  </si>
  <si>
    <t>Brenda Westfall</t>
  </si>
  <si>
    <t>(607) 273-8629</t>
  </si>
  <si>
    <t>brendaw@ithacaha.com</t>
  </si>
  <si>
    <t>Housing</t>
  </si>
  <si>
    <t>800 South Plain Street</t>
  </si>
  <si>
    <t>Steuben County Public Health</t>
  </si>
  <si>
    <t>3 East Pulteney Square</t>
  </si>
  <si>
    <t>Bath</t>
  </si>
  <si>
    <t>Community Care Network of Nichols</t>
  </si>
  <si>
    <t>Dorothy Richter</t>
  </si>
  <si>
    <t>(607) 414-1018</t>
  </si>
  <si>
    <t>communitycare@stny.twcbc.com</t>
  </si>
  <si>
    <t>Non-Medical Transportation</t>
  </si>
  <si>
    <t>PO Box 100 Roki Blvd</t>
  </si>
  <si>
    <t>Nichols</t>
  </si>
  <si>
    <t>Steuben County Office for the Aging</t>
  </si>
  <si>
    <t>Patricia Baroody</t>
  </si>
  <si>
    <t>(607) 664-2298</t>
  </si>
  <si>
    <t>pattyb@co.steuben.ny.us</t>
  </si>
  <si>
    <t>Chenango County Department of Social Services</t>
  </si>
  <si>
    <t>Bette Osborne</t>
  </si>
  <si>
    <t>(607) 337-1500</t>
  </si>
  <si>
    <t>08a230@co.chenango.ny</t>
  </si>
  <si>
    <t>PO Box 590</t>
  </si>
  <si>
    <t>Alcohol and Drug Abuse Council of Delaware County</t>
  </si>
  <si>
    <t>Mary Rosenthal</t>
  </si>
  <si>
    <t>(607) 746-8300</t>
  </si>
  <si>
    <t>mrosenthal@stny.twcbc.com</t>
  </si>
  <si>
    <t>72 Main Street</t>
  </si>
  <si>
    <t>Delhi</t>
  </si>
  <si>
    <t>TIOGA COUNTY FAMILY PLANNING</t>
  </si>
  <si>
    <t>E0263567</t>
  </si>
  <si>
    <t>Maureen Abbott</t>
  </si>
  <si>
    <t>(607) 687-4222</t>
  </si>
  <si>
    <t>mabbott@tiogaopp.org</t>
  </si>
  <si>
    <t>TIOGA OPPORTUNITIES, INC</t>
  </si>
  <si>
    <t>110 CENTRAL AVE # 112</t>
  </si>
  <si>
    <t>Cornerstone Family Healthcare</t>
  </si>
  <si>
    <t>(845) 220-3180</t>
  </si>
  <si>
    <t>jsarubbi@cornerstonefh.org</t>
  </si>
  <si>
    <t>Family/Caregiver Supports &amp; Services</t>
  </si>
  <si>
    <t>35 Felters Road Building 8</t>
  </si>
  <si>
    <t>YWCA Binghamton &amp; Broome County</t>
  </si>
  <si>
    <t>Carole Coppens</t>
  </si>
  <si>
    <t>ccoppens@ywcaofbinghamton.org</t>
  </si>
  <si>
    <t>80 Hawley Street</t>
  </si>
  <si>
    <t>Family Enrichment Network</t>
  </si>
  <si>
    <t>April Ramsay</t>
  </si>
  <si>
    <t>(607) 723-8313</t>
  </si>
  <si>
    <t>aramsay@familyenrichment.org</t>
  </si>
  <si>
    <t>24 Cherry Street</t>
  </si>
  <si>
    <t>AVRE</t>
  </si>
  <si>
    <t>Teri Chamberlin</t>
  </si>
  <si>
    <t>(607) 724-2428</t>
  </si>
  <si>
    <t>tchamberlin@avreus.org</t>
  </si>
  <si>
    <t>Education Support Services</t>
  </si>
  <si>
    <t>174 Court Street</t>
  </si>
  <si>
    <t>Catskill Area Hospice and Palliative Care</t>
  </si>
  <si>
    <t>Jan Miller</t>
  </si>
  <si>
    <t>(607) 432-6773</t>
  </si>
  <si>
    <t>jan.miller@cahpc.org</t>
  </si>
  <si>
    <t>1 Birchwood Drive</t>
  </si>
  <si>
    <t>Comfort Keepers</t>
  </si>
  <si>
    <t>Teresa Nix</t>
  </si>
  <si>
    <t>(607) 272-0444</t>
  </si>
  <si>
    <t>teresanix@comfortkeepers.com</t>
  </si>
  <si>
    <t>179 Graham Road Ste. F</t>
  </si>
  <si>
    <t>Cayuga Area Preferred</t>
  </si>
  <si>
    <t>Carrie Stock</t>
  </si>
  <si>
    <t>(607) 252-3680</t>
  </si>
  <si>
    <t>cstock@cayugamed.org</t>
  </si>
  <si>
    <t>101 Dates Drive</t>
  </si>
  <si>
    <t>Ithca</t>
  </si>
  <si>
    <t>Cayuga Medical Associates, Inc</t>
  </si>
  <si>
    <t>Lisa LeDoux</t>
  </si>
  <si>
    <t>(607) 277-2365</t>
  </si>
  <si>
    <t>lledoux@cayugamedicalassociates.org</t>
  </si>
  <si>
    <t>1301 Trumansburg Road, Suite P</t>
  </si>
  <si>
    <t>Trumansburg Medicine, PLLC</t>
  </si>
  <si>
    <t>sglidden@tburgfamilyhealth.com</t>
  </si>
  <si>
    <t>4435 Seneca Road</t>
  </si>
  <si>
    <t>Trumansburg</t>
  </si>
  <si>
    <t>Family Medicine Associates of Ithaca</t>
  </si>
  <si>
    <t>robertbloom@fma-ithaca.com</t>
  </si>
  <si>
    <t>8 Brentwood Drive</t>
  </si>
  <si>
    <t>Dryden Family Medicine</t>
  </si>
  <si>
    <t>Anne Landon</t>
  </si>
  <si>
    <t>annel@drydenfamilymedicine.com</t>
  </si>
  <si>
    <t>5 Evergreen Street</t>
  </si>
  <si>
    <t>Dryden</t>
  </si>
  <si>
    <t>Ithaca Primary Care</t>
  </si>
  <si>
    <t>Randomir Stevanovic</t>
  </si>
  <si>
    <t>scpenny@aol.com</t>
  </si>
  <si>
    <t>2343 N. Triphammer Road</t>
  </si>
  <si>
    <t>E0193103</t>
  </si>
  <si>
    <t>CATSKILL AREA HOSPICE/PALL CA</t>
  </si>
  <si>
    <t>CATSKILL AREA HOSPICE AND PALLIATIVE CARE, INC.</t>
  </si>
  <si>
    <t>1 BIRCHWOOD DR</t>
  </si>
  <si>
    <t>AVRE Association for Vision Rehabilitation and Employment, Inc.</t>
  </si>
  <si>
    <t>E0324045</t>
  </si>
  <si>
    <t>ASSOCIATION FOR VISION REHABILITATI</t>
  </si>
  <si>
    <t>ASSOCIATION FOR VISION REHABILITATION AND EMPLOYMENT, INC.</t>
  </si>
  <si>
    <t>Cornell University Cooperative Extension of Delaware County</t>
  </si>
  <si>
    <t>Jeanne Darling</t>
  </si>
  <si>
    <t>(607) 865-6531</t>
  </si>
  <si>
    <t>jmd30@cornell.edu</t>
  </si>
  <si>
    <t>L. Woerner, Inc. dba HCR Home Care</t>
  </si>
  <si>
    <t>E0338625</t>
  </si>
  <si>
    <t>EZicari@hcrhealth.com</t>
  </si>
  <si>
    <t>5 1/2 MAIN ST</t>
  </si>
  <si>
    <t>Bloom Frederick</t>
  </si>
  <si>
    <t>E0389981</t>
  </si>
  <si>
    <t>BLOOM FREDERICK L</t>
  </si>
  <si>
    <t>Frederick Bloom Jr., MD</t>
  </si>
  <si>
    <t>BLOOM FREDERICK DR.</t>
  </si>
  <si>
    <t>BLOOM FREDERICK JAMES</t>
  </si>
  <si>
    <t>Berlin Carol</t>
  </si>
  <si>
    <t>E0385141</t>
  </si>
  <si>
    <t>DAO CAROL THUYTIEN</t>
  </si>
  <si>
    <t>BERLIN CAROL DR.</t>
  </si>
  <si>
    <t>BERLIN CAROL THUYTIEN</t>
  </si>
  <si>
    <t>James J. Vincens, MD</t>
  </si>
  <si>
    <t>E0117316</t>
  </si>
  <si>
    <t>VINCENS JAMES J MD</t>
  </si>
  <si>
    <t>VINCENS JAMES</t>
  </si>
  <si>
    <t>CARDIOL ASSOC/#250</t>
  </si>
  <si>
    <t>Melissa Korosec, FNP</t>
  </si>
  <si>
    <t>E0339500</t>
  </si>
  <si>
    <t>KORWEC MELISSA L</t>
  </si>
  <si>
    <t>KOROSEC MELISSA</t>
  </si>
  <si>
    <t>KOROSEC MELISSA L</t>
  </si>
  <si>
    <t>161 RIVERSIDE DR STE 205</t>
  </si>
  <si>
    <t>Debra A. Hoy, FNP</t>
  </si>
  <si>
    <t>E0049779</t>
  </si>
  <si>
    <t>HOY DEBRA A</t>
  </si>
  <si>
    <t>HOY DEBRA</t>
  </si>
  <si>
    <t>STE 250</t>
  </si>
  <si>
    <t>Eldad U. Einav, MD</t>
  </si>
  <si>
    <t>E0369465</t>
  </si>
  <si>
    <t>EINAV ELDAD URI</t>
  </si>
  <si>
    <t>EINAV ELDAD</t>
  </si>
  <si>
    <t>Joyleen Earle, MD</t>
  </si>
  <si>
    <t>E0209804</t>
  </si>
  <si>
    <t>EARLE JOYLEEN ELAINE            MD</t>
  </si>
  <si>
    <t>EARLE JOYLEEN</t>
  </si>
  <si>
    <t>EARLE JOYLEEN E</t>
  </si>
  <si>
    <t>John D. DiMenna, MD</t>
  </si>
  <si>
    <t>E0191394</t>
  </si>
  <si>
    <t>DIMENNA JOHN D</t>
  </si>
  <si>
    <t>DIMENNA JOHN</t>
  </si>
  <si>
    <t>STE 205</t>
  </si>
  <si>
    <t>Kacy H. Zelesnikar, RPA-C</t>
  </si>
  <si>
    <t>E0314725</t>
  </si>
  <si>
    <t>KACY LYNNE HASKELL</t>
  </si>
  <si>
    <t>ZELESNIKAR KACY</t>
  </si>
  <si>
    <t>ZELESNIKAR KACY LYNNE</t>
  </si>
  <si>
    <t>Heidi R. Wilson, MD</t>
  </si>
  <si>
    <t>E0035373</t>
  </si>
  <si>
    <t>WILSON HEIDI R MD</t>
  </si>
  <si>
    <t>WILSON HEIDI</t>
  </si>
  <si>
    <t>164 STATE ROUTE 224</t>
  </si>
  <si>
    <t>VAN ETTEN</t>
  </si>
  <si>
    <t>Kelly S. Wilmarth, FNP</t>
  </si>
  <si>
    <t>E0395537</t>
  </si>
  <si>
    <t>SWARTZ KELLY</t>
  </si>
  <si>
    <t>WILMARTH KELLY</t>
  </si>
  <si>
    <t>WILMARTH KELLY J</t>
  </si>
  <si>
    <t>3101 SHIPPERS RD STE 203</t>
  </si>
  <si>
    <t>Kelly A. Werner, PA-C</t>
  </si>
  <si>
    <t>E0397555</t>
  </si>
  <si>
    <t>WERNER KELLY A</t>
  </si>
  <si>
    <t>WERNER KELLY</t>
  </si>
  <si>
    <t>Catherine Walburger, FNP</t>
  </si>
  <si>
    <t>E0417495</t>
  </si>
  <si>
    <t>WALBURGER CATHERINE ELIZABETH</t>
  </si>
  <si>
    <t>WALBURGER CATHERINE</t>
  </si>
  <si>
    <t>3101 SHIPPERS RD</t>
  </si>
  <si>
    <t>Lynn M. Verduin, FNP-C</t>
  </si>
  <si>
    <t>E0067205</t>
  </si>
  <si>
    <t>VERDUIN LYNN</t>
  </si>
  <si>
    <t>VERDUIN LYNN M</t>
  </si>
  <si>
    <t>13293 ROUTE 38</t>
  </si>
  <si>
    <t>RICHFORD</t>
  </si>
  <si>
    <t>Linda K. Tuyn, FNP</t>
  </si>
  <si>
    <t>E0067206</t>
  </si>
  <si>
    <t>TUYN LINDA K</t>
  </si>
  <si>
    <t>TUYN LINDA</t>
  </si>
  <si>
    <t>TUYN LINDA KATHLEEN</t>
  </si>
  <si>
    <t>Michele M. Talerico, FNP-C</t>
  </si>
  <si>
    <t>E0120994</t>
  </si>
  <si>
    <t>STEWART-DONATO MICHELE M</t>
  </si>
  <si>
    <t>TALERICO MICHELE</t>
  </si>
  <si>
    <t>TALERICO MICHELE M</t>
  </si>
  <si>
    <t>15 BIRDSALL ST</t>
  </si>
  <si>
    <t>GREENE</t>
  </si>
  <si>
    <t>Lori B. Smith, RPA</t>
  </si>
  <si>
    <t>E0043805</t>
  </si>
  <si>
    <t>SMITH LORI A</t>
  </si>
  <si>
    <t>SMITH LORI MS.</t>
  </si>
  <si>
    <t>Gurdeep Singh, MD</t>
  </si>
  <si>
    <t>E0390286</t>
  </si>
  <si>
    <t>SINGH GURDEEP MD</t>
  </si>
  <si>
    <t>SINGH GURDEEP</t>
  </si>
  <si>
    <t>Christina E. Signs, PA-C</t>
  </si>
  <si>
    <t>E0370586</t>
  </si>
  <si>
    <t>SIGNS CHRISTINA E</t>
  </si>
  <si>
    <t>SIGNS CHRISTINA</t>
  </si>
  <si>
    <t>Geoffrey L. Serfilippi, MD</t>
  </si>
  <si>
    <t>E0155037</t>
  </si>
  <si>
    <t>SERFILIPPI GEOFFREY MD</t>
  </si>
  <si>
    <t>SERFILIPPI GEOFFREY</t>
  </si>
  <si>
    <t>Narinder K Sandhu, MD</t>
  </si>
  <si>
    <t>E0417435</t>
  </si>
  <si>
    <t>SANDHU NARINDER KAUR</t>
  </si>
  <si>
    <t>SANDHU NARINDER</t>
  </si>
  <si>
    <t>Cherie M. Rossman, FNP</t>
  </si>
  <si>
    <t>E0370655</t>
  </si>
  <si>
    <t>ROSSMAN CHERIE M</t>
  </si>
  <si>
    <t>ROSSMAN CHERIE</t>
  </si>
  <si>
    <t>415 E MAIN ST</t>
  </si>
  <si>
    <t>Natalie M. Roney, MD</t>
  </si>
  <si>
    <t>E0309640</t>
  </si>
  <si>
    <t>RONEY NATALIE M</t>
  </si>
  <si>
    <t>RONEY NATALIE DR.</t>
  </si>
  <si>
    <t>Kristen E. Robillard, MD</t>
  </si>
  <si>
    <t>E0143939</t>
  </si>
  <si>
    <t>ROBILLARD KRISTEN E MD</t>
  </si>
  <si>
    <t>ROBILLARD KRISTEN DR.</t>
  </si>
  <si>
    <t>LOURDES FAM PRAC</t>
  </si>
  <si>
    <t>Jengi M. Reilly, FNP</t>
  </si>
  <si>
    <t>E0371662</t>
  </si>
  <si>
    <t>REILLY JENGI M</t>
  </si>
  <si>
    <t>REILLY JENGI</t>
  </si>
  <si>
    <t>Khaula Rehman, MD</t>
  </si>
  <si>
    <t>E0043818</t>
  </si>
  <si>
    <t>REHMAN KHAULA MD</t>
  </si>
  <si>
    <t>REHMAN KHAULA DR.</t>
  </si>
  <si>
    <t>7603 STATE ROUTE 54</t>
  </si>
  <si>
    <t>Elaine Reeves, FNP-C</t>
  </si>
  <si>
    <t>E0313475</t>
  </si>
  <si>
    <t>REEVES ELAINE M</t>
  </si>
  <si>
    <t>REEVES ELAINE</t>
  </si>
  <si>
    <t>Kiran Rayalam, MD, MPH</t>
  </si>
  <si>
    <t>E0376378</t>
  </si>
  <si>
    <t>RAYALAM KIRAN</t>
  </si>
  <si>
    <t>RAYALAM KIRAN REDDY</t>
  </si>
  <si>
    <t>Francine Rainone, DO</t>
  </si>
  <si>
    <t>E0132724</t>
  </si>
  <si>
    <t>RAINONE FRANCINE MICHELLE MD</t>
  </si>
  <si>
    <t>RAINONE FRANCINE</t>
  </si>
  <si>
    <t>ASSOC IN URBAN FP</t>
  </si>
  <si>
    <t>Jagraj S. Rai, MD</t>
  </si>
  <si>
    <t>E0163108</t>
  </si>
  <si>
    <t>RAI JAGRAJ MD</t>
  </si>
  <si>
    <t>RAI JAGRAJ DR.</t>
  </si>
  <si>
    <t>VESTAL MED ASSOC</t>
  </si>
  <si>
    <t>Todd V. Prier, MD</t>
  </si>
  <si>
    <t>E0006921</t>
  </si>
  <si>
    <t>TODD VINCENT PRIER</t>
  </si>
  <si>
    <t>PRIER TODD DR.</t>
  </si>
  <si>
    <t>PRIER TODD VINCENT MD</t>
  </si>
  <si>
    <t>Sanjiv A. Patel, MD</t>
  </si>
  <si>
    <t>E0100058</t>
  </si>
  <si>
    <t>PATEL SANJIV ARJUN MD</t>
  </si>
  <si>
    <t>PATEL SANJIV DR.</t>
  </si>
  <si>
    <t>Pradeep K. Pallati, MBBS, MD, FACS</t>
  </si>
  <si>
    <t>E0432816</t>
  </si>
  <si>
    <t>PALLATI PRADEEP KUMAR</t>
  </si>
  <si>
    <t>PALLATI PRADEEP DR.</t>
  </si>
  <si>
    <t>Jared Pado, NP</t>
  </si>
  <si>
    <t>E0425859</t>
  </si>
  <si>
    <t>PADO JARED MARTIN</t>
  </si>
  <si>
    <t>PADO JARED</t>
  </si>
  <si>
    <t>52 HARRISON ST FL 2</t>
  </si>
  <si>
    <t>Misty D. Ondrusek, MD</t>
  </si>
  <si>
    <t>E0362240</t>
  </si>
  <si>
    <t>ONDRUSEK MISTY</t>
  </si>
  <si>
    <t>ONDRUSEK MISTY DR.</t>
  </si>
  <si>
    <t>Santosh K. Mukka, MD</t>
  </si>
  <si>
    <t>E0393572</t>
  </si>
  <si>
    <t>MUKKA SANTOSH KUMAR</t>
  </si>
  <si>
    <t>MUKKA SANTOSH</t>
  </si>
  <si>
    <t>Tracy A. Miller (Mishoe), FNP</t>
  </si>
  <si>
    <t>E0339606</t>
  </si>
  <si>
    <t>MISHOE TRACY ANN</t>
  </si>
  <si>
    <t>MILLER TRACY</t>
  </si>
  <si>
    <t>John W. Miller, MD, FACS</t>
  </si>
  <si>
    <t>E0153609</t>
  </si>
  <si>
    <t>MILLER JOHN W MD</t>
  </si>
  <si>
    <t>MILLER JOHN</t>
  </si>
  <si>
    <t>169 RIVERSIDE DR # M09</t>
  </si>
  <si>
    <t>Kinner Mehta, MD</t>
  </si>
  <si>
    <t>E0286698</t>
  </si>
  <si>
    <t>MEHTA KINNER ARVIND MD</t>
  </si>
  <si>
    <t>MEHTA KINNER DR.</t>
  </si>
  <si>
    <t>3101 SHIPPERS ROAD  STE 202</t>
  </si>
  <si>
    <t>Carly J. McKillop, FNP</t>
  </si>
  <si>
    <t>E0370373</t>
  </si>
  <si>
    <t>MCKILLOP CARLY J</t>
  </si>
  <si>
    <t>MCKILLOP CARLY</t>
  </si>
  <si>
    <t>3101 SHIPPERS RD # 202</t>
  </si>
  <si>
    <t>Jamie Masson, MD</t>
  </si>
  <si>
    <t>E0035032</t>
  </si>
  <si>
    <t>MASSON JAMIE LYN</t>
  </si>
  <si>
    <t>MASSON JAMIE</t>
  </si>
  <si>
    <t>315 S MANNING BLVD</t>
  </si>
  <si>
    <t>Jennifer A. MaLossi, MD</t>
  </si>
  <si>
    <t>E0058573</t>
  </si>
  <si>
    <t>MALOSSI JENNIFER MD</t>
  </si>
  <si>
    <t>MALOSSI JENNIFER</t>
  </si>
  <si>
    <t>BROOME UROLOGICAL AS</t>
  </si>
  <si>
    <t>Jason Mahler, FNP</t>
  </si>
  <si>
    <t>E0392725</t>
  </si>
  <si>
    <t>MAHLER JASON B</t>
  </si>
  <si>
    <t>MAHLER JASON</t>
  </si>
  <si>
    <t>Theresa M Lynn, MD, MPH</t>
  </si>
  <si>
    <t>E0419423</t>
  </si>
  <si>
    <t>LYNN THERESA M</t>
  </si>
  <si>
    <t>LYNN THERESA</t>
  </si>
  <si>
    <t>Alexandria C. Lynch, MD, MPH</t>
  </si>
  <si>
    <t>E0396505</t>
  </si>
  <si>
    <t>LYNCH ALEXANDRIA C</t>
  </si>
  <si>
    <t>LYNCH ALEXANDRIA DR.</t>
  </si>
  <si>
    <t>Kenneth G. Lucas, MD</t>
  </si>
  <si>
    <t>LUCAS KENNETH</t>
  </si>
  <si>
    <t>210 E GRAY ST, STE 601</t>
  </si>
  <si>
    <t>LOUISVILLE</t>
  </si>
  <si>
    <t>KY</t>
  </si>
  <si>
    <t>Carlie C. Long, RN, BSN, MSN, FNP-C</t>
  </si>
  <si>
    <t>E0329504</t>
  </si>
  <si>
    <t>LONG CARLIE C</t>
  </si>
  <si>
    <t>LONG CARLIE MS.</t>
  </si>
  <si>
    <t>LONG CARLIE C NP</t>
  </si>
  <si>
    <t>Peter E. Lethin, MD, FACS</t>
  </si>
  <si>
    <t>E0106489</t>
  </si>
  <si>
    <t>LETHIN PETER E MD</t>
  </si>
  <si>
    <t>LETHIN PETER DR.</t>
  </si>
  <si>
    <t>LETHIN PETER ERIC</t>
  </si>
  <si>
    <t>STE M09</t>
  </si>
  <si>
    <t>Alan S. Lerman, MD</t>
  </si>
  <si>
    <t>E0196414</t>
  </si>
  <si>
    <t>LERMAN ALAN S              MD</t>
  </si>
  <si>
    <t>LERMAN ALAN</t>
  </si>
  <si>
    <t>Jeanette Lee, NPP</t>
  </si>
  <si>
    <t>E0360754</t>
  </si>
  <si>
    <t>LEE JEANETTE J</t>
  </si>
  <si>
    <t>LEE JEANETTE</t>
  </si>
  <si>
    <t>229-231 STATE ST FL 4</t>
  </si>
  <si>
    <t>Jennifer M. LaVare, PCNP</t>
  </si>
  <si>
    <t>E0371298</t>
  </si>
  <si>
    <t>LAVARE JENNIFER MARIE</t>
  </si>
  <si>
    <t>LAVARE JENNIFER MRS.</t>
  </si>
  <si>
    <t>Marjorie E. Langevin, FNP-C</t>
  </si>
  <si>
    <t>E0103415</t>
  </si>
  <si>
    <t>LANGEVIN MARJORIE E</t>
  </si>
  <si>
    <t>LANGEVIN MARJORIE MS.</t>
  </si>
  <si>
    <t>LANGEVIN MARJORIE ELIZABETH</t>
  </si>
  <si>
    <t>Jessica S. Kovalchick, PA</t>
  </si>
  <si>
    <t>E0371808</t>
  </si>
  <si>
    <t>KOVALCHICK JESSICA S</t>
  </si>
  <si>
    <t>KOVALCHICK JESSICA</t>
  </si>
  <si>
    <t>Hwayeon Stella Kim, FNP</t>
  </si>
  <si>
    <t>E0419384</t>
  </si>
  <si>
    <t>KIM HWAYEON S</t>
  </si>
  <si>
    <t>KIM HWAYEON</t>
  </si>
  <si>
    <t>Ihsan U. Khan, MD</t>
  </si>
  <si>
    <t>E0322851</t>
  </si>
  <si>
    <t>KHAN IHSAN</t>
  </si>
  <si>
    <t>KHAN IHSAN DR.</t>
  </si>
  <si>
    <t>Ravi-Raj Kavuda, MD</t>
  </si>
  <si>
    <t>E0393513</t>
  </si>
  <si>
    <t>KAVUDA RAVI RAJ</t>
  </si>
  <si>
    <t>KAVUDA RAVI DR.</t>
  </si>
  <si>
    <t>Shabana Jamil, MD</t>
  </si>
  <si>
    <t>E0016810</t>
  </si>
  <si>
    <t>JAMIL SHABANA MD</t>
  </si>
  <si>
    <t>JAMIL SHABANA DR.</t>
  </si>
  <si>
    <t>1020 VESTAL PKWY E</t>
  </si>
  <si>
    <t>Kristin J. Isenberg, RPA-C</t>
  </si>
  <si>
    <t>E0008827</t>
  </si>
  <si>
    <t>CONTRO KRISTIN J RPA</t>
  </si>
  <si>
    <t>ISENBERG KRISTIN MISS</t>
  </si>
  <si>
    <t>ISENBERG KRISTIN J RPA</t>
  </si>
  <si>
    <t>Andrea Hsue, MD</t>
  </si>
  <si>
    <t>E0394628</t>
  </si>
  <si>
    <t>HSUE ANDREA J</t>
  </si>
  <si>
    <t>HSUE ANDREA</t>
  </si>
  <si>
    <t>161 RIVERSIDE DR STE 306</t>
  </si>
  <si>
    <t>Kathryn A. Hooper, FNP</t>
  </si>
  <si>
    <t>E0341074</t>
  </si>
  <si>
    <t>HOOPER KATHRYN</t>
  </si>
  <si>
    <t>HOOPER KATHRYN MS.</t>
  </si>
  <si>
    <t>184 COURT ST</t>
  </si>
  <si>
    <t>Roji Gurung, FNP</t>
  </si>
  <si>
    <t>E0418430</t>
  </si>
  <si>
    <t>GURUNG ROJI</t>
  </si>
  <si>
    <t>Jeffrey Greenhouse, MD</t>
  </si>
  <si>
    <t>E0151457</t>
  </si>
  <si>
    <t>GREENHOUSE JEFFREY A MD</t>
  </si>
  <si>
    <t>GREENHOUSE JEFFREY</t>
  </si>
  <si>
    <t>Marek M. Gawel, MD</t>
  </si>
  <si>
    <t>E0039728</t>
  </si>
  <si>
    <t>GAWEL MAREK MARIAN MD</t>
  </si>
  <si>
    <t>GAWEL MAREK</t>
  </si>
  <si>
    <t>9785 QUEENS BLVD</t>
  </si>
  <si>
    <t>REGO PARK</t>
  </si>
  <si>
    <t>Nina C. Gaube, FNP</t>
  </si>
  <si>
    <t>E0369259</t>
  </si>
  <si>
    <t>GAUBE NINA</t>
  </si>
  <si>
    <t>GAUBE NINA C</t>
  </si>
  <si>
    <t>161 RIVERSIDE DR STE 210</t>
  </si>
  <si>
    <t>Rachel Garner, MD</t>
  </si>
  <si>
    <t>E0369194</t>
  </si>
  <si>
    <t>GARNER RACHEL LIPSON</t>
  </si>
  <si>
    <t>GARNER RACHEL DR.</t>
  </si>
  <si>
    <t>20-24 S WASHINGTON ST</t>
  </si>
  <si>
    <t>Jaime L. Fernandez, NP</t>
  </si>
  <si>
    <t>FERNANDEZ JAIME</t>
  </si>
  <si>
    <t>Trichelle Feheley, FNP</t>
  </si>
  <si>
    <t>E0318272</t>
  </si>
  <si>
    <t>KIRCHNER TRICHELLE L</t>
  </si>
  <si>
    <t>FEHELEY TRICHELLE</t>
  </si>
  <si>
    <t>Jo Ann M. Ernst, FNP</t>
  </si>
  <si>
    <t>E0369832</t>
  </si>
  <si>
    <t>ERNST JOANN M</t>
  </si>
  <si>
    <t>ERNST JOANN</t>
  </si>
  <si>
    <t>Erin A. Duff, FNP</t>
  </si>
  <si>
    <t>E0340352</t>
  </si>
  <si>
    <t>DUFF ERIN ANN</t>
  </si>
  <si>
    <t>DUFF ERIN</t>
  </si>
  <si>
    <t>Catherine A. Dooley, FNP-C</t>
  </si>
  <si>
    <t>E0103148</t>
  </si>
  <si>
    <t>SLOCUM CATHERINE</t>
  </si>
  <si>
    <t>DOOLEY CATHERINE MS.</t>
  </si>
  <si>
    <t>Emily A. Crouse, NP</t>
  </si>
  <si>
    <t>E0448816</t>
  </si>
  <si>
    <t>CROUSE EMILY ANNE DOUGHTY</t>
  </si>
  <si>
    <t>CROUSE EMILY</t>
  </si>
  <si>
    <t>Charles R. Campbell, MD</t>
  </si>
  <si>
    <t>E0109014</t>
  </si>
  <si>
    <t>CAMPBELL CHARLES R MD</t>
  </si>
  <si>
    <t>CAMPBELL CHARLES</t>
  </si>
  <si>
    <t>CARDIOL ASSOC PC</t>
  </si>
  <si>
    <t>Anne M. Calkins, MD, FACEP</t>
  </si>
  <si>
    <t>E0127934</t>
  </si>
  <si>
    <t>CALKINS ANNE M MD</t>
  </si>
  <si>
    <t>CALKINS ANNE</t>
  </si>
  <si>
    <t>Ryan C. Brown, RPA-C</t>
  </si>
  <si>
    <t>E0302939</t>
  </si>
  <si>
    <t>BROWN RYAN CARL</t>
  </si>
  <si>
    <t>BROWN RYAN</t>
  </si>
  <si>
    <t>Jonathan D. Briggs, FNP-BC</t>
  </si>
  <si>
    <t>E0149613</t>
  </si>
  <si>
    <t>BRIGGS JONATHAN DAVID</t>
  </si>
  <si>
    <t>BRIGGS JONATHAN MR.</t>
  </si>
  <si>
    <t>Nahid Borogerdi, PhD, FNP-C</t>
  </si>
  <si>
    <t>E0339027</t>
  </si>
  <si>
    <t>BOROGERDI TAYYEBEH NAHID</t>
  </si>
  <si>
    <t>BOROGERDI TAYYEBEH</t>
  </si>
  <si>
    <t>Praveen R. Bondalapati, MD</t>
  </si>
  <si>
    <t>E0307215</t>
  </si>
  <si>
    <t>BONDALAPATI PRAVEEN KUMAR REDDY</t>
  </si>
  <si>
    <t>BONDALAPATI PRAVEEN</t>
  </si>
  <si>
    <t>169 RIVERSIDE DR STE M05</t>
  </si>
  <si>
    <t>Shalini Bichala, MD</t>
  </si>
  <si>
    <t>E0443241</t>
  </si>
  <si>
    <t>BICHALA SHALINI</t>
  </si>
  <si>
    <t>BICHALA SHALINI DR.</t>
  </si>
  <si>
    <t>Madhukar Bhoomireddi, MD</t>
  </si>
  <si>
    <t>E0019544</t>
  </si>
  <si>
    <t>BHOOMIREDDI MADHUKAR MD</t>
  </si>
  <si>
    <t>BHOOMIREDDI MADHUKAR</t>
  </si>
  <si>
    <t>Maria C. Berry, FNP</t>
  </si>
  <si>
    <t>E0366640</t>
  </si>
  <si>
    <t>BERRY MARIA</t>
  </si>
  <si>
    <t>Roberta L. Beers-Schambach, RPA-C</t>
  </si>
  <si>
    <t>E0014984</t>
  </si>
  <si>
    <t>BEERS-SCHAMBACH ROBERTA RPA</t>
  </si>
  <si>
    <t>BEERS-SCHAMBACH ROBERTA</t>
  </si>
  <si>
    <t>Alexandra A. Bechy, FNP</t>
  </si>
  <si>
    <t>E0407323</t>
  </si>
  <si>
    <t>BECHY ALEXANDRA</t>
  </si>
  <si>
    <t>BECHY ALEXANDRA ALEXIS</t>
  </si>
  <si>
    <t>Shean L. Barrett, MD</t>
  </si>
  <si>
    <t>E0371054</t>
  </si>
  <si>
    <t>BARRETT SHEAN LOGAN</t>
  </si>
  <si>
    <t>BARRETT SHEAN</t>
  </si>
  <si>
    <t>Teresa A. Antalek, FNP</t>
  </si>
  <si>
    <t>E0365292</t>
  </si>
  <si>
    <t>ANTALEK TERESA ANNE</t>
  </si>
  <si>
    <t>ANTALEK TERESA</t>
  </si>
  <si>
    <t>Olga Alentyev, FNP</t>
  </si>
  <si>
    <t>E0402508</t>
  </si>
  <si>
    <t>ALENTYEV OLGA</t>
  </si>
  <si>
    <t>RADOMIR D STEVANOVIC MD PC</t>
  </si>
  <si>
    <t>E0312555</t>
  </si>
  <si>
    <t>Susan Penny</t>
  </si>
  <si>
    <t>spenny@ithacaprimarycare.com</t>
  </si>
  <si>
    <t>2343 N TRIPHAMMER RD</t>
  </si>
  <si>
    <t>Arnot Health</t>
  </si>
  <si>
    <t>E0262911</t>
  </si>
  <si>
    <t>ARNOT OGDEN MEDICAL CENTER</t>
  </si>
  <si>
    <t>Hannah Smith</t>
  </si>
  <si>
    <t>(607) 346-6818</t>
  </si>
  <si>
    <t>hasmith@arnothealth.org</t>
  </si>
  <si>
    <t>DRYDEN FAMILY MEDICINE</t>
  </si>
  <si>
    <t>E0378482</t>
  </si>
  <si>
    <t>DRYDEN FAMILY MEDICINE PLLC</t>
  </si>
  <si>
    <t>Carol Klepack</t>
  </si>
  <si>
    <t>E0025278</t>
  </si>
  <si>
    <t>CAYUGA MEDICAL ASSOCIATES PC</t>
  </si>
  <si>
    <t>Benjamin Negley</t>
  </si>
  <si>
    <t>bnegley@cayugamedicalassociates.org</t>
  </si>
  <si>
    <t>CAYUGA MEDICAL ASSOCIATES, PC</t>
  </si>
  <si>
    <t>8 BRENTWOOD DR</t>
  </si>
  <si>
    <t>FAMILY MEDICINE ASSOCIATES OF ITHACA LLP</t>
  </si>
  <si>
    <t>E0259627</t>
  </si>
  <si>
    <t>FAMILY MEDICINE ASSOC ITHACA</t>
  </si>
  <si>
    <t>TRUMANSBURG MEDICINE PLLC</t>
  </si>
  <si>
    <t>E0013836</t>
  </si>
  <si>
    <t>THE MEDICAL OFFICE OF LESSINGER AND</t>
  </si>
  <si>
    <t>STAMFORD HEALTH CARE SOCIETY, INC.</t>
  </si>
  <si>
    <t>E0260066</t>
  </si>
  <si>
    <t>ROBINSON TERRACE NF</t>
  </si>
  <si>
    <t>ROBINSON TERRACE</t>
  </si>
  <si>
    <t>28652 STATE HIGHWAY 23</t>
  </si>
  <si>
    <t>COMMUNITY HEALTH AND HOME CARE, INC.</t>
  </si>
  <si>
    <t>E0060841</t>
  </si>
  <si>
    <t>COMMUNITY HLTH AND HOME CARE</t>
  </si>
  <si>
    <t>COMMUNITY HLTH AND HOME CARE INC</t>
  </si>
  <si>
    <t>138 CECIL MALONE DR</t>
  </si>
  <si>
    <t>NORTHEAST PEDIATRICS &amp; ADOLESCENT MEDICINE, LLP</t>
  </si>
  <si>
    <t>E0120263</t>
  </si>
  <si>
    <t>NORTHEAST PEDIATRICS</t>
  </si>
  <si>
    <t>Melissa Miller</t>
  </si>
  <si>
    <t>mmiller@northeastpeds.com</t>
  </si>
  <si>
    <t>NORTHEAST PEDIATRICS &amp; ADOLESCENT</t>
  </si>
  <si>
    <t>STEUBEN OPERATIONS ASSOCIATES LLC</t>
  </si>
  <si>
    <t>E0396362</t>
  </si>
  <si>
    <t>Kelly Anderson</t>
  </si>
  <si>
    <t>(607) 654-2410</t>
  </si>
  <si>
    <t>kanderson@corningcenter.net</t>
  </si>
  <si>
    <t>7009 RUMSEY STREET EXT</t>
  </si>
  <si>
    <t>LOYOLA RECOVERY FOUNDATION, INC.</t>
  </si>
  <si>
    <t>E0230729</t>
  </si>
  <si>
    <t>DEPAUL ADDICTION SERVICES INC</t>
  </si>
  <si>
    <t>George Basher</t>
  </si>
  <si>
    <t>(585) 203-1005</t>
  </si>
  <si>
    <t>gbasher@loyolarecovery.org</t>
  </si>
  <si>
    <t>LOYOLA RECOVERY FOUNDATION</t>
  </si>
  <si>
    <t>801 WEST AVE</t>
  </si>
  <si>
    <t>THE NEIGHBORHOOD CENTER, INC.</t>
  </si>
  <si>
    <t>E0144350</t>
  </si>
  <si>
    <t>THE NEIGHBORHOOD CTR SCM</t>
  </si>
  <si>
    <t>Sandra Soroka</t>
  </si>
  <si>
    <t>(315) 272-2600</t>
  </si>
  <si>
    <t>sandys@neighborhoodctr.org</t>
  </si>
  <si>
    <t>NEIGHBORHOOD CENTER INC</t>
  </si>
  <si>
    <t>800 CHARLOTTE ST</t>
  </si>
  <si>
    <t>Tranvaag Sandra</t>
  </si>
  <si>
    <t>E0410019</t>
  </si>
  <si>
    <t>TRANVAAG SANDRA</t>
  </si>
  <si>
    <t>Rick Boland</t>
  </si>
  <si>
    <t>(607) 762-2013</t>
  </si>
  <si>
    <t>Richard_Boland@uhs.org</t>
  </si>
  <si>
    <t>TRANVAAG SANDRA MRS.</t>
  </si>
  <si>
    <t>TRANVAAG SANDRA ROSE</t>
  </si>
  <si>
    <t>Jorgensen Mary Lou</t>
  </si>
  <si>
    <t>E0410005</t>
  </si>
  <si>
    <t>JORGENSEN MARYLOU</t>
  </si>
  <si>
    <t>JORGENSEN MARYLOU ANN</t>
  </si>
  <si>
    <t>Sivers Douglas</t>
  </si>
  <si>
    <t>E0442781</t>
  </si>
  <si>
    <t>SIVERS DOUGLAS R</t>
  </si>
  <si>
    <t>SIVERS DOUGLAS</t>
  </si>
  <si>
    <t>Schultz Julia</t>
  </si>
  <si>
    <t>E0339145</t>
  </si>
  <si>
    <t>SCHULTZ JULIA M</t>
  </si>
  <si>
    <t>SCHULTZ JULIA</t>
  </si>
  <si>
    <t>Ryan Elizabeth</t>
  </si>
  <si>
    <t>E0371021</t>
  </si>
  <si>
    <t>RYAN ELIZABETH BOGEL</t>
  </si>
  <si>
    <t>RYAN ELIZABETH DR.</t>
  </si>
  <si>
    <t>7150 N MAIN ST</t>
  </si>
  <si>
    <t>Robbins Sheila</t>
  </si>
  <si>
    <t>E0001778</t>
  </si>
  <si>
    <t>ROBBINS SHEILA K NP</t>
  </si>
  <si>
    <t>ROBBINS SHEILA</t>
  </si>
  <si>
    <t>ROBBINS SHEILA KAY</t>
  </si>
  <si>
    <t>Rising Michelle</t>
  </si>
  <si>
    <t>E0452149</t>
  </si>
  <si>
    <t>RISING MICHELLE LYNN</t>
  </si>
  <si>
    <t>RISING MICHELLE</t>
  </si>
  <si>
    <t>Rattenbury Heather</t>
  </si>
  <si>
    <t>E0407296</t>
  </si>
  <si>
    <t>RATTENBURY HEATHER</t>
  </si>
  <si>
    <t>RATTENBURY HEATHER THU</t>
  </si>
  <si>
    <t>Prato Domenico</t>
  </si>
  <si>
    <t>E0239813</t>
  </si>
  <si>
    <t>PRATO DOMINICK R           MD</t>
  </si>
  <si>
    <t>PRATO DOMINICK DR.</t>
  </si>
  <si>
    <t>PRATO DOMENICO R</t>
  </si>
  <si>
    <t>20 BELKNAP AVE</t>
  </si>
  <si>
    <t>Phelan Eric</t>
  </si>
  <si>
    <t>E0451697</t>
  </si>
  <si>
    <t>PHELAN ERIC ANTHONY</t>
  </si>
  <si>
    <t>PHELAN ERIC</t>
  </si>
  <si>
    <t>Mullen Gregory</t>
  </si>
  <si>
    <t>E0134290</t>
  </si>
  <si>
    <t>MULLEN GREGORY JOHN MD</t>
  </si>
  <si>
    <t>MULLEN GREGORY</t>
  </si>
  <si>
    <t>McHenry Kimberly</t>
  </si>
  <si>
    <t>E0352399</t>
  </si>
  <si>
    <t>MCHENRY KIMBERLY DAWN-MARIE</t>
  </si>
  <si>
    <t>MCHENRY KIMBERLY</t>
  </si>
  <si>
    <t>42 W MAIN ST</t>
  </si>
  <si>
    <t>Khan Ahmed</t>
  </si>
  <si>
    <t>E0443061</t>
  </si>
  <si>
    <t>KHAN AHMED</t>
  </si>
  <si>
    <t>KHAN AHMED DR.</t>
  </si>
  <si>
    <t>KHAN AHMED MOHAMMAD</t>
  </si>
  <si>
    <t>Goodrich Victoria</t>
  </si>
  <si>
    <t>GOODRICH VICTORIA MISS</t>
  </si>
  <si>
    <t>1904 COUNTY LINE RD</t>
  </si>
  <si>
    <t>HUNTINGDON VALLEY</t>
  </si>
  <si>
    <t xml:space="preserve">Giannone Deborah </t>
  </si>
  <si>
    <t>E0172605</t>
  </si>
  <si>
    <t>GIANNONE DEBORAH J</t>
  </si>
  <si>
    <t>GIANNONE DEBORAH</t>
  </si>
  <si>
    <t>5 MILE POINT PLAZA</t>
  </si>
  <si>
    <t>DePersis Melissa</t>
  </si>
  <si>
    <t>E0442836</t>
  </si>
  <si>
    <t>DEPERSIS MELISSA LYNN</t>
  </si>
  <si>
    <t>DEPERSIS MELISSA</t>
  </si>
  <si>
    <t>Calleo Jenny</t>
  </si>
  <si>
    <t>E0419494</t>
  </si>
  <si>
    <t>CALLEO JENNY</t>
  </si>
  <si>
    <t>CALLEO JENNY LYNN</t>
  </si>
  <si>
    <t>54 MAIN ST</t>
  </si>
  <si>
    <t>Erica Hill, PA</t>
  </si>
  <si>
    <t>E0421531</t>
  </si>
  <si>
    <t>HILL ERICA L</t>
  </si>
  <si>
    <t>HILL ERICA</t>
  </si>
  <si>
    <t>HILL ERICA LEIGH</t>
  </si>
  <si>
    <t>Farzana Seemab, MD</t>
  </si>
  <si>
    <t>E0368170</t>
  </si>
  <si>
    <t>SEEMAB FARZANA</t>
  </si>
  <si>
    <t>Lakshmi Sanivarapu, MD</t>
  </si>
  <si>
    <t>E0443071</t>
  </si>
  <si>
    <t>SANIVARAPU LAKSHMI</t>
  </si>
  <si>
    <t>SANIVARAPU LAKSHMI KIRAN</t>
  </si>
  <si>
    <t>Daniel Chin, MD</t>
  </si>
  <si>
    <t>E0362288</t>
  </si>
  <si>
    <t>CHIN DANIEL</t>
  </si>
  <si>
    <t>Lauren Crane, NP</t>
  </si>
  <si>
    <t>E0325027</t>
  </si>
  <si>
    <t>CRANE LAUREN E</t>
  </si>
  <si>
    <t>CRANE LAUREN</t>
  </si>
  <si>
    <t>Gina Callahan, PA</t>
  </si>
  <si>
    <t>E0015890</t>
  </si>
  <si>
    <t>CALLAHAN GINA MARIE RPA</t>
  </si>
  <si>
    <t>CALLAHAN GINA MRS.</t>
  </si>
  <si>
    <t>Maryam Syed, DO</t>
  </si>
  <si>
    <t>E0444748</t>
  </si>
  <si>
    <t>SYED MARYAM</t>
  </si>
  <si>
    <t>Tara Marie Wander</t>
  </si>
  <si>
    <t>E0454682</t>
  </si>
  <si>
    <t>WANDER TARA MARIE</t>
  </si>
  <si>
    <t>WANDER TARA MS.</t>
  </si>
  <si>
    <t>Sara M Smith</t>
  </si>
  <si>
    <t>E0386413</t>
  </si>
  <si>
    <t>SMITH SARA</t>
  </si>
  <si>
    <t>SMITH SARA MCKERCHER</t>
  </si>
  <si>
    <t>Sarah Singlar</t>
  </si>
  <si>
    <t>E0412771</t>
  </si>
  <si>
    <t>SINGLAR SARAH MARIE</t>
  </si>
  <si>
    <t>SINGLAR SARAH</t>
  </si>
  <si>
    <t>John Penfield</t>
  </si>
  <si>
    <t>E0086918</t>
  </si>
  <si>
    <t>PENFIELD JOHN FORRESTER</t>
  </si>
  <si>
    <t>PENFIELD JOHN</t>
  </si>
  <si>
    <t>EMP OF CORTLAND CNTY</t>
  </si>
  <si>
    <t>Inna Mrsic</t>
  </si>
  <si>
    <t>E0406994</t>
  </si>
  <si>
    <t>MESIC INNA</t>
  </si>
  <si>
    <t>MRSIC INNA</t>
  </si>
  <si>
    <t>Paul Hyunwoo Han</t>
  </si>
  <si>
    <t>E0419393</t>
  </si>
  <si>
    <t>HAN PAUL HYUNWOO</t>
  </si>
  <si>
    <t>HAN PAUL</t>
  </si>
  <si>
    <t>Allison Margaret Bunnell</t>
  </si>
  <si>
    <t>E0383393</t>
  </si>
  <si>
    <t>BUNNELL ALLISON</t>
  </si>
  <si>
    <t>BUNNELL ALLISON MARGARET</t>
  </si>
  <si>
    <t>Abha Banerjee</t>
  </si>
  <si>
    <t>E0424950</t>
  </si>
  <si>
    <t>BANERJEE ABHA ANIRUDDHA</t>
  </si>
  <si>
    <t>BANERJEE ABHA</t>
  </si>
  <si>
    <t>Lorne Campbell, MD</t>
  </si>
  <si>
    <t>E0195522</t>
  </si>
  <si>
    <t>CAMPBELL LORNE RICHARD SR  MD</t>
  </si>
  <si>
    <t>CAMPBELL LORNE</t>
  </si>
  <si>
    <t>CAMPBELL LORNE RICHARD SR MD</t>
  </si>
  <si>
    <t>1461 KENSINGTON AVE</t>
  </si>
  <si>
    <t>Patricia Hart</t>
  </si>
  <si>
    <t>E0025482</t>
  </si>
  <si>
    <t>HART PATRICIA</t>
  </si>
  <si>
    <t>HART PATRICIA DR.</t>
  </si>
  <si>
    <t>PO BOX 217</t>
  </si>
  <si>
    <t>MANLIUS</t>
  </si>
  <si>
    <t>Ashley Gibson</t>
  </si>
  <si>
    <t>E0365746</t>
  </si>
  <si>
    <t>GIBSON ASHLEY</t>
  </si>
  <si>
    <t>Paula A Dygert</t>
  </si>
  <si>
    <t>E0042967</t>
  </si>
  <si>
    <t>DYGERT PAULA A MD</t>
  </si>
  <si>
    <t>DYGERT PAULA</t>
  </si>
  <si>
    <t>AFTON FAM H CTR</t>
  </si>
  <si>
    <t>AFTON</t>
  </si>
  <si>
    <t>Storm Shawnti</t>
  </si>
  <si>
    <t>E0032972</t>
  </si>
  <si>
    <t>STORM SHAWNTI R</t>
  </si>
  <si>
    <t>STORM SHAWNTI</t>
  </si>
  <si>
    <t xml:space="preserve">Hastings III Kevin </t>
  </si>
  <si>
    <t>E0410681</t>
  </si>
  <si>
    <t>HASTINGS III KEVIN L</t>
  </si>
  <si>
    <t>HASTINGS KEVIN</t>
  </si>
  <si>
    <t>HASTINGS KEVIN LEE</t>
  </si>
  <si>
    <t>McKelvey Susan</t>
  </si>
  <si>
    <t>E0322396</t>
  </si>
  <si>
    <t>MCKELVEY SUSAN MCKERNAN</t>
  </si>
  <si>
    <t>MCKELVEY SUSAN</t>
  </si>
  <si>
    <t>Heetderks Gerrit</t>
  </si>
  <si>
    <t>E0409012</t>
  </si>
  <si>
    <t>HEETDERKS GERRIT W</t>
  </si>
  <si>
    <t>HEETDERKS GERRIT DR.</t>
  </si>
  <si>
    <t>Kolade Victor</t>
  </si>
  <si>
    <t>E0036860</t>
  </si>
  <si>
    <t>KOLADE VICTOR OLAOLU MD</t>
  </si>
  <si>
    <t>Josie Anderson</t>
  </si>
  <si>
    <t>(570) 887-6518</t>
  </si>
  <si>
    <t>anderson_josephine@guthrie.org</t>
  </si>
  <si>
    <t>KOLADE VICTOR DR.</t>
  </si>
  <si>
    <t>KOLADE VICTOR O</t>
  </si>
  <si>
    <t>Schackow T. Eric</t>
  </si>
  <si>
    <t>E0119474</t>
  </si>
  <si>
    <t>SCHACKOW T ERIC MD</t>
  </si>
  <si>
    <t>SCHACKOW T. ERIC DR.</t>
  </si>
  <si>
    <t>SCHACKOW T ERIC</t>
  </si>
  <si>
    <t>Marshall Corina</t>
  </si>
  <si>
    <t>E0446332</t>
  </si>
  <si>
    <t>MARSHALL CORINA PERI</t>
  </si>
  <si>
    <t>MARSHALL CORINA</t>
  </si>
  <si>
    <t>Nanda Michelle</t>
  </si>
  <si>
    <t>E0409988</t>
  </si>
  <si>
    <t>NANDA MICHELLE</t>
  </si>
  <si>
    <t>NANDA MICHELLE DR.</t>
  </si>
  <si>
    <t>NANDA MICHELLE ANDREA</t>
  </si>
  <si>
    <t>Yun Joanna</t>
  </si>
  <si>
    <t>E0416018</t>
  </si>
  <si>
    <t>YUN JOANNA</t>
  </si>
  <si>
    <t>YUN JOANNA DR.</t>
  </si>
  <si>
    <t>Pompo Rebecca</t>
  </si>
  <si>
    <t>E0399440</t>
  </si>
  <si>
    <t>POMPO REBECCA A</t>
  </si>
  <si>
    <t>POMPO REBECCA</t>
  </si>
  <si>
    <t>138 N MAIN ST</t>
  </si>
  <si>
    <t>Narula Disha</t>
  </si>
  <si>
    <t>E0412779</t>
  </si>
  <si>
    <t>NARULA DISHA</t>
  </si>
  <si>
    <t>NARULA DISHA DR.</t>
  </si>
  <si>
    <t>135 N MAIN STREET</t>
  </si>
  <si>
    <t>Bergeron Jessica</t>
  </si>
  <si>
    <t>E0447764</t>
  </si>
  <si>
    <t>BERGERON JESSICA J</t>
  </si>
  <si>
    <t>BERGERON JESSICA</t>
  </si>
  <si>
    <t>Leonard Kelly</t>
  </si>
  <si>
    <t>E0393408</t>
  </si>
  <si>
    <t>LEONARD KELLY A</t>
  </si>
  <si>
    <t>LEONARD KELLY MRS.</t>
  </si>
  <si>
    <t>LEONARD KELLY ANNE</t>
  </si>
  <si>
    <t>82 COPELAND AVE</t>
  </si>
  <si>
    <t>Hirsch Kelly</t>
  </si>
  <si>
    <t>E0040378</t>
  </si>
  <si>
    <t>HIRSCH KELLY J</t>
  </si>
  <si>
    <t>HIRSCH KELLY</t>
  </si>
  <si>
    <t>Wood James</t>
  </si>
  <si>
    <t>E0383316</t>
  </si>
  <si>
    <t>WOOD JAMES</t>
  </si>
  <si>
    <t>WOOD JAMES SAM</t>
  </si>
  <si>
    <t>Landry Gerald</t>
  </si>
  <si>
    <t>E0132498</t>
  </si>
  <si>
    <t>LANDRY GERALD ALBERT MD</t>
  </si>
  <si>
    <t>LANDRY GERALD DR.</t>
  </si>
  <si>
    <t>BASSETT HC SHARON SP</t>
  </si>
  <si>
    <t>SHARON SPRINGS</t>
  </si>
  <si>
    <t>Matta Yesu</t>
  </si>
  <si>
    <t>E0407406</t>
  </si>
  <si>
    <t>MATTA YESU</t>
  </si>
  <si>
    <t>MATTA YESU DR.</t>
  </si>
  <si>
    <t>MATTA YESU KUMAR</t>
  </si>
  <si>
    <t>Bryan Powell</t>
  </si>
  <si>
    <t>E0450313</t>
  </si>
  <si>
    <t>POWELL BRYAN HENRY</t>
  </si>
  <si>
    <t>POWELL BRYAN</t>
  </si>
  <si>
    <t>Kathleen Murphy</t>
  </si>
  <si>
    <t>E0033286</t>
  </si>
  <si>
    <t>MURPHY KATHLEEN J RPA</t>
  </si>
  <si>
    <t>MURPHY KATHLEEN</t>
  </si>
  <si>
    <t>Nina Pegram</t>
  </si>
  <si>
    <t>E0371710</t>
  </si>
  <si>
    <t>PEGRAM NINA E S</t>
  </si>
  <si>
    <t>PEGRAM NINA</t>
  </si>
  <si>
    <t>Katherine Rudert</t>
  </si>
  <si>
    <t>E0385191</t>
  </si>
  <si>
    <t>RUDERT KATHERINE G</t>
  </si>
  <si>
    <t>RUDERT KATHERINE</t>
  </si>
  <si>
    <t>Lindsay Tamborelle</t>
  </si>
  <si>
    <t>E0406644</t>
  </si>
  <si>
    <t>TAMBORELLE LINDSAY B</t>
  </si>
  <si>
    <t>TAMBORELLE LINDSAY DR.</t>
  </si>
  <si>
    <t>Estrin Ynit</t>
  </si>
  <si>
    <t>E0423275</t>
  </si>
  <si>
    <t>ESTRIN YONIT TORAH</t>
  </si>
  <si>
    <t>ESTRIN YONIT DR.</t>
  </si>
  <si>
    <t>Wilkens Jenna</t>
  </si>
  <si>
    <t>E0393009</t>
  </si>
  <si>
    <t>WILKENS JENNA RAE</t>
  </si>
  <si>
    <t>WILKENS JENNA</t>
  </si>
  <si>
    <t>Cannariato Catherine</t>
  </si>
  <si>
    <t>E0158196</t>
  </si>
  <si>
    <t>CANNARIATO CATHERINE J</t>
  </si>
  <si>
    <t>CANNARIATO CATHERINE DR.</t>
  </si>
  <si>
    <t>Somers Megan</t>
  </si>
  <si>
    <t>E0396994</t>
  </si>
  <si>
    <t>SOMERS MEGAN MELISSA</t>
  </si>
  <si>
    <t>GALLERANI MEGAN</t>
  </si>
  <si>
    <t>Smith Carly</t>
  </si>
  <si>
    <t>E0446684</t>
  </si>
  <si>
    <t>SMITH CARLY ALEXANDRA</t>
  </si>
  <si>
    <t>SMITH CARLY</t>
  </si>
  <si>
    <t>Elizabeth Dorothy</t>
  </si>
  <si>
    <t>E0455364</t>
  </si>
  <si>
    <t>ELIZABETH DOROTHY S</t>
  </si>
  <si>
    <t>ELIZABETH DOROTHY</t>
  </si>
  <si>
    <t>Griffin Judith</t>
  </si>
  <si>
    <t>E0448678</t>
  </si>
  <si>
    <t>GRIFFIN JUDITH LOUISE</t>
  </si>
  <si>
    <t>since2@aol.com</t>
  </si>
  <si>
    <t>GRIFFIN JUDITH</t>
  </si>
  <si>
    <t>Gandhi Foram</t>
  </si>
  <si>
    <t>E0447552</t>
  </si>
  <si>
    <t>GANDHI FORAM</t>
  </si>
  <si>
    <t>Worley Andrea</t>
  </si>
  <si>
    <t>E0419492</t>
  </si>
  <si>
    <t>WORLEY ANDREA</t>
  </si>
  <si>
    <t>WORLEY ANDREA MRS.</t>
  </si>
  <si>
    <t>WORLEY ANDREA DENISE</t>
  </si>
  <si>
    <t>Taufik Mireille</t>
  </si>
  <si>
    <t>E0448405</t>
  </si>
  <si>
    <t>TAUFIK MIREILLE</t>
  </si>
  <si>
    <t>French Robin</t>
  </si>
  <si>
    <t>E0383392</t>
  </si>
  <si>
    <t>FRENCH ROBIN RENEE</t>
  </si>
  <si>
    <t>FRENCH ROBIN</t>
  </si>
  <si>
    <t>Zinn Ralph</t>
  </si>
  <si>
    <t>E0383394</t>
  </si>
  <si>
    <t>ZINN RALPH J</t>
  </si>
  <si>
    <t>ZINN RALPH MR.</t>
  </si>
  <si>
    <t>Varn Marianne</t>
  </si>
  <si>
    <t>E0151946</t>
  </si>
  <si>
    <t>VARN MARIANNE D</t>
  </si>
  <si>
    <t>VARN MARIANNE MS.</t>
  </si>
  <si>
    <t>VARN MARIANNE DOUGAN</t>
  </si>
  <si>
    <t>pachikara Samson</t>
  </si>
  <si>
    <t>E0120317</t>
  </si>
  <si>
    <t>PACHIKARA SAMSON A MD</t>
  </si>
  <si>
    <t>PACHIKARA SAMSON</t>
  </si>
  <si>
    <t>2717 GENESEE ST</t>
  </si>
  <si>
    <t>Berlin Michael</t>
  </si>
  <si>
    <t>E0382548</t>
  </si>
  <si>
    <t>BERLIN MICHAEL LEON</t>
  </si>
  <si>
    <t>BERLIN MICHAEL</t>
  </si>
  <si>
    <t>Franck Zsofia</t>
  </si>
  <si>
    <t>E0342692</t>
  </si>
  <si>
    <t>FRANCK ZSOFIA</t>
  </si>
  <si>
    <t>Barbara Wood, FNP</t>
  </si>
  <si>
    <t>E0304325</t>
  </si>
  <si>
    <t>BARBARA A WOOD</t>
  </si>
  <si>
    <t>jamie@cayugafamilymedicine.com</t>
  </si>
  <si>
    <t>WOOD BARBARA</t>
  </si>
  <si>
    <t>WOOD BARBARA A</t>
  </si>
  <si>
    <t>302 W SENECA ST</t>
  </si>
  <si>
    <t>Amy Aittama, FNP</t>
  </si>
  <si>
    <t>E0380482</t>
  </si>
  <si>
    <t>AITTAMA AMY</t>
  </si>
  <si>
    <t>Alexandra Karnow, DO</t>
  </si>
  <si>
    <t>E0442921</t>
  </si>
  <si>
    <t>KARNOW ALEXANDRA M</t>
  </si>
  <si>
    <t>KARNOW ALEXANDRA</t>
  </si>
  <si>
    <t>Cassetta Brian</t>
  </si>
  <si>
    <t>E0196975</t>
  </si>
  <si>
    <t>CASSETTA BRIAN             MD</t>
  </si>
  <si>
    <t>CASSETTA BRIAN DR.</t>
  </si>
  <si>
    <t>ARNOT OGDEN HOSPITAL</t>
  </si>
  <si>
    <t>CAYUGA FAMILY MEDICINE PC</t>
  </si>
  <si>
    <t>E0094676</t>
  </si>
  <si>
    <t>1457379018</t>
  </si>
  <si>
    <t>00309664</t>
  </si>
  <si>
    <t>1285638775</t>
  </si>
  <si>
    <t>00973982</t>
  </si>
  <si>
    <t>1447318662</t>
  </si>
  <si>
    <t>01303979</t>
  </si>
  <si>
    <t>1366597171</t>
  </si>
  <si>
    <t>02995435</t>
  </si>
  <si>
    <t>1679525455</t>
  </si>
  <si>
    <t>02749104</t>
  </si>
  <si>
    <t>1962422733</t>
  </si>
  <si>
    <t>03001085</t>
  </si>
  <si>
    <t>1346241973</t>
  </si>
  <si>
    <t>00361739</t>
  </si>
  <si>
    <t>1487655056</t>
  </si>
  <si>
    <t>03000433</t>
  </si>
  <si>
    <t>1710917497</t>
  </si>
  <si>
    <t>00422404</t>
  </si>
  <si>
    <t>1790005056</t>
  </si>
  <si>
    <t>03229316</t>
  </si>
  <si>
    <t>1336163963</t>
  </si>
  <si>
    <t>01079267</t>
  </si>
  <si>
    <t>1043374853</t>
  </si>
  <si>
    <t>00474144</t>
  </si>
  <si>
    <t>1326184490</t>
  </si>
  <si>
    <t>00396227</t>
  </si>
  <si>
    <t>1033114004</t>
  </si>
  <si>
    <t>00468777</t>
  </si>
  <si>
    <t>1528092798</t>
  </si>
  <si>
    <t>00364741</t>
  </si>
  <si>
    <t>1841285939</t>
  </si>
  <si>
    <t>00474699</t>
  </si>
  <si>
    <t>1245246644</t>
  </si>
  <si>
    <t>02079481</t>
  </si>
  <si>
    <t>1366472052</t>
  </si>
  <si>
    <t>00864324</t>
  </si>
  <si>
    <t>1073955092</t>
  </si>
  <si>
    <t>03932932</t>
  </si>
  <si>
    <t>1629087580</t>
  </si>
  <si>
    <t>03001136</t>
  </si>
  <si>
    <t>1881761484</t>
  </si>
  <si>
    <t>00362863</t>
  </si>
  <si>
    <t>1336116300</t>
  </si>
  <si>
    <t>01195995</t>
  </si>
  <si>
    <t>1447257928</t>
  </si>
  <si>
    <t>02995673</t>
  </si>
  <si>
    <t>American Civic Association</t>
  </si>
  <si>
    <t>1548262363</t>
  </si>
  <si>
    <t>01292828</t>
  </si>
  <si>
    <t>1750308474</t>
  </si>
  <si>
    <t>02053863</t>
  </si>
  <si>
    <t>1770593956</t>
  </si>
  <si>
    <t>00314723</t>
  </si>
  <si>
    <t>1669461711</t>
  </si>
  <si>
    <t>01890739</t>
  </si>
  <si>
    <t>1619922432</t>
  </si>
  <si>
    <t>02996569</t>
  </si>
  <si>
    <t>1366434011</t>
  </si>
  <si>
    <t>00590372</t>
  </si>
  <si>
    <t>1760437362</t>
  </si>
  <si>
    <t>00476971</t>
  </si>
  <si>
    <t>1679808273</t>
  </si>
  <si>
    <t>03511300</t>
  </si>
  <si>
    <t>1730185737</t>
  </si>
  <si>
    <t>00955817</t>
  </si>
  <si>
    <t>1922398288</t>
  </si>
  <si>
    <t>00474319</t>
  </si>
  <si>
    <t>T</t>
  </si>
  <si>
    <t>1780935502</t>
  </si>
  <si>
    <t>03616704</t>
  </si>
  <si>
    <t>1922293745</t>
  </si>
  <si>
    <t>02998070</t>
  </si>
  <si>
    <t>1639150477</t>
  </si>
  <si>
    <t>00363144</t>
  </si>
  <si>
    <t>1508883208</t>
  </si>
  <si>
    <t>01122458</t>
  </si>
  <si>
    <t>1750477923</t>
  </si>
  <si>
    <t>00308916</t>
  </si>
  <si>
    <t>1023040235</t>
  </si>
  <si>
    <t>00614755</t>
  </si>
  <si>
    <t>The Rescue Mission Alliance of Syracuse, Ny</t>
  </si>
  <si>
    <t>PUTTANNIAH MANGALA</t>
  </si>
  <si>
    <t>AHMED SHOAIB DR.</t>
  </si>
  <si>
    <t>DENZIEN DARLENE DR.</t>
  </si>
  <si>
    <t>BATTLA NASREEN DR.</t>
  </si>
  <si>
    <t>NEWMAN LISA DR.</t>
  </si>
  <si>
    <t>SYVINLUAN MARIA</t>
  </si>
  <si>
    <t>HARDI UMAR DR.</t>
  </si>
  <si>
    <t>MILLER WILLIAM</t>
  </si>
  <si>
    <t>KASIVAJJULA HIMABINDU</t>
  </si>
  <si>
    <t>CARTER DAVID DR.</t>
  </si>
  <si>
    <t>SAEED AZMAT DR.</t>
  </si>
  <si>
    <t>SALMAN NADA</t>
  </si>
  <si>
    <t>PUGLISI SUSAN</t>
  </si>
  <si>
    <t>COOK PAMELA</t>
  </si>
  <si>
    <t>STEWART BETH</t>
  </si>
  <si>
    <t>COX CAITLIN</t>
  </si>
  <si>
    <t>VAN INGEN LAURIE</t>
  </si>
  <si>
    <t>TUNICK MICHAEL DR.</t>
  </si>
  <si>
    <t>ONEILL JOHN</t>
  </si>
  <si>
    <t>BURFORD CAITLYN DR.</t>
  </si>
  <si>
    <t>SZE-TU DUNCAN</t>
  </si>
  <si>
    <t>FEDERICO MICHAEL DR.</t>
  </si>
  <si>
    <t>GEHRING LAZARUS</t>
  </si>
  <si>
    <t>FISH ASHLEE MRS.</t>
  </si>
  <si>
    <t>NIXON ENID</t>
  </si>
  <si>
    <t>HAWKES KATHRYN</t>
  </si>
  <si>
    <t>REHMAN AFZAL</t>
  </si>
  <si>
    <t>VITELLAS MICHAIL DR.</t>
  </si>
  <si>
    <t>TRAVERSE PAUL</t>
  </si>
  <si>
    <t>YARKONI ALON DR.</t>
  </si>
  <si>
    <t>PATEL KEYOOR DR.</t>
  </si>
  <si>
    <t>CLAUSON LISA MS.</t>
  </si>
  <si>
    <t>MIKLOUCICH JEROME DR.</t>
  </si>
  <si>
    <t>JOWETT LINDA MRS.</t>
  </si>
  <si>
    <t>ROMEO ELIZABETH MS.</t>
  </si>
  <si>
    <t>SCHERER JUDITH</t>
  </si>
  <si>
    <t>RODRIGUEZ-BETANCOURT LUIS DR.</t>
  </si>
  <si>
    <t>CASTELLANOS ROBERT DR.</t>
  </si>
  <si>
    <t>AHMED OWAIS</t>
  </si>
  <si>
    <t>OSAGIE JUDITH</t>
  </si>
  <si>
    <t>STUPPEL IAN</t>
  </si>
  <si>
    <t>VAHEDI MITHAQ DR.</t>
  </si>
  <si>
    <t>SWOBODA THOMAS DR.</t>
  </si>
  <si>
    <t>STOUGHTON JAMES DR.</t>
  </si>
  <si>
    <t>ROSA STEPHANIE</t>
  </si>
  <si>
    <t>PARK MALSUK DR.</t>
  </si>
  <si>
    <t>EISENBERG SPENCER</t>
  </si>
  <si>
    <t>CRANDELL PATRICK</t>
  </si>
  <si>
    <t>BOAKYE KWABENA</t>
  </si>
  <si>
    <t>AHMAD RANA</t>
  </si>
  <si>
    <t>LITVIN YAIR</t>
  </si>
  <si>
    <t>PATEL DARSHAN</t>
  </si>
  <si>
    <t>POMPO FRANK</t>
  </si>
  <si>
    <t>LAWRENCE ERIN MS.</t>
  </si>
  <si>
    <t>IQBAL HAMEED</t>
  </si>
  <si>
    <t>MEZU-PATEL NGOZI DR.</t>
  </si>
  <si>
    <t>BOUFAL MARGARET</t>
  </si>
  <si>
    <t>KHETI YATIN DR.</t>
  </si>
  <si>
    <t>PRYCE MICHAEL LINDSEY</t>
  </si>
  <si>
    <t>PARK SAE JOUN DR.</t>
  </si>
  <si>
    <t>RILLORAZA FRANCISCO DR.</t>
  </si>
  <si>
    <t>DESMANGLES JEAN-CLAUDE</t>
  </si>
  <si>
    <t>JACKSON SUSAN DR.</t>
  </si>
  <si>
    <t>BENJAMIN BRANDY</t>
  </si>
  <si>
    <t>II JANINE</t>
  </si>
  <si>
    <t>LAUTERBACH STEPHEN</t>
  </si>
  <si>
    <t>SHAH ZIA DR.</t>
  </si>
  <si>
    <t>MATHEW PHILIP DR.</t>
  </si>
  <si>
    <t>SARGENT ANITA DR.</t>
  </si>
  <si>
    <t>KONDRUP JAMES DR.</t>
  </si>
  <si>
    <t>MATA ARMANDO</t>
  </si>
  <si>
    <t>HOCHBERG KRISTIAN OWEN</t>
  </si>
  <si>
    <t>HASSIG STEVEN DR.</t>
  </si>
  <si>
    <t>BISHOP LAURA</t>
  </si>
  <si>
    <t>DURA PAUL</t>
  </si>
  <si>
    <t>MCKINNEY CEDRIC DR.</t>
  </si>
  <si>
    <t>HARDING KURT</t>
  </si>
  <si>
    <t>CRUM KIMBERLY</t>
  </si>
  <si>
    <t>HEKTOR MATTHEW MR.</t>
  </si>
  <si>
    <t>BUTT SALEHA DR.</t>
  </si>
  <si>
    <t>RAFFERTY SONYA</t>
  </si>
  <si>
    <t>LORRAINE ERIC</t>
  </si>
  <si>
    <t>HOLLER JAMES</t>
  </si>
  <si>
    <t>PERRY JOHN</t>
  </si>
  <si>
    <t>PATEL REKHA</t>
  </si>
  <si>
    <t>HARRIS JONATHAN</t>
  </si>
  <si>
    <t>PATEL SUCHET</t>
  </si>
  <si>
    <t>DESANTIS KIMBERLY</t>
  </si>
  <si>
    <t>KOWALSKI TADEUS EDWARD</t>
  </si>
  <si>
    <t>Liberty Resources</t>
  </si>
  <si>
    <t>CAYUGA MEDICAL CENTER EMPLOYED PHYSICIANS GROUP</t>
  </si>
  <si>
    <t>MILLER JULIA</t>
  </si>
  <si>
    <t>FRANTS REGINA</t>
  </si>
  <si>
    <t>CHISDAK MICHAEL</t>
  </si>
  <si>
    <t>WARNAKULASURIYA MANUJA</t>
  </si>
  <si>
    <t>STRUCK KENT</t>
  </si>
  <si>
    <t>HAYES MICHAEL DR.</t>
  </si>
  <si>
    <t>FOSTER RHIANNON</t>
  </si>
  <si>
    <t>CASEY ERIN</t>
  </si>
  <si>
    <t>FAIRVIEW RECOVERY SERVICES, INC</t>
  </si>
  <si>
    <t>COUNCIL ON ALCOHOL AND SUBSTANCE ABUSE OF LIVINGSTON COUNTY, INC.</t>
  </si>
  <si>
    <t>BUFFALO BEACON CORPORATION</t>
  </si>
  <si>
    <t>JOHNSON JANET</t>
  </si>
  <si>
    <t>INSTITUTE FOR HUMAN SERVICES</t>
  </si>
  <si>
    <t>HOPE MARY</t>
  </si>
  <si>
    <t>YARDE DAVINIA</t>
  </si>
  <si>
    <t>TOKOS ERICA</t>
  </si>
  <si>
    <t>DUDDEN ASHLEY MS.</t>
  </si>
  <si>
    <t>CHAMBERLIN LYNN</t>
  </si>
  <si>
    <t>FEENEY MICHAEL</t>
  </si>
  <si>
    <t>GALLAGHER KEVIN</t>
  </si>
  <si>
    <t>All Other:: Practitioner - Non-Primary Care Provider (PCP):: Practitioner - Primary Care Provider (PCP)</t>
  </si>
  <si>
    <t>Practitioner - Non-Primary Care Provider (PCP):: Practitioner - Primary Care Provider (PCP)</t>
  </si>
  <si>
    <t>All Other:: Mental Health:: Practitioner - Primary Care Provider (PCP)</t>
  </si>
  <si>
    <t>All Other:: Case Management / Health Home:: Mental Health:: Substance Abuse</t>
  </si>
  <si>
    <t>All Other:: Clinic:: Hospice:: Hospital:: Mental Health:: Substance Abuse</t>
  </si>
  <si>
    <t>All Other:: Mental Health:: Nursing Home</t>
  </si>
  <si>
    <t>All Other:: Clinic:: Home and Community Based Services:: Substance Abuse</t>
  </si>
  <si>
    <t>HCBS</t>
  </si>
  <si>
    <t>All Other:: Mental Health:: Practitioner - Non-Primary Care Provider (PCP):: Practitioner - Primary Care Provider (PCP)</t>
  </si>
  <si>
    <t>Physician</t>
  </si>
  <si>
    <t>PUTTANNIAH MANGALA S       MD</t>
  </si>
  <si>
    <t>CHENANGO BRIDGE M/G</t>
  </si>
  <si>
    <t>AHMED SHOAIB               MD</t>
  </si>
  <si>
    <t>DENZIEN DARLENE C</t>
  </si>
  <si>
    <t>BATTLA NASREEN NASIM MD</t>
  </si>
  <si>
    <t>101 MAIN ST</t>
  </si>
  <si>
    <t>NEWMAN LISA FAITH DO</t>
  </si>
  <si>
    <t>LOURDES FAM PRCT</t>
  </si>
  <si>
    <t>SY-VINLUAN MARIA TERESA L MD</t>
  </si>
  <si>
    <t>LOURDES FAM PRACTICE</t>
  </si>
  <si>
    <t>HARDI UMAR MD</t>
  </si>
  <si>
    <t>MILLER WILLIAM JOHN MD</t>
  </si>
  <si>
    <t>639 MAIN ST</t>
  </si>
  <si>
    <t>CARTER DAVID CHANNING MD</t>
  </si>
  <si>
    <t>SAEED AZMAT</t>
  </si>
  <si>
    <t>LICH MPA PC PED</t>
  </si>
  <si>
    <t>SALMAN NADA MUNIR</t>
  </si>
  <si>
    <t>5 KENNEDY PKWY</t>
  </si>
  <si>
    <t>PUGLISI SUSAN MARIE</t>
  </si>
  <si>
    <t>COOK PAMELA J MD</t>
  </si>
  <si>
    <t>ENDWELL FAMILY PHYS</t>
  </si>
  <si>
    <t>STEWART BETH ANN</t>
  </si>
  <si>
    <t>COX CAITLIN S</t>
  </si>
  <si>
    <t>VAN INGEN LAURIE KUHN</t>
  </si>
  <si>
    <t>TUNICK MICHAEL HILTON DO</t>
  </si>
  <si>
    <t>O'NEILL JOHN H RPA</t>
  </si>
  <si>
    <t>BURFORD CAITLYN E</t>
  </si>
  <si>
    <t>ENDWELL FAM PHYS</t>
  </si>
  <si>
    <t>FEDERICO MICHAEL TODD</t>
  </si>
  <si>
    <t>GEHRING LAZARUS BRENT CHRISTIAN</t>
  </si>
  <si>
    <t>FISH ASHLEE BROOKE</t>
  </si>
  <si>
    <t>4417 VESTAL PKWY</t>
  </si>
  <si>
    <t>NIXON ENID ESTHER</t>
  </si>
  <si>
    <t>HAWKES KATHRYN CAROL</t>
  </si>
  <si>
    <t>REHMAN AFZAL UR MD</t>
  </si>
  <si>
    <t>TIER CARDIOL GRP PC</t>
  </si>
  <si>
    <t>VITELLAS MICHAIL</t>
  </si>
  <si>
    <t>30 HARRISON ST  STE 250</t>
  </si>
  <si>
    <t>TRAVERSE PAUL              MD</t>
  </si>
  <si>
    <t>CARDIOLOGY ASSOC PC</t>
  </si>
  <si>
    <t>YARKONI ALON</t>
  </si>
  <si>
    <t>602 IVY ST</t>
  </si>
  <si>
    <t>PATEL KEYOOR</t>
  </si>
  <si>
    <t>301 E MAIN ST</t>
  </si>
  <si>
    <t>BAY SHORE</t>
  </si>
  <si>
    <t>CLAUSON LISA MARIE</t>
  </si>
  <si>
    <t>MIKLOUCICH JEROME J</t>
  </si>
  <si>
    <t>JOWETT LINDA</t>
  </si>
  <si>
    <t>ROMEO ELIZABETH ANN</t>
  </si>
  <si>
    <t>SCHERER JUDITH M</t>
  </si>
  <si>
    <t>TOMPKINS COMM HOSP</t>
  </si>
  <si>
    <t>RODRIGUEZ BETANCOURT LUIS MD</t>
  </si>
  <si>
    <t>MMC EMERG ROOM</t>
  </si>
  <si>
    <t>CASTELLANOS ROBERT         MD</t>
  </si>
  <si>
    <t>AHMED OWAIS MD</t>
  </si>
  <si>
    <t>30 HARRINGSON ST</t>
  </si>
  <si>
    <t>161 RIVERSIDE DR STE M08</t>
  </si>
  <si>
    <t>STUPPEL IAN MD</t>
  </si>
  <si>
    <t>VAHEDI MITHAQ</t>
  </si>
  <si>
    <t>SWOBODA THOMAS</t>
  </si>
  <si>
    <t>STOUGHTON JAMES ELLIOTT MD</t>
  </si>
  <si>
    <t>ROSA STEPHANIE M</t>
  </si>
  <si>
    <t>PARK MALSUK</t>
  </si>
  <si>
    <t>530 NEW BRUNSWICK AVE</t>
  </si>
  <si>
    <t>PERTH AMBOY</t>
  </si>
  <si>
    <t>EISENBERG SPENCER M</t>
  </si>
  <si>
    <t>507 MAIN STREET</t>
  </si>
  <si>
    <t>CRANDELL PATRICK L</t>
  </si>
  <si>
    <t>AHMAD RANA ZAHEER MD</t>
  </si>
  <si>
    <t>3926 STATE ROUTE 12</t>
  </si>
  <si>
    <t>LYONS FALLS</t>
  </si>
  <si>
    <t>1259 FISHER AVE</t>
  </si>
  <si>
    <t>POMPO FRANK JOSEPH</t>
  </si>
  <si>
    <t>LAWRENCE ERIN MARIE RPA</t>
  </si>
  <si>
    <t>MEZU NGOZI C</t>
  </si>
  <si>
    <t>BOUFAL MARGARET DO</t>
  </si>
  <si>
    <t>17 E GENESEE ST STE 101</t>
  </si>
  <si>
    <t>KHETI YATIN</t>
  </si>
  <si>
    <t>PRYCE MICHAEL DR.</t>
  </si>
  <si>
    <t>PARK SAE JOUN              MD</t>
  </si>
  <si>
    <t>10 MITCHELL AVE</t>
  </si>
  <si>
    <t>RILLORAZA FRANCISCO L MD</t>
  </si>
  <si>
    <t>DESMANGLES JEAN-CLAUDE GEORGE</t>
  </si>
  <si>
    <t>JACKSON SUSAN MARIE</t>
  </si>
  <si>
    <t>BENJAMIN BRANDY L</t>
  </si>
  <si>
    <t>1676 SUNSET AVE</t>
  </si>
  <si>
    <t>SHAH ZIA H MD</t>
  </si>
  <si>
    <t>MATHEW PHILIP PLAVILAYIL</t>
  </si>
  <si>
    <t>SARGENT ANITA</t>
  </si>
  <si>
    <t>161 RIVERSIDE DR STE 109</t>
  </si>
  <si>
    <t>KONDRUP JAMES DANA MD</t>
  </si>
  <si>
    <t>MATA ARMANDO B MD</t>
  </si>
  <si>
    <t>161 RIVERSIDE DR STE 106</t>
  </si>
  <si>
    <t>HOCHBERG KRISTIAN DR.</t>
  </si>
  <si>
    <t>161 RIVERSIDE DR STE 105</t>
  </si>
  <si>
    <t>HASSIG STEVEN ROBERT MD</t>
  </si>
  <si>
    <t>2147 EASTERN PKWY</t>
  </si>
  <si>
    <t>BISHOP LAURA JEAN MD</t>
  </si>
  <si>
    <t>DURA PAUL ANDREW MD</t>
  </si>
  <si>
    <t>MCKINNEY CEDRIC KENYATTA</t>
  </si>
  <si>
    <t>HARDING KURT ROBERT</t>
  </si>
  <si>
    <t>CRUM KIMBERLY ANN DO</t>
  </si>
  <si>
    <t>HEKTOR MATTHEW S</t>
  </si>
  <si>
    <t>BUTT SALEHA ASIL</t>
  </si>
  <si>
    <t>RAFFERTY SONYA ELAINE</t>
  </si>
  <si>
    <t>1019 E WATER ST</t>
  </si>
  <si>
    <t>LORRAINE ERIC JOSEPH</t>
  </si>
  <si>
    <t>HOLLER JAMES CHRISTOPHER</t>
  </si>
  <si>
    <t>PERRY JOHN SIMON           MD</t>
  </si>
  <si>
    <t>PATEL REKHA S</t>
  </si>
  <si>
    <t>HARRIS JONATHAN A</t>
  </si>
  <si>
    <t>PATEL SUCHET R</t>
  </si>
  <si>
    <t>DESANTIS KIMBERLY METZ</t>
  </si>
  <si>
    <t>KOWALSKI TADEUS DR.</t>
  </si>
  <si>
    <t>CAYUGA MEDICAL CENTER OF ITHACA</t>
  </si>
  <si>
    <t>MILLER JULIA MD</t>
  </si>
  <si>
    <t>FRANTS REGINA MD</t>
  </si>
  <si>
    <t>52 HARRISON ST</t>
  </si>
  <si>
    <t>CHISDAK MICHAEL WILLIAM MD</t>
  </si>
  <si>
    <t>WARNAKULASURIYA MANUJA P MD</t>
  </si>
  <si>
    <t>GELDER MEDICAL GRP</t>
  </si>
  <si>
    <t>STRUCK KENT DARROW MD</t>
  </si>
  <si>
    <t>UNITED MEDICAL ASSOC PC</t>
  </si>
  <si>
    <t>HAYES MICHAEL FRANK DO</t>
  </si>
  <si>
    <t>OLEAN MEDICAL GRP</t>
  </si>
  <si>
    <t>OLEAN</t>
  </si>
  <si>
    <t>FOSTER RHIANNON B</t>
  </si>
  <si>
    <t>CASEY ERIN MICHELLE</t>
  </si>
  <si>
    <t>FAIRVIEW RECOVERY SERVICES INC</t>
  </si>
  <si>
    <t>247 COURT ST</t>
  </si>
  <si>
    <t>COUNCIL ALCOHOL SUB ABUSE LIVINGSTN</t>
  </si>
  <si>
    <t>4612 MILLENNIUM DR WING B</t>
  </si>
  <si>
    <t>GENESEO</t>
  </si>
  <si>
    <t>BUFFALO BEACON CORP</t>
  </si>
  <si>
    <t># 09/01/02</t>
  </si>
  <si>
    <t>AMHERST</t>
  </si>
  <si>
    <t>JOHNSON JANET LEE MD</t>
  </si>
  <si>
    <t>INSTITUTE FOR HUMAN SVCS NBA</t>
  </si>
  <si>
    <t>6666 COUNTY ROUTE 11</t>
  </si>
  <si>
    <t>HOPE MARY K</t>
  </si>
  <si>
    <t>YARDE DAVINIA A</t>
  </si>
  <si>
    <t>TOKOS ERICA L</t>
  </si>
  <si>
    <t>DUDDEN ASHLEY ROSE</t>
  </si>
  <si>
    <t>CHAMBERLIN LYNN MARIE RPA</t>
  </si>
  <si>
    <t>260 RIVERSIDE DR</t>
  </si>
  <si>
    <t>FEENEY MICHAEL J</t>
  </si>
  <si>
    <t>GALLAGHER KEVIN EDWARD MD</t>
  </si>
  <si>
    <t>NJ</t>
  </si>
  <si>
    <t>E0255726</t>
  </si>
  <si>
    <t>E0194734</t>
  </si>
  <si>
    <t>E0190399</t>
  </si>
  <si>
    <t>E0184850</t>
  </si>
  <si>
    <t>E0073121</t>
  </si>
  <si>
    <t>E0155020</t>
  </si>
  <si>
    <t>E0038158</t>
  </si>
  <si>
    <t>E0035718</t>
  </si>
  <si>
    <t>E0392690</t>
  </si>
  <si>
    <t>E0285843</t>
  </si>
  <si>
    <t>CARTER DAVID CHANNING</t>
  </si>
  <si>
    <t>E0178904</t>
  </si>
  <si>
    <t>SAEED AZMAT MD</t>
  </si>
  <si>
    <t>E0209328</t>
  </si>
  <si>
    <t>SALMAN NADA MUNIR          MD</t>
  </si>
  <si>
    <t>E0067274</t>
  </si>
  <si>
    <t>E0171647</t>
  </si>
  <si>
    <t>E0386294</t>
  </si>
  <si>
    <t>E0386438</t>
  </si>
  <si>
    <t>E0301565</t>
  </si>
  <si>
    <t>E0041947</t>
  </si>
  <si>
    <t>E0025090</t>
  </si>
  <si>
    <t>E0385659</t>
  </si>
  <si>
    <t>E0224193</t>
  </si>
  <si>
    <t>E0393574</t>
  </si>
  <si>
    <t>E0087275</t>
  </si>
  <si>
    <t>GEHRING LAZARUS BRENT CHRISTI</t>
  </si>
  <si>
    <t>E0407351</t>
  </si>
  <si>
    <t>FISH ASHLEE</t>
  </si>
  <si>
    <t>E0365475</t>
  </si>
  <si>
    <t>E0436274</t>
  </si>
  <si>
    <t>E0114291</t>
  </si>
  <si>
    <t>E0386353</t>
  </si>
  <si>
    <t>E0223046</t>
  </si>
  <si>
    <t>E0295580</t>
  </si>
  <si>
    <t>ALON YARKONI</t>
  </si>
  <si>
    <t>E0324950</t>
  </si>
  <si>
    <t>E0091975</t>
  </si>
  <si>
    <t>E0294580</t>
  </si>
  <si>
    <t>E0103474</t>
  </si>
  <si>
    <t>E0103231</t>
  </si>
  <si>
    <t>ROMEO ELIZABETH A</t>
  </si>
  <si>
    <t>E0154246</t>
  </si>
  <si>
    <t>E0150108</t>
  </si>
  <si>
    <t>E0195641</t>
  </si>
  <si>
    <t>E0072358</t>
  </si>
  <si>
    <t>E0337773</t>
  </si>
  <si>
    <t>E0072041</t>
  </si>
  <si>
    <t>E0407388</t>
  </si>
  <si>
    <t>E0379557</t>
  </si>
  <si>
    <t>E0002355</t>
  </si>
  <si>
    <t>STOUGHTON JAMES ELLIOTT</t>
  </si>
  <si>
    <t>E0394172</t>
  </si>
  <si>
    <t>E0117225</t>
  </si>
  <si>
    <t>PARK MALSUK MD</t>
  </si>
  <si>
    <t>E0402667</t>
  </si>
  <si>
    <t>E0358980</t>
  </si>
  <si>
    <t>E0338281</t>
  </si>
  <si>
    <t>E0283602</t>
  </si>
  <si>
    <t>E0205750</t>
  </si>
  <si>
    <t>LITVIN YAIR                MD</t>
  </si>
  <si>
    <t>E0285266</t>
  </si>
  <si>
    <t>PATEL DARSHAN MD</t>
  </si>
  <si>
    <t>E0395303</t>
  </si>
  <si>
    <t>E0049150</t>
  </si>
  <si>
    <t>DUDDLESTON ERIN M RPA</t>
  </si>
  <si>
    <t>E0428449</t>
  </si>
  <si>
    <t>E0398916</t>
  </si>
  <si>
    <t>E0038159</t>
  </si>
  <si>
    <t>E0412734</t>
  </si>
  <si>
    <t>KHETI YATKIN</t>
  </si>
  <si>
    <t>E0415488</t>
  </si>
  <si>
    <t>E0259679</t>
  </si>
  <si>
    <t>E0041509</t>
  </si>
  <si>
    <t>E0383212</t>
  </si>
  <si>
    <t>DESMANGLES JEAN-CLAUD</t>
  </si>
  <si>
    <t>E0009854</t>
  </si>
  <si>
    <t>ROBINSON SUSAN MARIE DO</t>
  </si>
  <si>
    <t>E0371555</t>
  </si>
  <si>
    <t>E0395488</t>
  </si>
  <si>
    <t>E0297182</t>
  </si>
  <si>
    <t>E0135655</t>
  </si>
  <si>
    <t>E0376975</t>
  </si>
  <si>
    <t>E0337439</t>
  </si>
  <si>
    <t>E0190541</t>
  </si>
  <si>
    <t>E0226187</t>
  </si>
  <si>
    <t>MATA ARMANDO B             MD</t>
  </si>
  <si>
    <t>E0411585</t>
  </si>
  <si>
    <t>HOCHBERG KRISTIAN</t>
  </si>
  <si>
    <t>E0181142</t>
  </si>
  <si>
    <t>E0031974</t>
  </si>
  <si>
    <t>E0148356</t>
  </si>
  <si>
    <t>E0395427</t>
  </si>
  <si>
    <t>MCKINNEY CEDRIC</t>
  </si>
  <si>
    <t>E0173310</t>
  </si>
  <si>
    <t>HARDING KURT ROBERT DO</t>
  </si>
  <si>
    <t>E0083909</t>
  </si>
  <si>
    <t>E0378590</t>
  </si>
  <si>
    <t>E0363932</t>
  </si>
  <si>
    <t>E0364284</t>
  </si>
  <si>
    <t>E0354725</t>
  </si>
  <si>
    <t>LORRAINE ERIC J</t>
  </si>
  <si>
    <t>E0164213</t>
  </si>
  <si>
    <t>HOLLER JAMES CHRISTOPHER  MD</t>
  </si>
  <si>
    <t>E0195286</t>
  </si>
  <si>
    <t>E0085720</t>
  </si>
  <si>
    <t>PATEL REKHA S MD</t>
  </si>
  <si>
    <t>E0243908</t>
  </si>
  <si>
    <t>HARRIS JONATHAN A          MD</t>
  </si>
  <si>
    <t>E0085735</t>
  </si>
  <si>
    <t>PATEL SUCHET R MD</t>
  </si>
  <si>
    <t>E0105681</t>
  </si>
  <si>
    <t>DESANTIS KIMBERLY M MD</t>
  </si>
  <si>
    <t>E0406653</t>
  </si>
  <si>
    <t>E0392262</t>
  </si>
  <si>
    <t>E0154099</t>
  </si>
  <si>
    <t>E0080110</t>
  </si>
  <si>
    <t>E0215179</t>
  </si>
  <si>
    <t>CHISDAK MICHAEL WILLIAM    MD</t>
  </si>
  <si>
    <t>E0040941</t>
  </si>
  <si>
    <t>E0216095</t>
  </si>
  <si>
    <t>E0124722</t>
  </si>
  <si>
    <t>E0339530</t>
  </si>
  <si>
    <t>ROSTER RHIANNON B</t>
  </si>
  <si>
    <t>E0338920</t>
  </si>
  <si>
    <t>E0410098</t>
  </si>
  <si>
    <t>E0230733</t>
  </si>
  <si>
    <t>E0181566</t>
  </si>
  <si>
    <t>E0166744</t>
  </si>
  <si>
    <t>E0151890</t>
  </si>
  <si>
    <t>E0393184</t>
  </si>
  <si>
    <t>E0385946</t>
  </si>
  <si>
    <t>E0371535</t>
  </si>
  <si>
    <t>MASH ERICA L</t>
  </si>
  <si>
    <t>E0364944</t>
  </si>
  <si>
    <t>E0297455</t>
  </si>
  <si>
    <t>KENYON LYNN MARIE RPA</t>
  </si>
  <si>
    <t>E0146841</t>
  </si>
  <si>
    <t>E0165057</t>
  </si>
  <si>
    <t>Nasar Khan</t>
  </si>
  <si>
    <t>nkhan@cortlandregional.org</t>
  </si>
  <si>
    <t>Janice Preston</t>
  </si>
  <si>
    <t>(607) 763-4374</t>
  </si>
  <si>
    <t>jpreston@co.broome.ny.us</t>
  </si>
  <si>
    <t>Ron Patti</t>
  </si>
  <si>
    <t>(607) 798-1002</t>
  </si>
  <si>
    <t>rpatti@umhwc.org</t>
  </si>
  <si>
    <t>Candace Gregory</t>
  </si>
  <si>
    <t>(607) 240-2018</t>
  </si>
  <si>
    <t>cgregory@uwbroome.org</t>
  </si>
  <si>
    <t>Theresa Davis</t>
  </si>
  <si>
    <t>theresa@chenangohealth.org</t>
  </si>
  <si>
    <t>lhoeschele@familycs.org</t>
  </si>
  <si>
    <t>Mayra Garcia</t>
  </si>
  <si>
    <t>(607) 723-9419</t>
  </si>
  <si>
    <t>mgarcia@americancivic.com</t>
  </si>
  <si>
    <t>Rich Bennett</t>
  </si>
  <si>
    <t>(607) 592-2842</t>
  </si>
  <si>
    <t>richard.bennett@ithacarescuemission.org</t>
  </si>
  <si>
    <t>Pam Ravener</t>
  </si>
  <si>
    <t>pam.ravener@endwellfamily.com</t>
  </si>
  <si>
    <t>Ann Domingos</t>
  </si>
  <si>
    <t>(607) 737-5218</t>
  </si>
  <si>
    <t>adomingos@casaoflc.org</t>
  </si>
  <si>
    <t>Jacqueline Nicastro</t>
  </si>
  <si>
    <t>(607) 428-5601</t>
  </si>
  <si>
    <t>jnicastro@beaconcenter.net</t>
  </si>
  <si>
    <t>Patrick Rogers</t>
  </si>
  <si>
    <t>RogersP@ihsnet.org</t>
  </si>
  <si>
    <t>1083618672</t>
  </si>
  <si>
    <t>01183233</t>
  </si>
  <si>
    <t>01489321</t>
  </si>
  <si>
    <t>1861606485</t>
  </si>
  <si>
    <t>02392863</t>
  </si>
  <si>
    <t>1023054376</t>
  </si>
  <si>
    <t>00689689</t>
  </si>
  <si>
    <t>1740375385</t>
  </si>
  <si>
    <t>00579240</t>
  </si>
  <si>
    <t>1417940719</t>
  </si>
  <si>
    <t>00347571</t>
  </si>
  <si>
    <t>02171488</t>
  </si>
  <si>
    <t>1023014974</t>
  </si>
  <si>
    <t>01332970</t>
  </si>
  <si>
    <t>1174799290</t>
  </si>
  <si>
    <t>00356285</t>
  </si>
  <si>
    <t>1588686596</t>
  </si>
  <si>
    <t>02996385</t>
  </si>
  <si>
    <t>1003901695</t>
  </si>
  <si>
    <t>02664359</t>
  </si>
  <si>
    <t>1952306631</t>
  </si>
  <si>
    <t>03001145</t>
  </si>
  <si>
    <t>1306901608</t>
  </si>
  <si>
    <t>02857183</t>
  </si>
  <si>
    <t>1811088719</t>
  </si>
  <si>
    <t>02997419</t>
  </si>
  <si>
    <t>03314550</t>
  </si>
  <si>
    <t>Quarterly Funds Flow Updates - DY3, Q1</t>
  </si>
  <si>
    <t>Prov Project 2.a.i</t>
  </si>
  <si>
    <t>Prov Project 2.b.iv</t>
  </si>
  <si>
    <t>Prov Project 2.b.vii</t>
  </si>
  <si>
    <t>Prov Project 2.c.i</t>
  </si>
  <si>
    <t>Prov Project 2.d.i</t>
  </si>
  <si>
    <t>Prov Project 3.a.i</t>
  </si>
  <si>
    <t>Prov Project 3.a.ii</t>
  </si>
  <si>
    <t>Prov Project 3.b.i</t>
  </si>
  <si>
    <t>Prov Project 3.g.i</t>
  </si>
  <si>
    <t>Prov Project 4.a.iii</t>
  </si>
  <si>
    <t>Prov Project 4.b.ii</t>
  </si>
  <si>
    <t>Row Labels</t>
  </si>
  <si>
    <t>Grand Total</t>
  </si>
  <si>
    <t>1 Total</t>
  </si>
  <si>
    <t>Sum of Prov Project 2.a.i</t>
  </si>
  <si>
    <t>Sum of Prov Project 2.b.iv</t>
  </si>
  <si>
    <t>Sum of Prov Project 2.b.vii</t>
  </si>
  <si>
    <t>Sum of Prov Project 2.c.i</t>
  </si>
  <si>
    <t>Sum of Prov Project 2.d.i</t>
  </si>
  <si>
    <t>Sum of Prov Project 3.a.i</t>
  </si>
  <si>
    <t>Sum of Prov Project 3.a.ii</t>
  </si>
  <si>
    <t>Sum of Prov Project 3.b.i</t>
  </si>
  <si>
    <t>Sum of Prov Project 3.g.i</t>
  </si>
  <si>
    <t>Sum of Prov Project 4.a.iii</t>
  </si>
  <si>
    <t>Sum of Prov Project 4.b.ii</t>
  </si>
  <si>
    <t>Org</t>
  </si>
  <si>
    <t>UHS</t>
  </si>
  <si>
    <t>OLOL</t>
  </si>
  <si>
    <t>CMC</t>
  </si>
  <si>
    <t>CRMC</t>
  </si>
  <si>
    <t>FMA</t>
  </si>
  <si>
    <t>TGC</t>
  </si>
  <si>
    <t>(blank)</t>
  </si>
  <si>
    <t/>
  </si>
  <si>
    <t xml:space="preserve"> Total</t>
  </si>
  <si>
    <t>(blank)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</si>
</sst>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0" fillId="0" borderId="1" xfId="0" applyBorder="1"/>
    <xf numFmtId="0" fontId="3" fillId="0" borderId="1" xfId="0" applyFont="1" applyBorder="1"/>
    <xf numFmtId="44" fontId="0" fillId="0" borderId="1" xfId="1" applyFont="1" applyBorder="1"/>
    <xf numFmtId="9" fontId="0" fillId="0" borderId="1" xfId="2" applyFont="1" applyBorder="1"/>
    <xf numFmtId="44" fontId="3" fillId="0" borderId="1" xfId="1" applyFont="1" applyBorder="1"/>
    <xf numFmtId="9" fontId="3" fillId="0" borderId="1" xfId="2" applyFont="1" applyBorder="1"/>
    <xf numFmtId="0" fontId="0" fillId="3" borderId="1" xfId="0" applyFill="1" applyBorder="1" applyAlignment="1">
      <alignment horizontal="center" textRotation="90" wrapText="1"/>
    </xf>
    <xf numFmtId="0" fontId="0" fillId="3" borderId="1" xfId="0" applyFill="1" applyBorder="1"/>
    <xf numFmtId="0" fontId="0" fillId="0" borderId="1" xfId="0" applyNumberFormat="1" applyBorder="1"/>
    <xf numFmtId="3" fontId="0" fillId="0" borderId="0" xfId="0" applyNumberFormat="1"/>
    <xf numFmtId="0" fontId="2" fillId="4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0" fillId="4" borderId="1" xfId="0" applyFill="1" applyBorder="1"/>
    <xf numFmtId="0" fontId="0" fillId="4" borderId="0" xfId="0" applyFill="1"/>
    <xf numFmtId="44" fontId="0" fillId="3" borderId="1" xfId="1" applyFont="1" applyFill="1" applyBorder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44" fontId="0" fillId="0" borderId="0" xfId="0" applyNumberFormat="1"/>
    <xf numFmtId="1" fontId="0" fillId="0" borderId="1" xfId="0" applyNumberFormat="1" applyBorder="1"/>
    <xf numFmtId="0" fontId="0" fillId="0" borderId="0" xfId="0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weber/Desktop/PAOP%202017/PPS%202nd%20Tier%20Funds%20Flow%20Reporting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obert Carangelo" refreshedDate="42943.626009027779" createdVersion="6" refreshedVersion="6" minRefreshableVersion="3" recordCount="1502">
  <cacheSource type="worksheet">
    <worksheetSource ref="M1:BJ1048576" sheet="CareCompass Perf Network 032017"/>
  </cacheSource>
  <cacheFields count="50">
    <cacheField name="Safety Net" numFmtId="0">
      <sharedItems containsBlank="1" count="3">
        <s v="No"/>
        <s v="Yes"/>
        <m/>
      </sharedItems>
    </cacheField>
    <cacheField name="DSRIP Street" numFmtId="0">
      <sharedItems containsBlank="1"/>
    </cacheField>
    <cacheField name="DSRIP City" numFmtId="0">
      <sharedItems containsBlank="1"/>
    </cacheField>
    <cacheField name="DSRIP State" numFmtId="0">
      <sharedItems containsBlank="1"/>
    </cacheField>
    <cacheField name="DSRIP Postal Code" numFmtId="0">
      <sharedItems containsBlank="1"/>
    </cacheField>
    <cacheField name="NPI Name" numFmtId="0">
      <sharedItems containsBlank="1"/>
    </cacheField>
    <cacheField name="NPI Street" numFmtId="0">
      <sharedItems containsBlank="1"/>
    </cacheField>
    <cacheField name="NPI City" numFmtId="0">
      <sharedItems containsBlank="1"/>
    </cacheField>
    <cacheField name="NPI State" numFmtId="0">
      <sharedItems containsBlank="1"/>
    </cacheField>
    <cacheField name="NPI Postal Code" numFmtId="0">
      <sharedItems containsBlank="1"/>
    </cacheField>
    <cacheField name="MMIS Name" numFmtId="0">
      <sharedItems containsBlank="1"/>
    </cacheField>
    <cacheField name="MMIS Street" numFmtId="0">
      <sharedItems containsBlank="1"/>
    </cacheField>
    <cacheField name="MMIS City" numFmtId="0">
      <sharedItems containsBlank="1"/>
    </cacheField>
    <cacheField name="MMIS State" numFmtId="0">
      <sharedItems containsBlank="1"/>
    </cacheField>
    <cacheField name="MMIS Postal Code" numFmtId="0">
      <sharedItems containsBlank="1"/>
    </cacheField>
    <cacheField name="MMIS Provider Type" numFmtId="0">
      <sharedItems containsBlank="1"/>
    </cacheField>
    <cacheField name="DSRIP Partner Type" numFmtId="0">
      <sharedItems containsBlank="1"/>
    </cacheField>
    <cacheField name="Public Hospital" numFmtId="0">
      <sharedItems containsBlank="1"/>
    </cacheField>
    <cacheField name="Provider Status" numFmtId="0">
      <sharedItems containsBlank="1"/>
    </cacheField>
    <cacheField name="Hub(Short Name)" numFmtId="0">
      <sharedItems containsBlank="1"/>
    </cacheField>
    <cacheField name="Network Type" numFmtId="0">
      <sharedItems containsBlank="1"/>
    </cacheField>
    <cacheField name="Errors" numFmtId="0">
      <sharedItems containsNonDate="0" containsString="0" containsBlank="1"/>
    </cacheField>
    <cacheField name="Warnings" numFmtId="0">
      <sharedItems containsNonDate="0" containsString="0" containsBlank="1"/>
    </cacheField>
    <cacheField name="Org" numFmtId="0">
      <sharedItems containsBlank="1"/>
    </cacheField>
    <cacheField name="DSRIP Provider Name" numFmtId="0">
      <sharedItems containsBlank="1"/>
    </cacheField>
    <cacheField name="Entity ID" numFmtId="0">
      <sharedItems containsBlank="1"/>
    </cacheField>
    <cacheField name="Prov Project 2.a.i" numFmtId="0">
      <sharedItems containsBlank="1" containsMixedTypes="1" containsNumber="1" containsInteger="1" minValue="0" maxValue="1"/>
    </cacheField>
    <cacheField name="Prov Project 2.b.iv" numFmtId="0">
      <sharedItems containsBlank="1" containsMixedTypes="1" containsNumber="1" containsInteger="1" minValue="0" maxValue="1"/>
    </cacheField>
    <cacheField name="Prov Project 2.b.vii" numFmtId="0">
      <sharedItems containsBlank="1" containsMixedTypes="1" containsNumber="1" containsInteger="1" minValue="0" maxValue="1"/>
    </cacheField>
    <cacheField name="Prov Project 2.c.i" numFmtId="0">
      <sharedItems containsBlank="1" containsMixedTypes="1" containsNumber="1" containsInteger="1" minValue="0" maxValue="1"/>
    </cacheField>
    <cacheField name="Prov Project 2.d.i" numFmtId="0">
      <sharedItems containsBlank="1" containsMixedTypes="1" containsNumber="1" containsInteger="1" minValue="0" maxValue="1"/>
    </cacheField>
    <cacheField name="Prov Project 3.a.i" numFmtId="0">
      <sharedItems containsBlank="1" containsMixedTypes="1" containsNumber="1" containsInteger="1" minValue="0" maxValue="1"/>
    </cacheField>
    <cacheField name="Prov Project 3.a.ii" numFmtId="0">
      <sharedItems containsBlank="1" containsMixedTypes="1" containsNumber="1" containsInteger="1" minValue="0" maxValue="1"/>
    </cacheField>
    <cacheField name="Prov Project 3.b.i" numFmtId="0">
      <sharedItems containsBlank="1" containsMixedTypes="1" containsNumber="1" containsInteger="1" minValue="0" maxValue="1"/>
    </cacheField>
    <cacheField name="Prov Project 3.g.i" numFmtId="0">
      <sharedItems containsBlank="1" containsMixedTypes="1" containsNumber="1" containsInteger="1" minValue="0" maxValue="1"/>
    </cacheField>
    <cacheField name="Prov Project 4.a.iii" numFmtId="0">
      <sharedItems containsBlank="1" containsMixedTypes="1" containsNumber="1" containsInteger="1" minValue="0" maxValue="1"/>
    </cacheField>
    <cacheField name="Prov Project 4.b.ii" numFmtId="0">
      <sharedItems containsBlank="1" containsMixedTypes="1" containsNumber="1" containsInteger="1" minValue="0" maxValue="1"/>
    </cacheField>
    <cacheField name="Practitioner - Primary Care" numFmtId="0">
      <sharedItems containsBlank="1" containsMixedTypes="1" containsNumber="1" containsInteger="1" minValue="1" maxValue="1" count="3">
        <m/>
        <s v=""/>
        <n v="1"/>
      </sharedItems>
    </cacheField>
    <cacheField name="Practitioner - Non-Primary Care" numFmtId="0">
      <sharedItems containsBlank="1" containsMixedTypes="1" containsNumber="1" containsInteger="1" minValue="1" maxValue="1"/>
    </cacheField>
    <cacheField name="Hospital" numFmtId="0">
      <sharedItems containsBlank="1" containsMixedTypes="1" containsNumber="1" containsInteger="1" minValue="1" maxValue="1"/>
    </cacheField>
    <cacheField name="Clinic" numFmtId="0">
      <sharedItems containsBlank="1" containsMixedTypes="1" containsNumber="1" containsInteger="1" minValue="1" maxValue="1"/>
    </cacheField>
    <cacheField name="Case Management / Health Home" numFmtId="0">
      <sharedItems containsBlank="1" containsMixedTypes="1" containsNumber="1" containsInteger="1" minValue="1" maxValue="1"/>
    </cacheField>
    <cacheField name="Mental Health" numFmtId="0">
      <sharedItems containsBlank="1" containsMixedTypes="1" containsNumber="1" containsInteger="1" minValue="1" maxValue="1"/>
    </cacheField>
    <cacheField name="Substance Abuse" numFmtId="0">
      <sharedItems containsBlank="1" containsMixedTypes="1" containsNumber="1" containsInteger="1" minValue="1" maxValue="1"/>
    </cacheField>
    <cacheField name="Nursing Home" numFmtId="0">
      <sharedItems containsBlank="1" containsMixedTypes="1" containsNumber="1" containsInteger="1" minValue="1" maxValue="1"/>
    </cacheField>
    <cacheField name="Pharmacy" numFmtId="0">
      <sharedItems containsBlank="1" containsMixedTypes="1" containsNumber="1" containsInteger="1" minValue="1" maxValue="1"/>
    </cacheField>
    <cacheField name="Hospice" numFmtId="0">
      <sharedItems containsBlank="1" containsMixedTypes="1" containsNumber="1" containsInteger="1" minValue="1" maxValue="1"/>
    </cacheField>
    <cacheField name="Community Based Organizations" numFmtId="0">
      <sharedItems containsBlank="1" containsMixedTypes="1" containsNumber="1" containsInteger="1" minValue="1" maxValue="1"/>
    </cacheField>
    <cacheField name="All Other" numFmtId="0">
      <sharedItems containsBlank="1" containsMixedTypes="1" containsNumber="1" containsInteger="1" minValue="1" maxValue="1"/>
    </cacheField>
    <cacheField name="Uncategorized" numFmtId="0">
      <sharedItems containsBlank="1" containsMixedTypes="1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02">
  <r>
    <x v="0"/>
    <m/>
    <m/>
    <m/>
    <m/>
    <s v="BRETZ GREGORY"/>
    <m/>
    <m/>
    <m/>
    <m/>
    <s v="BRETZ GREGORY J RPA"/>
    <s v="33-57 HARRISON ST"/>
    <s v="JOHNSON CITY"/>
    <s v="NY"/>
    <s v="13790-2107"/>
    <s v="PHYSICIAN"/>
    <s v="M"/>
    <s v="No"/>
    <s v="MMIS"/>
    <s v="SouthRPU"/>
    <s v="P"/>
    <m/>
    <m/>
    <m/>
    <s v=""/>
    <s v="E0064487"/>
    <n v="1"/>
    <n v="1"/>
    <n v="0"/>
    <n v="1"/>
    <n v="1"/>
    <n v="0"/>
    <n v="0"/>
    <n v="0"/>
    <n v="0"/>
    <n v="0"/>
    <n v="0"/>
    <x v="0"/>
    <n v="1"/>
    <s v=""/>
    <s v=""/>
    <s v=""/>
    <s v=""/>
    <s v=""/>
    <s v=""/>
    <s v=""/>
    <s v=""/>
    <s v=""/>
    <n v="1"/>
    <s v=""/>
  </r>
  <r>
    <x v="0"/>
    <m/>
    <m/>
    <m/>
    <m/>
    <s v="ABDO MOUFID-JOHN DR."/>
    <m/>
    <m/>
    <m/>
    <m/>
    <s v="ABDO MOUFID JOHN HABIB MD"/>
    <s v="30 HARRISON ST STE 400"/>
    <s v="JOHNSON CITY"/>
    <s v="NY"/>
    <s v="13790-2176"/>
    <s v="PHYSICIAN"/>
    <s v="M"/>
    <s v="No"/>
    <s v="MMIS"/>
    <s v="SouthRPU"/>
    <s v="P"/>
    <m/>
    <m/>
    <m/>
    <s v=""/>
    <s v="E0051180"/>
    <n v="1"/>
    <n v="1"/>
    <n v="0"/>
    <n v="1"/>
    <n v="1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BANERJEE ABHA"/>
    <m/>
    <m/>
    <m/>
    <m/>
    <s v="BANERJEE ABHA ANIRUDDHA"/>
    <s v="1302 E MAIN ST"/>
    <s v="ENDICOTT"/>
    <s v="NY"/>
    <s v="13760-5430"/>
    <s v="PHYSICIAN"/>
    <s v="M"/>
    <s v="No"/>
    <s v="MMIS"/>
    <s v="SouthRPU"/>
    <s v="P"/>
    <m/>
    <m/>
    <s v="UHS"/>
    <s v="Abha Banerjee"/>
    <s v="E0424950"/>
    <s v="No"/>
    <s v="No"/>
    <s v="No"/>
    <s v="No"/>
    <s v="No"/>
    <s v="No"/>
    <s v="No"/>
    <s v="No"/>
    <n v="0"/>
    <s v="No"/>
    <s v="No"/>
    <x v="1"/>
    <n v="1"/>
    <s v=""/>
    <s v=""/>
    <s v=""/>
    <s v=""/>
    <s v=""/>
    <s v=""/>
    <s v=""/>
    <s v=""/>
    <s v=""/>
    <n v="1"/>
    <s v=""/>
  </r>
  <r>
    <x v="0"/>
    <m/>
    <m/>
    <m/>
    <m/>
    <s v="ABRAMS JUDITH MRS."/>
    <m/>
    <m/>
    <m/>
    <m/>
    <s v="JUDITH ANN ABRAMS"/>
    <s v="5 COURT ST"/>
    <s v="NORWICH"/>
    <s v="NY"/>
    <s v="13815-1654"/>
    <s v="MULTI-TYPE"/>
    <s v="M"/>
    <s v="No"/>
    <s v="MMIS"/>
    <s v="EastRPU"/>
    <s v="P"/>
    <m/>
    <m/>
    <m/>
    <s v=""/>
    <s v="E0345548"/>
    <n v="0"/>
    <n v="0"/>
    <n v="0"/>
    <n v="0"/>
    <n v="0"/>
    <n v="0"/>
    <n v="0"/>
    <n v="0"/>
    <n v="0"/>
    <n v="0"/>
    <n v="0"/>
    <x v="1"/>
    <n v="1"/>
    <s v=""/>
    <n v="1"/>
    <s v=""/>
    <s v=""/>
    <s v=""/>
    <s v=""/>
    <s v=""/>
    <s v=""/>
    <s v=""/>
    <n v="1"/>
    <s v=""/>
  </r>
  <r>
    <x v="1"/>
    <m/>
    <m/>
    <m/>
    <m/>
    <s v="ABSOLUT CENTER FOR NURSING AND REHABILITATION AT ENDICOTT, LLC"/>
    <m/>
    <m/>
    <m/>
    <m/>
    <s v="ABSOLUT CT NR &amp; REH AT ENDICOTT"/>
    <s v="301 NANTUCKET DR"/>
    <s v="ENDICOTT"/>
    <s v="NY"/>
    <s v="13760-2735"/>
    <s v="LONG TERM CARE FACILITY"/>
    <s v="M"/>
    <s v="No"/>
    <s v="MMIS"/>
    <s v="SouthRPU"/>
    <s v="P"/>
    <m/>
    <m/>
    <m/>
    <s v=""/>
    <s v="E0204781"/>
    <n v="1"/>
    <n v="0"/>
    <n v="1"/>
    <n v="0"/>
    <n v="0"/>
    <n v="0"/>
    <n v="0"/>
    <n v="0"/>
    <n v="0"/>
    <n v="0"/>
    <n v="0"/>
    <x v="1"/>
    <s v=""/>
    <s v=""/>
    <s v=""/>
    <s v=""/>
    <s v=""/>
    <s v=""/>
    <n v="1"/>
    <s v=""/>
    <s v=""/>
    <s v=""/>
    <n v="1"/>
    <s v=""/>
  </r>
  <r>
    <x v="1"/>
    <m/>
    <m/>
    <m/>
    <m/>
    <s v="ABSOLUT CENTER FOR NURSING AND REHABILITATION AT THREE RIVERS, LLC"/>
    <m/>
    <m/>
    <m/>
    <m/>
    <s v="ABSOLUT CT NR &amp; REH AT THREE RIVERS"/>
    <s v="101 CREEKSIDE DR"/>
    <s v="PAINTED POST"/>
    <s v="NY"/>
    <s v="14870-9208"/>
    <s v="LONG TERM CARE FACILITY"/>
    <s v="M"/>
    <s v="No"/>
    <s v="MMIS"/>
    <s v="WestRPU"/>
    <s v="P"/>
    <m/>
    <m/>
    <m/>
    <s v=""/>
    <s v="E0229168"/>
    <n v="1"/>
    <n v="0"/>
    <n v="1"/>
    <n v="0"/>
    <n v="0"/>
    <n v="0"/>
    <n v="0"/>
    <n v="0"/>
    <n v="0"/>
    <n v="0"/>
    <n v="0"/>
    <x v="1"/>
    <s v=""/>
    <s v=""/>
    <s v=""/>
    <s v=""/>
    <s v=""/>
    <s v=""/>
    <n v="1"/>
    <s v=""/>
    <s v=""/>
    <s v=""/>
    <s v=""/>
    <s v=""/>
  </r>
  <r>
    <x v="0"/>
    <m/>
    <m/>
    <m/>
    <m/>
    <s v="ABUEG RENATO"/>
    <m/>
    <m/>
    <m/>
    <m/>
    <s v="ABUEG RENATO A MD"/>
    <m/>
    <s v="BINGHAMTON"/>
    <s v="NY"/>
    <s v="13905-4176"/>
    <s v="PHYSICIAN"/>
    <s v="M"/>
    <s v="No"/>
    <s v="MMIS"/>
    <s v="SouthRPU"/>
    <s v="P"/>
    <m/>
    <m/>
    <m/>
    <s v=""/>
    <s v="E0119546"/>
    <n v="0"/>
    <n v="0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ACCESS TO HOME CARE SERVICES INC."/>
    <s v="1947 WHITEHEAD LN"/>
    <s v="AUBURN"/>
    <s v="NY"/>
    <s v="130217014"/>
    <m/>
    <m/>
    <m/>
    <m/>
    <m/>
    <m/>
    <s v="M"/>
    <s v="No"/>
    <s v="NPI only"/>
    <s v="SouthRPU"/>
    <s v="P"/>
    <m/>
    <m/>
    <m/>
    <s v=""/>
    <s v="ACCESS TO HOME CARE SERVICES INC."/>
    <n v="0"/>
    <n v="0"/>
    <n v="0"/>
    <n v="0"/>
    <n v="0"/>
    <n v="0"/>
    <n v="0"/>
    <n v="0"/>
    <n v="0"/>
    <n v="0"/>
    <n v="0"/>
    <x v="1"/>
    <s v=""/>
    <s v=""/>
    <s v=""/>
    <s v=""/>
    <s v=""/>
    <s v=""/>
    <s v=""/>
    <s v=""/>
    <s v=""/>
    <s v=""/>
    <s v=""/>
    <n v="1"/>
  </r>
  <r>
    <x v="0"/>
    <s v="26 North Main Street"/>
    <s v="Cortland"/>
    <s v="NY"/>
    <s v="13045"/>
    <m/>
    <m/>
    <m/>
    <m/>
    <m/>
    <m/>
    <m/>
    <m/>
    <m/>
    <m/>
    <m/>
    <s v="M"/>
    <s v="No"/>
    <s v="No NPI or MMIS"/>
    <s v="NorthRPU"/>
    <s v="P"/>
    <m/>
    <m/>
    <m/>
    <s v=""/>
    <s v="Access to Independence of Cortland County, Inc."/>
    <n v="1"/>
    <n v="1"/>
    <n v="0"/>
    <n v="1"/>
    <n v="1"/>
    <n v="0"/>
    <n v="0"/>
    <n v="0"/>
    <n v="0"/>
    <n v="0"/>
    <n v="0"/>
    <x v="1"/>
    <s v=""/>
    <s v=""/>
    <s v=""/>
    <s v=""/>
    <s v=""/>
    <s v=""/>
    <s v=""/>
    <s v=""/>
    <s v=""/>
    <n v="1"/>
    <s v=""/>
    <s v=""/>
  </r>
  <r>
    <x v="0"/>
    <m/>
    <m/>
    <m/>
    <m/>
    <s v="LAW ADAM DR."/>
    <m/>
    <m/>
    <m/>
    <m/>
    <s v="LAW ADAM  MD"/>
    <s v="TOMPKINS COMMUNITY H"/>
    <s v="ITHACA"/>
    <s v="NY"/>
    <s v="14850-1342"/>
    <s v="PHYSICIAN"/>
    <s v="M"/>
    <s v="No"/>
    <s v="MMIS"/>
    <s v="NorthRPU"/>
    <s v="P"/>
    <m/>
    <m/>
    <m/>
    <s v=""/>
    <s v="E0166643"/>
    <n v="1"/>
    <n v="0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MIRZA ADNAN"/>
    <m/>
    <m/>
    <m/>
    <m/>
    <s v="MIRZA ADNAN MD"/>
    <s v="2872 TURNPIKE ST"/>
    <s v="SUSQUEHANNA"/>
    <s v="PA"/>
    <s v="18847-2771"/>
    <s v="PHYSICIAN"/>
    <s v="M"/>
    <s v="No"/>
    <s v="MMIS"/>
    <s v="SouthRPU"/>
    <s v="P"/>
    <m/>
    <m/>
    <m/>
    <s v=""/>
    <s v="E0007194"/>
    <n v="0"/>
    <n v="0"/>
    <n v="0"/>
    <n v="0"/>
    <n v="0"/>
    <n v="0"/>
    <n v="0"/>
    <n v="0"/>
    <n v="0"/>
    <n v="0"/>
    <n v="0"/>
    <x v="2"/>
    <n v="1"/>
    <s v=""/>
    <s v=""/>
    <s v=""/>
    <s v=""/>
    <s v=""/>
    <s v=""/>
    <s v=""/>
    <s v=""/>
    <s v=""/>
    <s v=""/>
    <s v=""/>
  </r>
  <r>
    <x v="0"/>
    <m/>
    <m/>
    <m/>
    <m/>
    <s v="GONZALEZ ADRIAN"/>
    <m/>
    <m/>
    <m/>
    <m/>
    <s v="GONZALEZ ADRIAN MICHAEL"/>
    <s v="ELMIRA URO ASSOC"/>
    <s v="ELMIRA"/>
    <s v="NY"/>
    <s v="14905-2296"/>
    <s v="PHYSICIAN"/>
    <s v="M"/>
    <s v="No"/>
    <s v="MMIS"/>
    <s v="WestRPU"/>
    <s v="P"/>
    <m/>
    <m/>
    <m/>
    <s v=""/>
    <s v="E0060517"/>
    <n v="1"/>
    <n v="1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AHMAD RANA"/>
    <m/>
    <m/>
    <m/>
    <m/>
    <s v="AHMAD RANA ZAHEER MD"/>
    <s v="3926 STATE ROUTE 12"/>
    <s v="LYONS FALLS"/>
    <s v="NY"/>
    <s v="13368-1919"/>
    <s v="PHYSICIAN"/>
    <s v="M"/>
    <s v="No"/>
    <s v="MMIS"/>
    <s v="SouthRPU"/>
    <s v="P"/>
    <m/>
    <m/>
    <s v="UHS"/>
    <s v="AHMAD RANA"/>
    <s v="E0283602"/>
    <s v="No"/>
    <s v="No"/>
    <s v="No"/>
    <s v="No"/>
    <s v="No"/>
    <s v="No"/>
    <s v="No"/>
    <s v="No"/>
    <n v="0"/>
    <s v="No"/>
    <s v="No"/>
    <x v="2"/>
    <s v=""/>
    <s v=""/>
    <s v=""/>
    <s v=""/>
    <s v=""/>
    <s v=""/>
    <s v=""/>
    <s v=""/>
    <s v=""/>
    <s v=""/>
    <n v="1"/>
    <s v=""/>
  </r>
  <r>
    <x v="0"/>
    <m/>
    <m/>
    <m/>
    <m/>
    <s v="AHMED OWAIS"/>
    <m/>
    <m/>
    <m/>
    <m/>
    <s v="AHMED OWAIS MD"/>
    <s v="30 HARRINGSON ST"/>
    <s v="JOHNSON CITY"/>
    <s v="NY"/>
    <s v="13790"/>
    <s v="PHYSICIAN"/>
    <s v="M"/>
    <s v="No"/>
    <s v="MMIS"/>
    <s v="SouthRPU"/>
    <s v="P"/>
    <m/>
    <m/>
    <s v="UHS"/>
    <s v="AHMED OWAIS"/>
    <s v="E0072358"/>
    <s v="No"/>
    <s v="No"/>
    <s v="No"/>
    <s v="No"/>
    <s v="No"/>
    <s v="No"/>
    <s v="No"/>
    <s v="No"/>
    <n v="0"/>
    <s v="No"/>
    <s v="No"/>
    <x v="2"/>
    <n v="1"/>
    <s v=""/>
    <s v=""/>
    <s v=""/>
    <s v=""/>
    <s v=""/>
    <s v=""/>
    <s v=""/>
    <s v=""/>
    <s v=""/>
    <n v="1"/>
    <s v=""/>
  </r>
  <r>
    <x v="0"/>
    <m/>
    <m/>
    <m/>
    <m/>
    <s v="AHMED SHOAIB DR."/>
    <m/>
    <m/>
    <m/>
    <m/>
    <s v="AHMED SHOAIB               MD"/>
    <s v="SUSQUEHANNA MEDICAL"/>
    <s v="ENDICOTT"/>
    <s v="NY"/>
    <s v="13760"/>
    <s v="PHYSICIAN"/>
    <s v="M"/>
    <s v="No"/>
    <s v="MMIS"/>
    <s v="SouthRPU"/>
    <s v="P"/>
    <m/>
    <m/>
    <s v="OLOL"/>
    <s v="AHMED SHOAIB DR."/>
    <s v="E0194734"/>
    <s v="No"/>
    <s v="No"/>
    <s v="No"/>
    <s v="No"/>
    <s v="No"/>
    <s v="No"/>
    <s v="No"/>
    <s v="No"/>
    <n v="1"/>
    <s v="No"/>
    <s v="No"/>
    <x v="2"/>
    <s v=""/>
    <s v=""/>
    <s v=""/>
    <s v=""/>
    <s v=""/>
    <s v=""/>
    <s v=""/>
    <s v=""/>
    <s v=""/>
    <s v=""/>
    <n v="1"/>
    <s v=""/>
  </r>
  <r>
    <x v="0"/>
    <m/>
    <m/>
    <m/>
    <m/>
    <s v="AHMED SYED"/>
    <m/>
    <m/>
    <m/>
    <m/>
    <s v="AHMED SYED MD"/>
    <s v="CHENANGO BRDG MED GP"/>
    <s v="BINGHAMTON"/>
    <s v="NY"/>
    <s v="13901-1293"/>
    <s v="PHYSICIAN"/>
    <s v="M"/>
    <s v="No"/>
    <s v="MMIS"/>
    <s v="SouthRPU"/>
    <s v="P"/>
    <m/>
    <m/>
    <m/>
    <s v=""/>
    <s v="E0268963"/>
    <n v="1"/>
    <n v="1"/>
    <n v="0"/>
    <n v="1"/>
    <n v="1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MIDURA ALAN"/>
    <m/>
    <m/>
    <m/>
    <m/>
    <s v="MIDURA ALAN T"/>
    <s v="FAMILY MEDICINE ASSO"/>
    <s v="ITHACA"/>
    <s v="NY"/>
    <s v="14850-5489"/>
    <s v="PHYSICIAN"/>
    <s v="M"/>
    <s v="No"/>
    <s v="MMIS"/>
    <s v="NorthRPU"/>
    <s v="P"/>
    <m/>
    <m/>
    <m/>
    <s v=""/>
    <s v="E0209859"/>
    <n v="1"/>
    <n v="1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LERMAN ALAN"/>
    <m/>
    <m/>
    <m/>
    <m/>
    <s v="LERMAN ALAN S              MD"/>
    <s v="30 HARRISON ST"/>
    <s v="JOHNSON CITY"/>
    <s v="NY"/>
    <s v="13790-3100"/>
    <s v="PHYSICIAN"/>
    <s v="M"/>
    <s v="No"/>
    <s v="MMIS"/>
    <s v="SouthRPU"/>
    <s v="P"/>
    <m/>
    <m/>
    <s v="UHS"/>
    <s v="Alan S. Lerman, MD"/>
    <s v="E0196414"/>
    <s v="No"/>
    <s v="No"/>
    <s v="No"/>
    <s v="No"/>
    <s v="No"/>
    <s v="No"/>
    <s v="No"/>
    <s v="No"/>
    <n v="0"/>
    <s v="No"/>
    <s v="No"/>
    <x v="1"/>
    <n v="1"/>
    <s v=""/>
    <s v=""/>
    <s v=""/>
    <s v=""/>
    <s v=""/>
    <s v=""/>
    <s v=""/>
    <s v=""/>
    <s v=""/>
    <n v="1"/>
    <s v=""/>
  </r>
  <r>
    <x v="1"/>
    <m/>
    <m/>
    <m/>
    <m/>
    <s v="ALBRO SHERI"/>
    <m/>
    <m/>
    <m/>
    <m/>
    <s v="ALBRO SHERI"/>
    <s v="3175 E GENESEE ST STE 5"/>
    <s v="SYRACUSE"/>
    <s v="NY"/>
    <s v="13224-1613"/>
    <s v="PHYSICIAN"/>
    <s v="M"/>
    <s v="No"/>
    <s v="MMIS"/>
    <s v="NorthRPU"/>
    <s v="P"/>
    <m/>
    <m/>
    <m/>
    <s v=""/>
    <s v="E0296084"/>
    <n v="0"/>
    <n v="0"/>
    <n v="0"/>
    <n v="0"/>
    <n v="0"/>
    <n v="0"/>
    <n v="0"/>
    <n v="0"/>
    <n v="0"/>
    <n v="0"/>
    <n v="0"/>
    <x v="2"/>
    <n v="1"/>
    <s v=""/>
    <s v=""/>
    <s v=""/>
    <s v=""/>
    <s v=""/>
    <s v=""/>
    <s v=""/>
    <s v=""/>
    <s v=""/>
    <n v="1"/>
    <s v=""/>
  </r>
  <r>
    <x v="0"/>
    <s v="72 Main Street"/>
    <s v="Delhi"/>
    <s v="NY"/>
    <s v="13753"/>
    <m/>
    <m/>
    <m/>
    <m/>
    <m/>
    <m/>
    <m/>
    <m/>
    <m/>
    <m/>
    <m/>
    <s v="M"/>
    <s v="No"/>
    <s v="No NPI or MMIS"/>
    <s v="EastRPU"/>
    <s v="P"/>
    <m/>
    <m/>
    <m/>
    <s v=""/>
    <s v="Alcohol and Drug Abuse Council of Delaware County"/>
    <n v="1"/>
    <n v="0"/>
    <n v="0"/>
    <n v="1"/>
    <n v="1"/>
    <n v="0"/>
    <n v="0"/>
    <n v="0"/>
    <n v="0"/>
    <n v="0"/>
    <n v="0"/>
    <x v="1"/>
    <s v=""/>
    <s v=""/>
    <s v=""/>
    <s v=""/>
    <s v=""/>
    <s v=""/>
    <s v=""/>
    <s v=""/>
    <s v=""/>
    <n v="1"/>
    <s v=""/>
    <s v=""/>
  </r>
  <r>
    <x v="1"/>
    <m/>
    <m/>
    <m/>
    <m/>
    <s v="ALCOHOL &amp; DRUG COUNCIL OF TOMPKINS COUNTY, INC."/>
    <m/>
    <m/>
    <m/>
    <m/>
    <s v="ALCOHOL &amp; DRUG COUNCIL/TOMPKINS CTY"/>
    <s v="201 E GREEN ST STE 500"/>
    <s v="ITHACA"/>
    <s v="NY"/>
    <s v="14850-5635"/>
    <s v="DIAGNOSTIC AND TREATMENT CENTER"/>
    <s v="M"/>
    <s v="No"/>
    <s v="MMIS"/>
    <s v="NorthRPU"/>
    <s v="P"/>
    <m/>
    <m/>
    <m/>
    <s v=""/>
    <s v="E0220318"/>
    <n v="1"/>
    <n v="0"/>
    <n v="0"/>
    <n v="0"/>
    <n v="0"/>
    <n v="1"/>
    <n v="0"/>
    <n v="0"/>
    <n v="0"/>
    <n v="0"/>
    <n v="0"/>
    <x v="1"/>
    <s v=""/>
    <s v=""/>
    <s v=""/>
    <s v=""/>
    <s v=""/>
    <n v="1"/>
    <s v=""/>
    <s v=""/>
    <s v=""/>
    <s v=""/>
    <n v="1"/>
    <s v=""/>
  </r>
  <r>
    <x v="1"/>
    <m/>
    <m/>
    <m/>
    <m/>
    <s v="ALECCIA DORENE MRS."/>
    <m/>
    <m/>
    <m/>
    <m/>
    <s v="ALECCIA DORENE ANN"/>
    <s v="276-280 ROBINSON ST"/>
    <s v="BINGHAMTON"/>
    <s v="NY"/>
    <s v="13904-1659"/>
    <s v="PHYSICIAN"/>
    <s v="M"/>
    <s v="No"/>
    <s v="MMIS"/>
    <s v="SouthRPU"/>
    <s v="P"/>
    <m/>
    <m/>
    <m/>
    <s v=""/>
    <s v="E0067500"/>
    <n v="1"/>
    <n v="1"/>
    <n v="0"/>
    <n v="1"/>
    <n v="1"/>
    <n v="0"/>
    <n v="0"/>
    <n v="0"/>
    <n v="0"/>
    <n v="0"/>
    <n v="0"/>
    <x v="2"/>
    <n v="1"/>
    <s v=""/>
    <s v=""/>
    <s v=""/>
    <s v=""/>
    <s v=""/>
    <s v=""/>
    <s v=""/>
    <s v=""/>
    <s v=""/>
    <n v="1"/>
    <s v=""/>
  </r>
  <r>
    <x v="0"/>
    <m/>
    <m/>
    <m/>
    <m/>
    <s v="BECHY ALEXANDRA"/>
    <m/>
    <m/>
    <m/>
    <m/>
    <s v="BECHY ALEXANDRA ALEXIS"/>
    <s v="169 RIVERSIDE DR"/>
    <s v="BINGHAMTON"/>
    <s v="NY"/>
    <s v="13905-4246"/>
    <s v="PHYSICIAN"/>
    <s v="M"/>
    <s v="No"/>
    <s v="MMIS"/>
    <s v="SouthRPU"/>
    <s v="P"/>
    <m/>
    <m/>
    <s v="OLOL"/>
    <s v="Alexandra A. Bechy, FNP"/>
    <s v="E0407323"/>
    <s v="No"/>
    <s v="No"/>
    <s v="No"/>
    <s v="No"/>
    <s v="No"/>
    <s v="No"/>
    <s v="No"/>
    <s v="No"/>
    <n v="0"/>
    <s v="No"/>
    <s v="No"/>
    <x v="1"/>
    <n v="1"/>
    <s v=""/>
    <s v=""/>
    <s v=""/>
    <s v=""/>
    <s v=""/>
    <s v=""/>
    <s v=""/>
    <s v=""/>
    <s v=""/>
    <s v=""/>
    <s v=""/>
  </r>
  <r>
    <x v="0"/>
    <m/>
    <m/>
    <m/>
    <m/>
    <s v="KARNOW ALEXANDRA"/>
    <m/>
    <m/>
    <m/>
    <m/>
    <s v="KARNOW ALEXANDRA M"/>
    <m/>
    <m/>
    <m/>
    <m/>
    <s v="PHYSICIAN"/>
    <s v="M"/>
    <s v="No"/>
    <s v="MMIS"/>
    <s v="NorthRPU"/>
    <s v="P"/>
    <m/>
    <m/>
    <s v="CMC"/>
    <s v="Alexandra Karnow, DO"/>
    <s v="E0442921"/>
    <s v="No"/>
    <s v="No"/>
    <s v="No"/>
    <s v="No"/>
    <s v="No"/>
    <s v="No"/>
    <s v="No"/>
    <s v="No"/>
    <n v="0"/>
    <s v="No"/>
    <s v="No"/>
    <x v="2"/>
    <n v="1"/>
    <s v=""/>
    <s v=""/>
    <s v=""/>
    <s v=""/>
    <s v=""/>
    <s v=""/>
    <s v=""/>
    <s v=""/>
    <s v=""/>
    <n v="1"/>
    <s v=""/>
  </r>
  <r>
    <x v="0"/>
    <m/>
    <m/>
    <m/>
    <m/>
    <s v="LYNCH ALEXANDRIA DR."/>
    <m/>
    <m/>
    <m/>
    <m/>
    <s v="LYNCH ALEXANDRIA C"/>
    <s v="169 RIVERSIDE DR"/>
    <s v="BINGHAMTON"/>
    <s v="NY"/>
    <s v="13905-4246"/>
    <s v="PHYSICIAN"/>
    <s v="M"/>
    <s v="No"/>
    <s v="MMIS"/>
    <s v="SouthRPU"/>
    <s v="P"/>
    <m/>
    <m/>
    <s v="OLOL"/>
    <s v="Alexandria C. Lynch, MD, MPH"/>
    <s v="E0396505"/>
    <s v="No"/>
    <s v="No"/>
    <s v="No"/>
    <s v="No"/>
    <s v="No"/>
    <s v="No"/>
    <s v="No"/>
    <s v="No"/>
    <n v="0"/>
    <s v="No"/>
    <s v="No"/>
    <x v="1"/>
    <n v="1"/>
    <s v=""/>
    <s v=""/>
    <s v=""/>
    <s v=""/>
    <s v=""/>
    <s v=""/>
    <s v=""/>
    <s v=""/>
    <s v=""/>
    <n v="1"/>
    <s v=""/>
  </r>
  <r>
    <x v="0"/>
    <m/>
    <m/>
    <m/>
    <m/>
    <s v="ALI NADIFA DR."/>
    <m/>
    <m/>
    <m/>
    <m/>
    <s v="ALI NADIFA ABDI MD"/>
    <s v="432 MAIN ST"/>
    <s v="ONEONTA"/>
    <s v="NY"/>
    <s v="13820-2046"/>
    <s v="PHYSICIAN"/>
    <s v="M"/>
    <s v="No"/>
    <s v="MMIS"/>
    <s v="EastRPU"/>
    <s v="P"/>
    <m/>
    <m/>
    <m/>
    <s v=""/>
    <s v="E0121316"/>
    <n v="0"/>
    <n v="0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ALKHALIDI OMAR DR."/>
    <m/>
    <m/>
    <m/>
    <m/>
    <s v="AL-KHALIDI OMAR FAROUQ"/>
    <s v="52-57 HARRISON ST"/>
    <s v="JOHNSON CITY"/>
    <s v="NY"/>
    <s v="13790-2120"/>
    <s v="PHYSICIAN"/>
    <s v="M"/>
    <s v="No"/>
    <s v="MMIS"/>
    <s v="SouthRPU"/>
    <s v="P"/>
    <m/>
    <m/>
    <m/>
    <s v=""/>
    <s v="E0035765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ALKHOURI HANI"/>
    <m/>
    <m/>
    <m/>
    <m/>
    <s v="ALKHOURI HANI"/>
    <s v="GUTHRIE SQUARE"/>
    <s v="SAYRE"/>
    <s v="PA"/>
    <s v="18840"/>
    <s v="PHYSICIAN"/>
    <s v="M"/>
    <s v="No"/>
    <s v="MMIS"/>
    <s v="SouthRPU"/>
    <s v="P"/>
    <m/>
    <m/>
    <m/>
    <s v=""/>
    <s v="E0111948"/>
    <n v="0"/>
    <n v="0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BUNNELL ALLISON"/>
    <m/>
    <m/>
    <m/>
    <m/>
    <s v="BUNNELL ALLISON MARGARET"/>
    <s v="42 W MAIN ST"/>
    <s v="OWEGO"/>
    <s v="NY"/>
    <s v="13827-1578"/>
    <s v="PHYSICIAN"/>
    <s v="M"/>
    <s v="No"/>
    <s v="MMIS"/>
    <s v="SouthRPU"/>
    <s v="P"/>
    <m/>
    <m/>
    <s v="UHS"/>
    <s v="Allison Margaret Bunnell"/>
    <s v="E0383393"/>
    <s v="No"/>
    <s v="No"/>
    <s v="No"/>
    <s v="No"/>
    <s v="No"/>
    <s v="No"/>
    <s v="No"/>
    <s v="No"/>
    <n v="1"/>
    <s v="No"/>
    <s v="No"/>
    <x v="2"/>
    <s v=""/>
    <s v=""/>
    <s v=""/>
    <s v=""/>
    <s v=""/>
    <s v=""/>
    <s v=""/>
    <s v=""/>
    <s v=""/>
    <s v=""/>
    <s v=""/>
    <s v=""/>
  </r>
  <r>
    <x v="0"/>
    <m/>
    <m/>
    <m/>
    <m/>
    <s v="ALMANZAR JENNY MRS."/>
    <m/>
    <m/>
    <m/>
    <m/>
    <s v="ALMANZAR JENNY"/>
    <s v="257 MAIN ST"/>
    <s v="BINGHAMTON"/>
    <s v="NY"/>
    <s v="13905-2522"/>
    <s v="CLINICAL SOCIAL WORKER (CSW)"/>
    <s v="M"/>
    <s v="No"/>
    <s v="MMIS"/>
    <s v="SouthRPU"/>
    <s v="P"/>
    <m/>
    <m/>
    <m/>
    <s v=""/>
    <s v="E0304711"/>
    <n v="0"/>
    <n v="0"/>
    <n v="0"/>
    <n v="0"/>
    <n v="0"/>
    <n v="0"/>
    <n v="0"/>
    <n v="0"/>
    <n v="0"/>
    <n v="0"/>
    <n v="0"/>
    <x v="1"/>
    <n v="1"/>
    <s v=""/>
    <s v=""/>
    <s v=""/>
    <n v="1"/>
    <s v=""/>
    <s v=""/>
    <s v=""/>
    <s v=""/>
    <s v=""/>
    <s v=""/>
    <s v=""/>
  </r>
  <r>
    <x v="0"/>
    <m/>
    <m/>
    <m/>
    <m/>
    <s v="ALT ALLEN DR."/>
    <m/>
    <m/>
    <m/>
    <m/>
    <s v="ALT ALLEN DAVID MD"/>
    <s v="91 CHENANGO BRIDGE RD"/>
    <s v="BINGHAMTON"/>
    <s v="NY"/>
    <s v="13901-1293"/>
    <s v="PHYSICIAN"/>
    <s v="M"/>
    <s v="No"/>
    <s v="MMIS"/>
    <s v="SouthRPU"/>
    <s v="P"/>
    <m/>
    <m/>
    <m/>
    <s v=""/>
    <s v="E0236965"/>
    <n v="0"/>
    <n v="0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FINNEY AMANDA"/>
    <m/>
    <m/>
    <m/>
    <m/>
    <s v="FINNEY AMANDA LEE"/>
    <s v="33-57 HARRISON ST"/>
    <s v="JOHNSON CITY"/>
    <s v="NY"/>
    <s v="13790-2107"/>
    <s v="PHYSICIAN"/>
    <s v="M"/>
    <s v="No"/>
    <s v="MMIS"/>
    <s v="SouthRPU"/>
    <s v="P"/>
    <m/>
    <m/>
    <m/>
    <s v=""/>
    <s v="E0359211"/>
    <n v="1"/>
    <n v="1"/>
    <n v="0"/>
    <n v="0"/>
    <n v="1"/>
    <n v="0"/>
    <n v="0"/>
    <n v="0"/>
    <n v="0"/>
    <n v="0"/>
    <n v="0"/>
    <x v="2"/>
    <n v="1"/>
    <s v=""/>
    <s v=""/>
    <s v=""/>
    <s v=""/>
    <s v=""/>
    <s v=""/>
    <s v=""/>
    <s v=""/>
    <s v=""/>
    <n v="1"/>
    <s v=""/>
  </r>
  <r>
    <x v="0"/>
    <m/>
    <m/>
    <m/>
    <m/>
    <s v="PERO AMANDA MISS"/>
    <m/>
    <m/>
    <m/>
    <m/>
    <s v="PERO AMANDA REA"/>
    <s v="169B SNYDER HILL RD"/>
    <s v="ITHACA"/>
    <s v="NY"/>
    <s v="14850-6355"/>
    <s v="MULTI-TYPE"/>
    <s v="M"/>
    <s v="No"/>
    <s v="MMIS"/>
    <s v="NorthRPU"/>
    <s v="P"/>
    <m/>
    <m/>
    <m/>
    <s v=""/>
    <s v="E0326145"/>
    <n v="0"/>
    <n v="0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m/>
    <m/>
    <m/>
    <m/>
    <m/>
    <m/>
    <m/>
    <m/>
    <m/>
    <m/>
    <m/>
    <s v="M"/>
    <s v="No"/>
    <s v="No NPI or MMIS"/>
    <s v="SouthRPU"/>
    <s v="P"/>
    <m/>
    <m/>
    <m/>
    <m/>
    <s v="American Civic Association"/>
    <n v="1"/>
    <s v="No"/>
    <s v="No"/>
    <n v="1"/>
    <n v="1"/>
    <s v="No"/>
    <s v="No"/>
    <s v="No"/>
    <n v="0"/>
    <s v="No"/>
    <s v="No"/>
    <x v="1"/>
    <s v=""/>
    <s v=""/>
    <s v=""/>
    <s v=""/>
    <s v=""/>
    <s v=""/>
    <s v=""/>
    <s v=""/>
    <s v=""/>
    <n v="1"/>
    <s v=""/>
    <s v=""/>
  </r>
  <r>
    <x v="1"/>
    <m/>
    <m/>
    <m/>
    <m/>
    <s v="SHRIVASTAVA AMITABH"/>
    <m/>
    <m/>
    <m/>
    <m/>
    <s v="SHRIVASTAVA AMITABH"/>
    <s v="1301 TRUMANSBURG RD"/>
    <s v="ITHACA"/>
    <s v="NY"/>
    <s v="14850-1397"/>
    <s v="PHYSICIAN"/>
    <s v="M"/>
    <s v="No"/>
    <s v="MMIS"/>
    <s v="NorthRPU"/>
    <s v="P"/>
    <m/>
    <m/>
    <m/>
    <s v=""/>
    <s v="E0148569"/>
    <n v="1"/>
    <n v="1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SINGH AMIT"/>
    <m/>
    <m/>
    <m/>
    <m/>
    <s v="SINGH AMIT KUMAR"/>
    <m/>
    <s v="COOPERSTOWN"/>
    <s v="NY"/>
    <s v="13326-1394"/>
    <s v="PHYSICIAN"/>
    <s v="M"/>
    <s v="No"/>
    <s v="MMIS"/>
    <s v="EastRPU"/>
    <s v="P"/>
    <m/>
    <m/>
    <m/>
    <s v=""/>
    <s v="E0104279"/>
    <n v="1"/>
    <n v="1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AITTAMA AMY"/>
    <m/>
    <m/>
    <m/>
    <m/>
    <s v="AITTAMA AMY"/>
    <s v="404 N CAYUGA ST"/>
    <s v="ITHACA"/>
    <s v="NY"/>
    <s v="14850-4219"/>
    <s v="PHYSICIAN"/>
    <s v="M"/>
    <s v="No"/>
    <s v="MMIS"/>
    <s v="NorthRPU"/>
    <s v="P"/>
    <m/>
    <m/>
    <s v="CMC"/>
    <s v="Amy Aittama, FNP"/>
    <s v="E0380482"/>
    <s v="No"/>
    <s v="No"/>
    <s v="No"/>
    <s v="No"/>
    <s v="No"/>
    <s v="No"/>
    <s v="No"/>
    <s v="No"/>
    <n v="0"/>
    <s v="No"/>
    <s v="No"/>
    <x v="2"/>
    <n v="1"/>
    <s v=""/>
    <s v=""/>
    <s v=""/>
    <s v=""/>
    <s v=""/>
    <s v=""/>
    <s v=""/>
    <s v=""/>
    <s v=""/>
    <n v="1"/>
    <s v=""/>
  </r>
  <r>
    <x v="0"/>
    <m/>
    <m/>
    <m/>
    <m/>
    <s v="MACQUEEN AMY"/>
    <m/>
    <m/>
    <m/>
    <m/>
    <s v="MACQUEEN AMY"/>
    <s v="310 TAUGHANNOCK BLVD STE 5A"/>
    <s v="ITHACA"/>
    <s v="NY"/>
    <s v="14850-3251"/>
    <s v="PHYSICIAN"/>
    <s v="M"/>
    <s v="No"/>
    <s v="MMIS"/>
    <s v="NorthRPU"/>
    <s v="P"/>
    <m/>
    <m/>
    <m/>
    <s v=""/>
    <s v="E0344489"/>
    <n v="1"/>
    <n v="1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ANDERSON LEONARD"/>
    <m/>
    <m/>
    <m/>
    <m/>
    <s v="ANDERSON LEONARD S MD"/>
    <s v="601 RIVERSIDE DR"/>
    <s v="JOHNSON CITY"/>
    <s v="NY"/>
    <s v="13790-2544"/>
    <s v="PHYSICIAN"/>
    <s v="M"/>
    <s v="No"/>
    <s v="MMIS"/>
    <s v="SouthRPU"/>
    <s v="P"/>
    <m/>
    <m/>
    <m/>
    <s v=""/>
    <s v="E0158394"/>
    <n v="1"/>
    <n v="1"/>
    <n v="0"/>
    <n v="1"/>
    <n v="1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DELLAVALLE ANDREA"/>
    <m/>
    <m/>
    <m/>
    <m/>
    <s v="DELLAVALLE ANDREA"/>
    <s v="33-57 HARRISON ST"/>
    <s v="JOHNSON CITY"/>
    <s v="NY"/>
    <s v="13790-2107"/>
    <s v="PHYSICIAN"/>
    <s v="M"/>
    <s v="No"/>
    <s v="MMIS"/>
    <s v="SouthRPU"/>
    <s v="P"/>
    <m/>
    <m/>
    <m/>
    <s v=""/>
    <s v="E0343330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HOAG ANDREA"/>
    <m/>
    <m/>
    <m/>
    <m/>
    <s v="HOAG ANDREA DENISE"/>
    <s v="179 RIVER ST"/>
    <s v="ONEONTA"/>
    <s v="NY"/>
    <s v="13820-2239"/>
    <s v="PHYSICIAN"/>
    <s v="M"/>
    <s v="No"/>
    <s v="MMIS"/>
    <s v="EastRPU"/>
    <s v="P"/>
    <m/>
    <m/>
    <m/>
    <s v=""/>
    <s v="E0335516"/>
    <n v="1"/>
    <n v="1"/>
    <n v="0"/>
    <n v="1"/>
    <n v="1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HSUE ANDREA"/>
    <m/>
    <m/>
    <m/>
    <m/>
    <s v="HSUE ANDREA J"/>
    <s v="161 RIVERSIDE DR STE 306"/>
    <s v="BINGHAMTON"/>
    <s v="NY"/>
    <s v="13905-4197"/>
    <s v="PHYSICIAN"/>
    <s v="M"/>
    <s v="No"/>
    <s v="MMIS"/>
    <s v="SouthRPU"/>
    <s v="P"/>
    <m/>
    <m/>
    <s v="OLOL"/>
    <s v="Andrea Hsue, MD"/>
    <s v="E0394628"/>
    <s v="No"/>
    <s v="No"/>
    <s v="No"/>
    <s v="No"/>
    <s v="No"/>
    <s v="No"/>
    <s v="No"/>
    <s v="No"/>
    <n v="1"/>
    <s v="No"/>
    <s v="No"/>
    <x v="2"/>
    <s v=""/>
    <s v=""/>
    <s v=""/>
    <s v=""/>
    <s v=""/>
    <s v=""/>
    <s v=""/>
    <s v=""/>
    <s v=""/>
    <s v=""/>
    <s v=""/>
    <s v=""/>
  </r>
  <r>
    <x v="0"/>
    <m/>
    <m/>
    <m/>
    <m/>
    <s v="TORRADO ANDREA"/>
    <m/>
    <m/>
    <m/>
    <m/>
    <s v="TORRADO ANDREA GONZALEZ"/>
    <s v="10 GRAHAM RD W"/>
    <s v="ITHACA"/>
    <s v="NY"/>
    <s v="14850-1055"/>
    <s v="PHYSICIAN"/>
    <s v="M"/>
    <s v="No"/>
    <s v="MMIS"/>
    <s v="NorthRPU"/>
    <s v="P"/>
    <m/>
    <m/>
    <m/>
    <s v=""/>
    <s v="E0072950"/>
    <n v="1"/>
    <n v="1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DE LIMA ANDREIA"/>
    <m/>
    <m/>
    <m/>
    <m/>
    <s v="DE LIMA ANDREIA PEREIRA"/>
    <s v="101 DATES DR"/>
    <s v="ITHACA"/>
    <s v="NY"/>
    <s v="14850-1342"/>
    <s v="PHYSICIAN"/>
    <s v="M"/>
    <s v="No"/>
    <s v="MMIS"/>
    <s v="NorthRPU"/>
    <s v="P"/>
    <m/>
    <m/>
    <m/>
    <s v=""/>
    <s v="E0300939"/>
    <n v="0"/>
    <n v="0"/>
    <n v="0"/>
    <n v="0"/>
    <n v="0"/>
    <n v="0"/>
    <n v="0"/>
    <n v="0"/>
    <n v="0"/>
    <n v="0"/>
    <n v="0"/>
    <x v="2"/>
    <n v="1"/>
    <s v=""/>
    <s v=""/>
    <s v=""/>
    <s v=""/>
    <s v=""/>
    <s v=""/>
    <s v=""/>
    <s v=""/>
    <s v=""/>
    <s v=""/>
    <s v=""/>
  </r>
  <r>
    <x v="0"/>
    <m/>
    <m/>
    <m/>
    <m/>
    <s v="ANDRES CHRISTOPHER DR."/>
    <m/>
    <m/>
    <m/>
    <m/>
    <s v="ANDRES CHRISTOPHER D MD"/>
    <s v="512 TOWNE PLZ STE 124"/>
    <s v="TUNKHANNOCK"/>
    <s v="PA"/>
    <s v="18657-7913"/>
    <s v="PHYSICIAN"/>
    <s v="M"/>
    <s v="No"/>
    <s v="MMIS"/>
    <s v="WestRPU"/>
    <s v="P"/>
    <m/>
    <m/>
    <m/>
    <s v=""/>
    <s v="E0135353"/>
    <n v="1"/>
    <n v="1"/>
    <n v="0"/>
    <n v="0"/>
    <n v="0"/>
    <n v="0"/>
    <n v="0"/>
    <n v="0"/>
    <n v="0"/>
    <n v="1"/>
    <n v="0"/>
    <x v="1"/>
    <n v="1"/>
    <s v=""/>
    <s v=""/>
    <s v=""/>
    <s v=""/>
    <s v=""/>
    <s v=""/>
    <s v=""/>
    <s v=""/>
    <s v=""/>
    <n v="1"/>
    <s v=""/>
  </r>
  <r>
    <x v="0"/>
    <m/>
    <m/>
    <m/>
    <m/>
    <s v="GETZIN ANDREW DR."/>
    <m/>
    <m/>
    <m/>
    <m/>
    <s v="GETZIN ANDREW"/>
    <s v="PRIMARY CARE ASSOC"/>
    <s v="ENDICOTT"/>
    <s v="NY"/>
    <s v="13760-4989"/>
    <s v="PHYSICIAN"/>
    <s v="M"/>
    <s v="No"/>
    <s v="MMIS"/>
    <s v="SouthRPU"/>
    <s v="P"/>
    <m/>
    <m/>
    <m/>
    <s v=""/>
    <s v="E0089788"/>
    <n v="1"/>
    <n v="1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MORPURGO ANDREW DR."/>
    <m/>
    <m/>
    <m/>
    <m/>
    <s v="MORPURGO ANDREW J MD PC"/>
    <s v="STE 201"/>
    <s v="ITHACA"/>
    <s v="NY"/>
    <s v="14850-1345"/>
    <s v="PHYSICIAN"/>
    <s v="M"/>
    <s v="No"/>
    <s v="MMIS"/>
    <s v="NorthRPU"/>
    <s v="P"/>
    <m/>
    <m/>
    <m/>
    <s v=""/>
    <s v="E0132734"/>
    <n v="1"/>
    <n v="1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CHANG ANGELA DR."/>
    <m/>
    <m/>
    <m/>
    <m/>
    <s v="CHANG ANGELA"/>
    <s v="10 ARROWOOD DR"/>
    <s v="ITHACA"/>
    <s v="NY"/>
    <s v="14850-1857"/>
    <s v="PHYSICIAN"/>
    <s v="M"/>
    <s v="No"/>
    <s v="MMIS"/>
    <s v="NorthRPU"/>
    <s v="P"/>
    <m/>
    <m/>
    <m/>
    <s v=""/>
    <s v="E0359321"/>
    <n v="1"/>
    <n v="1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1"/>
    <m/>
    <m/>
    <m/>
    <m/>
    <s v="ANIS UZMA DR."/>
    <m/>
    <m/>
    <m/>
    <m/>
    <s v="ANIS UZMA MD"/>
    <m/>
    <s v="BINGHAMTON"/>
    <s v="NY"/>
    <s v="13904-1661"/>
    <s v="PHYSICIAN"/>
    <s v="M"/>
    <s v="No"/>
    <s v="MMIS"/>
    <s v="SouthRPU"/>
    <s v="P"/>
    <m/>
    <m/>
    <m/>
    <s v=""/>
    <s v="E0050940"/>
    <n v="1"/>
    <n v="1"/>
    <n v="0"/>
    <n v="1"/>
    <n v="1"/>
    <n v="0"/>
    <n v="0"/>
    <n v="1"/>
    <n v="0"/>
    <n v="0"/>
    <n v="1"/>
    <x v="2"/>
    <s v=""/>
    <s v=""/>
    <s v=""/>
    <s v=""/>
    <s v=""/>
    <s v=""/>
    <s v=""/>
    <s v=""/>
    <s v=""/>
    <s v=""/>
    <n v="1"/>
    <s v=""/>
  </r>
  <r>
    <x v="0"/>
    <m/>
    <m/>
    <m/>
    <m/>
    <s v="COSTELLO ANN"/>
    <m/>
    <m/>
    <m/>
    <m/>
    <s v="COSTELLO ANN RACKER"/>
    <s v="217 N AURORA ST"/>
    <s v="ITHACA"/>
    <s v="NY"/>
    <s v="14850-4345"/>
    <s v="PHYSICIAN"/>
    <s v="M"/>
    <s v="No"/>
    <s v="MMIS"/>
    <s v="NorthRPU"/>
    <s v="P"/>
    <m/>
    <m/>
    <m/>
    <s v=""/>
    <s v="E0228184"/>
    <n v="1"/>
    <n v="1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CALKINS ANNE"/>
    <m/>
    <m/>
    <m/>
    <m/>
    <s v="CALKINS ANNE M MD"/>
    <s v="601 ELMWOOD AVE"/>
    <s v="ROCHESTER"/>
    <s v="NY"/>
    <s v="14642-0001"/>
    <s v="PHYSICIAN"/>
    <s v="M"/>
    <s v="No"/>
    <s v="MMIS"/>
    <s v="SouthRPU"/>
    <s v="P"/>
    <m/>
    <m/>
    <s v="OLOL"/>
    <s v="Anne M. Calkins, MD, FACEP"/>
    <s v="E0127934"/>
    <s v="No"/>
    <s v="No"/>
    <s v="No"/>
    <s v="No"/>
    <s v="No"/>
    <s v="No"/>
    <s v="No"/>
    <s v="No"/>
    <n v="0"/>
    <s v="No"/>
    <s v="No"/>
    <x v="1"/>
    <n v="1"/>
    <s v=""/>
    <s v=""/>
    <s v=""/>
    <s v=""/>
    <s v=""/>
    <s v=""/>
    <s v=""/>
    <s v=""/>
    <s v=""/>
    <n v="1"/>
    <s v=""/>
  </r>
  <r>
    <x v="0"/>
    <m/>
    <m/>
    <m/>
    <m/>
    <s v="ANNE NIRUPAMA DR."/>
    <m/>
    <m/>
    <m/>
    <m/>
    <s v="NIRUPAMA ANNE"/>
    <s v="169 RIVERSIDE DR STE 300"/>
    <s v="BINGHAMTON"/>
    <s v="NY"/>
    <s v="13905-4246"/>
    <s v="PHYSICIAN"/>
    <s v="M"/>
    <s v="No"/>
    <s v="MMIS"/>
    <s v="SouthRPU"/>
    <s v="P"/>
    <m/>
    <m/>
    <m/>
    <s v=""/>
    <s v="E0023107"/>
    <n v="1"/>
    <n v="1"/>
    <n v="0"/>
    <n v="1"/>
    <n v="1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MASSI ANTHONY"/>
    <m/>
    <m/>
    <m/>
    <m/>
    <s v="MASSI ANTHONY FRANK MD"/>
    <s v="101 DATES DR"/>
    <s v="ITHACA"/>
    <s v="NY"/>
    <s v="14850-1342"/>
    <s v="PHYSICIAN"/>
    <s v="M"/>
    <s v="No"/>
    <s v="MMIS"/>
    <s v="NorthRPU"/>
    <s v="P"/>
    <m/>
    <m/>
    <m/>
    <s v=""/>
    <s v="E0176539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SANITO ANTHONY DR."/>
    <m/>
    <m/>
    <m/>
    <m/>
    <s v="SANITO ANTHONY MD"/>
    <s v="CAYUGA MEDICAL CTR"/>
    <s v="ITHACA"/>
    <s v="NY"/>
    <s v="14850-1383"/>
    <s v="PHYSICIAN"/>
    <s v="M"/>
    <s v="No"/>
    <s v="MMIS"/>
    <s v="NorthRPU"/>
    <s v="P"/>
    <m/>
    <m/>
    <m/>
    <s v=""/>
    <s v="E0125532"/>
    <n v="1"/>
    <n v="1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HSU ANTONY DR."/>
    <m/>
    <m/>
    <m/>
    <m/>
    <s v="HSU ANTONY PO-YU MD"/>
    <s v="134 HOMER AVE"/>
    <s v="CORTLAND"/>
    <s v="NY"/>
    <s v="13045-1206"/>
    <s v="PHYSICIAN"/>
    <s v="M"/>
    <s v="No"/>
    <s v="MMIS"/>
    <s v="NorthRPU"/>
    <s v="P"/>
    <m/>
    <m/>
    <m/>
    <s v=""/>
    <s v="E0007109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ANTOS JOHN DR."/>
    <m/>
    <m/>
    <m/>
    <m/>
    <s v="ANTOS JOHN MICHAEL         MD"/>
    <s v="GUTHRIE SQUARE"/>
    <s v="SAYRE"/>
    <s v="PA"/>
    <s v="18840"/>
    <s v="PHYSICIAN"/>
    <s v="M"/>
    <s v="No"/>
    <s v="MMIS"/>
    <s v="SouthRPU"/>
    <s v="P"/>
    <m/>
    <m/>
    <m/>
    <s v=""/>
    <s v="E0221207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APPLETON ABRAHAM"/>
    <m/>
    <m/>
    <m/>
    <m/>
    <s v="APPLETON ABRAHAM THEODORE"/>
    <s v="1 GUTHRIE SQ"/>
    <s v="SAYRE"/>
    <s v="PA"/>
    <s v="18840-1625"/>
    <s v="PHYSICIAN"/>
    <s v="M"/>
    <s v="No"/>
    <s v="MMIS"/>
    <s v="SouthRPU"/>
    <s v="P"/>
    <m/>
    <m/>
    <m/>
    <s v=""/>
    <s v="E0196220"/>
    <n v="1"/>
    <n v="1"/>
    <n v="0"/>
    <n v="0"/>
    <n v="0"/>
    <n v="0"/>
    <n v="0"/>
    <n v="0"/>
    <n v="0"/>
    <n v="1"/>
    <n v="0"/>
    <x v="1"/>
    <n v="1"/>
    <s v=""/>
    <s v=""/>
    <s v=""/>
    <s v=""/>
    <s v=""/>
    <s v=""/>
    <s v=""/>
    <s v=""/>
    <s v=""/>
    <n v="1"/>
    <s v=""/>
  </r>
  <r>
    <x v="1"/>
    <m/>
    <m/>
    <m/>
    <m/>
    <s v="ARANDA ARVIN"/>
    <m/>
    <m/>
    <m/>
    <m/>
    <s v="ARANDA ARVIN MD"/>
    <s v="40 MATTHEWS ST # ST-307"/>
    <s v="GOSHEN"/>
    <s v="NY"/>
    <s v="10924-1964"/>
    <s v="PHYSICIAN"/>
    <s v="M"/>
    <s v="No"/>
    <s v="MMIS"/>
    <s v="SouthRPU"/>
    <s v="P"/>
    <m/>
    <m/>
    <m/>
    <s v=""/>
    <s v="E0086002"/>
    <n v="1"/>
    <n v="1"/>
    <n v="0"/>
    <n v="1"/>
    <n v="1"/>
    <n v="0"/>
    <n v="0"/>
    <n v="1"/>
    <n v="0"/>
    <n v="0"/>
    <n v="1"/>
    <x v="2"/>
    <s v=""/>
    <s v=""/>
    <s v=""/>
    <s v=""/>
    <s v=""/>
    <s v=""/>
    <s v=""/>
    <s v=""/>
    <s v=""/>
    <s v=""/>
    <n v="1"/>
    <s v=""/>
  </r>
  <r>
    <x v="0"/>
    <m/>
    <m/>
    <m/>
    <m/>
    <s v="ARGETSINGER DOROTHY"/>
    <m/>
    <m/>
    <m/>
    <m/>
    <s v="ARGETSINGER DOROTHY"/>
    <s v="257 MAIN ST"/>
    <s v="BINGHAMTON"/>
    <s v="NY"/>
    <s v="13905-2522"/>
    <s v="CLINICAL SOCIAL WORKER (CSW)"/>
    <s v="M"/>
    <s v="No"/>
    <s v="MMIS"/>
    <s v="SouthRPU"/>
    <s v="P"/>
    <m/>
    <m/>
    <m/>
    <s v=""/>
    <s v="E0304583"/>
    <n v="0"/>
    <n v="0"/>
    <n v="0"/>
    <n v="0"/>
    <n v="0"/>
    <n v="0"/>
    <n v="0"/>
    <n v="0"/>
    <n v="0"/>
    <n v="0"/>
    <n v="0"/>
    <x v="1"/>
    <n v="1"/>
    <s v=""/>
    <s v=""/>
    <s v=""/>
    <n v="1"/>
    <s v=""/>
    <s v=""/>
    <s v=""/>
    <s v=""/>
    <s v=""/>
    <s v=""/>
    <s v=""/>
  </r>
  <r>
    <x v="0"/>
    <m/>
    <m/>
    <m/>
    <m/>
    <s v="ARGILA CHARLES DR."/>
    <m/>
    <m/>
    <m/>
    <m/>
    <s v="ARGILA CHARLES R"/>
    <s v="1 GUTHRIE SQ"/>
    <s v="SAYRE"/>
    <s v="PA"/>
    <s v="18840-1625"/>
    <s v="PHYSICIAN"/>
    <s v="M"/>
    <s v="No"/>
    <s v="MMIS"/>
    <s v="SouthRPU"/>
    <s v="P"/>
    <m/>
    <m/>
    <m/>
    <s v=""/>
    <s v="E0336951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ARGIRO SALVATORE DR."/>
    <m/>
    <m/>
    <m/>
    <m/>
    <s v="ARGIRO SALVATORE ANTHONY MD"/>
    <s v="33 MITCHELL AVE"/>
    <s v="BINGHAMTON"/>
    <s v="NY"/>
    <s v="13903-1674"/>
    <s v="PHYSICIAN"/>
    <s v="M"/>
    <s v="No"/>
    <s v="MMIS"/>
    <s v="SouthRPU"/>
    <s v="P"/>
    <m/>
    <m/>
    <m/>
    <s v=""/>
    <s v="E0295098"/>
    <n v="0"/>
    <n v="0"/>
    <n v="0"/>
    <n v="0"/>
    <n v="0"/>
    <n v="0"/>
    <n v="0"/>
    <n v="0"/>
    <n v="0"/>
    <n v="0"/>
    <n v="0"/>
    <x v="1"/>
    <n v="1"/>
    <s v=""/>
    <s v=""/>
    <s v=""/>
    <n v="1"/>
    <s v=""/>
    <s v=""/>
    <s v=""/>
    <s v=""/>
    <s v=""/>
    <s v=""/>
    <s v=""/>
  </r>
  <r>
    <x v="0"/>
    <m/>
    <m/>
    <m/>
    <m/>
    <s v="ARJUN J PATEL, MD, PC"/>
    <s v="609 E MAIN ST"/>
    <s v="ENDICOTT"/>
    <s v="NY"/>
    <s v="137605036"/>
    <m/>
    <m/>
    <m/>
    <m/>
    <m/>
    <m/>
    <s v="M"/>
    <s v="No"/>
    <s v="NPI only"/>
    <s v="SouthRPU"/>
    <s v="P"/>
    <m/>
    <m/>
    <s v="UHS"/>
    <s v="Arjun J. Patel, M.D."/>
    <m/>
    <s v="No"/>
    <s v="No"/>
    <s v="No"/>
    <s v="No"/>
    <s v="No"/>
    <s v="No"/>
    <s v="No"/>
    <s v="No"/>
    <n v="0"/>
    <s v="No"/>
    <s v="No"/>
    <x v="1"/>
    <s v=""/>
    <s v=""/>
    <s v=""/>
    <s v=""/>
    <s v=""/>
    <s v=""/>
    <s v=""/>
    <s v=""/>
    <s v=""/>
    <s v=""/>
    <s v=""/>
    <n v="1"/>
  </r>
  <r>
    <x v="0"/>
    <m/>
    <m/>
    <m/>
    <m/>
    <s v="ARMSTRONG ROBERT"/>
    <m/>
    <m/>
    <m/>
    <m/>
    <s v="ARMSTRONG ROBERT W JR MD"/>
    <s v="ARNOT OGDEN HOSP"/>
    <s v="ELMIRA"/>
    <s v="NY"/>
    <s v="14901"/>
    <s v="PHYSICIAN"/>
    <s v="M"/>
    <s v="No"/>
    <s v="MMIS"/>
    <s v="WestRPU"/>
    <s v="P"/>
    <m/>
    <m/>
    <m/>
    <s v=""/>
    <s v="E0200300"/>
    <n v="1"/>
    <n v="1"/>
    <n v="0"/>
    <n v="0"/>
    <n v="0"/>
    <n v="0"/>
    <n v="0"/>
    <n v="1"/>
    <n v="1"/>
    <n v="1"/>
    <n v="0"/>
    <x v="2"/>
    <s v=""/>
    <s v=""/>
    <s v=""/>
    <s v=""/>
    <s v=""/>
    <s v=""/>
    <s v=""/>
    <s v=""/>
    <s v=""/>
    <s v=""/>
    <n v="1"/>
    <s v=""/>
  </r>
  <r>
    <x v="1"/>
    <m/>
    <m/>
    <m/>
    <m/>
    <s v="ARNOT OGDEN MEDICAL CENTER"/>
    <m/>
    <m/>
    <m/>
    <m/>
    <s v="ARNOT OGDEN MEDICAL CENTER"/>
    <s v="600 ROE AVE"/>
    <s v="ELMIRA"/>
    <s v="NY"/>
    <s v="14905-1629"/>
    <s v="MULTI-TYPE"/>
    <s v="M"/>
    <s v="No"/>
    <s v="MMIS"/>
    <s v="WestRPU"/>
    <s v="P"/>
    <m/>
    <m/>
    <m/>
    <m/>
    <s v="E0262911"/>
    <n v="1"/>
    <s v="No"/>
    <s v="No"/>
    <s v="No"/>
    <s v="No"/>
    <s v="No"/>
    <s v="No"/>
    <s v="No"/>
    <n v="0"/>
    <s v="No"/>
    <s v="No"/>
    <x v="1"/>
    <s v=""/>
    <n v="1"/>
    <n v="1"/>
    <s v=""/>
    <s v=""/>
    <s v=""/>
    <s v=""/>
    <s v=""/>
    <s v=""/>
    <s v=""/>
    <n v="1"/>
    <s v=""/>
  </r>
  <r>
    <x v="0"/>
    <m/>
    <m/>
    <m/>
    <m/>
    <s v="ARONIS MICHAEL"/>
    <m/>
    <m/>
    <m/>
    <m/>
    <s v="ARONIS MICHAEL MD"/>
    <s v="130 PARK ST"/>
    <s v="MALONE"/>
    <s v="NY"/>
    <s v="12953-1250"/>
    <s v="PHYSICIAN"/>
    <s v="M"/>
    <s v="No"/>
    <s v="MMIS"/>
    <s v="SouthRPU"/>
    <s v="P"/>
    <m/>
    <m/>
    <m/>
    <s v=""/>
    <s v="E0102841"/>
    <n v="1"/>
    <n v="1"/>
    <n v="0"/>
    <n v="1"/>
    <n v="1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ASGHER SHOAIB DR."/>
    <m/>
    <m/>
    <m/>
    <m/>
    <s v="ASGHER SHOAIB"/>
    <s v="2517 VESTAL PKWY E"/>
    <s v="VESTAL"/>
    <s v="NY"/>
    <s v="13850-2020"/>
    <s v="PHYSICIAN"/>
    <s v="M"/>
    <s v="No"/>
    <s v="MMIS"/>
    <s v="SouthRPU"/>
    <s v="P"/>
    <m/>
    <m/>
    <m/>
    <s v=""/>
    <s v="E0323621"/>
    <n v="0"/>
    <n v="0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GIBSON ASHLEY"/>
    <m/>
    <m/>
    <m/>
    <m/>
    <s v="GIBSON ASHLEY"/>
    <s v="40 ARCH ST"/>
    <s v="JOHNSON CITY"/>
    <s v="NY"/>
    <s v="13790-2102"/>
    <s v="PHYSICIAN"/>
    <s v="M"/>
    <s v="No"/>
    <s v="MMIS"/>
    <s v="SouthRPU"/>
    <s v="P"/>
    <m/>
    <m/>
    <s v="UHS"/>
    <s v="Ashley Gibson"/>
    <s v="E0365746"/>
    <s v="No"/>
    <s v="No"/>
    <s v="No"/>
    <s v="No"/>
    <s v="No"/>
    <s v="No"/>
    <s v="No"/>
    <s v="No"/>
    <n v="0"/>
    <s v="No"/>
    <s v="No"/>
    <x v="1"/>
    <n v="1"/>
    <s v=""/>
    <s v=""/>
    <s v=""/>
    <s v=""/>
    <s v=""/>
    <s v=""/>
    <s v=""/>
    <s v=""/>
    <s v=""/>
    <s v=""/>
    <s v=""/>
  </r>
  <r>
    <x v="0"/>
    <m/>
    <m/>
    <m/>
    <m/>
    <s v="HAMMOND ASHLEY"/>
    <m/>
    <m/>
    <m/>
    <m/>
    <s v="HAMMOND ASHLEY NICOLE"/>
    <s v="33-57 HARRISON ST"/>
    <s v="JOHNSON CITY"/>
    <s v="NY"/>
    <s v="13790-2107"/>
    <s v="PHYSICIAN"/>
    <s v="M"/>
    <s v="No"/>
    <s v="MMIS"/>
    <s v="SouthRPU"/>
    <s v="P"/>
    <m/>
    <m/>
    <m/>
    <s v=""/>
    <s v="E0328534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m/>
    <m/>
    <m/>
    <m/>
    <m/>
    <s v="DEVASENAPATHY ASHOK"/>
    <s v="90 PRESIDENTIAL PLZ FL 4"/>
    <s v="SYRACUSE"/>
    <s v="NY"/>
    <s v="13202-2240"/>
    <s v="PHYSICIAN"/>
    <s v="M"/>
    <s v="No"/>
    <s v="MMIS"/>
    <s v="NorthRPU"/>
    <s v="P"/>
    <m/>
    <m/>
    <m/>
    <s v=""/>
    <s v="E0308455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1"/>
    <m/>
    <m/>
    <m/>
    <m/>
    <s v="SABAHAT ASHRAF"/>
    <m/>
    <m/>
    <m/>
    <m/>
    <s v="SABAHAT ASHRAF MD"/>
    <s v="220 STEUBEN ST"/>
    <s v="MONTOUR FALLS"/>
    <s v="NY"/>
    <s v="14865-9709"/>
    <s v="PHYSICIAN"/>
    <s v="M"/>
    <s v="No"/>
    <s v="MMIS"/>
    <s v="NorthRPU"/>
    <s v="P"/>
    <m/>
    <m/>
    <m/>
    <s v=""/>
    <s v="E0066287"/>
    <n v="1"/>
    <n v="1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RUPARELIA ASHUTOSH"/>
    <m/>
    <m/>
    <m/>
    <m/>
    <s v="RUPARELLA ASHUTOSH HARISH MD"/>
    <s v="830 WASHINGTON ST"/>
    <s v="WATERTOWN"/>
    <s v="NY"/>
    <s v="13601-4034"/>
    <s v="PHYSICIAN"/>
    <s v="M"/>
    <s v="No"/>
    <s v="MMIS"/>
    <s v="NorthRPU"/>
    <s v="P"/>
    <m/>
    <m/>
    <m/>
    <s v=""/>
    <s v="E0131194"/>
    <n v="1"/>
    <n v="1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ASI OF CORTLAND, LLC"/>
    <s v="17 MAIN ST, SUITE 411"/>
    <s v="CORTLAND"/>
    <s v="NY"/>
    <s v="130456606"/>
    <m/>
    <m/>
    <m/>
    <m/>
    <m/>
    <m/>
    <s v="M"/>
    <s v="No"/>
    <s v="NPI only"/>
    <s v="NorthRPU"/>
    <s v="P"/>
    <m/>
    <m/>
    <m/>
    <s v=""/>
    <s v="ASI OF CORTLAND, LLC"/>
    <n v="0"/>
    <n v="0"/>
    <n v="0"/>
    <n v="0"/>
    <n v="0"/>
    <n v="0"/>
    <n v="0"/>
    <n v="0"/>
    <n v="0"/>
    <n v="0"/>
    <n v="0"/>
    <x v="1"/>
    <s v=""/>
    <s v=""/>
    <s v=""/>
    <s v=""/>
    <s v=""/>
    <s v=""/>
    <s v=""/>
    <s v=""/>
    <s v=""/>
    <s v=""/>
    <s v=""/>
    <n v="1"/>
  </r>
  <r>
    <x v="1"/>
    <m/>
    <m/>
    <m/>
    <m/>
    <s v="ASI OF CORTLAND, LLC"/>
    <m/>
    <m/>
    <m/>
    <m/>
    <s v="ASI OF CORTLAND LLC"/>
    <s v="OAS CL"/>
    <s v="CORTLAND"/>
    <s v="NY"/>
    <s v="13045-6606"/>
    <s v="DIAGNOSTIC AND TREATMENT CENTER"/>
    <s v="M"/>
    <s v="No"/>
    <s v="MMIS"/>
    <s v="NorthRPU"/>
    <s v="P"/>
    <m/>
    <m/>
    <m/>
    <s v=""/>
    <s v="E0047559"/>
    <n v="0"/>
    <n v="0"/>
    <n v="0"/>
    <n v="0"/>
    <n v="0"/>
    <n v="0"/>
    <n v="0"/>
    <n v="0"/>
    <n v="0"/>
    <n v="0"/>
    <n v="0"/>
    <x v="1"/>
    <s v=""/>
    <s v=""/>
    <s v=""/>
    <s v=""/>
    <s v=""/>
    <n v="1"/>
    <s v=""/>
    <s v=""/>
    <s v=""/>
    <s v=""/>
    <n v="1"/>
    <s v=""/>
  </r>
  <r>
    <x v="0"/>
    <m/>
    <m/>
    <m/>
    <m/>
    <s v="ATTIA MAXIMOS DR."/>
    <m/>
    <m/>
    <m/>
    <m/>
    <s v="ATTIA MAXIMOS NABIL YOUSSEF"/>
    <s v="1 GUTHRIE SQ"/>
    <s v="SAYRE"/>
    <s v="PA"/>
    <s v="18840-1625"/>
    <s v="PHYSICIAN"/>
    <s v="M"/>
    <s v="No"/>
    <s v="MMIS"/>
    <s v="SouthRPU"/>
    <s v="P"/>
    <m/>
    <m/>
    <m/>
    <s v=""/>
    <s v="E0338604"/>
    <n v="1"/>
    <n v="1"/>
    <n v="0"/>
    <n v="0"/>
    <n v="0"/>
    <n v="0"/>
    <n v="0"/>
    <n v="1"/>
    <n v="1"/>
    <n v="1"/>
    <n v="0"/>
    <x v="2"/>
    <s v=""/>
    <s v=""/>
    <s v=""/>
    <s v=""/>
    <s v=""/>
    <s v=""/>
    <s v=""/>
    <s v=""/>
    <s v=""/>
    <s v=""/>
    <n v="1"/>
    <s v=""/>
  </r>
  <r>
    <x v="0"/>
    <m/>
    <m/>
    <m/>
    <m/>
    <s v="DESILVA AUDREY"/>
    <m/>
    <m/>
    <m/>
    <m/>
    <s v="DESILVA AUDREY HOPE"/>
    <m/>
    <s v="ITHACA"/>
    <s v="NY"/>
    <s v="14850-1055"/>
    <s v="PHYSICIAN"/>
    <s v="M"/>
    <s v="No"/>
    <s v="MMIS"/>
    <s v="NorthRPU"/>
    <s v="P"/>
    <m/>
    <m/>
    <m/>
    <s v=""/>
    <s v="E0113209"/>
    <n v="1"/>
    <n v="1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1"/>
    <m/>
    <m/>
    <m/>
    <m/>
    <s v="AUERBACH ROBERT DR."/>
    <m/>
    <m/>
    <m/>
    <m/>
    <s v="AUERBACH ROBERT LAWRENCE MD"/>
    <s v="34 MITCHELL AVENUE"/>
    <s v="BINGHAMTON"/>
    <s v="NY"/>
    <s v="13903"/>
    <s v="PHYSICIAN"/>
    <s v="M"/>
    <s v="No"/>
    <s v="MMIS"/>
    <s v="SouthRPU"/>
    <s v="P"/>
    <m/>
    <m/>
    <m/>
    <s v=""/>
    <s v="E0006408"/>
    <n v="0"/>
    <n v="0"/>
    <n v="0"/>
    <n v="0"/>
    <n v="0"/>
    <n v="0"/>
    <n v="0"/>
    <n v="0"/>
    <n v="1"/>
    <n v="0"/>
    <n v="0"/>
    <x v="2"/>
    <s v=""/>
    <s v=""/>
    <s v=""/>
    <s v=""/>
    <s v=""/>
    <s v=""/>
    <s v=""/>
    <s v=""/>
    <s v=""/>
    <s v=""/>
    <n v="1"/>
    <s v=""/>
  </r>
  <r>
    <x v="1"/>
    <m/>
    <m/>
    <m/>
    <m/>
    <s v="DUPLAN AUGUSTE DR."/>
    <m/>
    <m/>
    <m/>
    <m/>
    <s v="DUPLAN AUGUSTE LYTTON MD"/>
    <s v="ST JOSEPH'S PSYCH"/>
    <s v="YONKERS"/>
    <s v="NY"/>
    <s v="10701-4006"/>
    <s v="PHYSICIAN"/>
    <s v="M"/>
    <s v="No"/>
    <s v="MMIS"/>
    <s v="NorthRPU"/>
    <s v="P"/>
    <m/>
    <m/>
    <m/>
    <s v=""/>
    <s v="E0042061"/>
    <n v="1"/>
    <n v="1"/>
    <n v="0"/>
    <n v="0"/>
    <n v="0"/>
    <n v="0"/>
    <n v="0"/>
    <n v="0"/>
    <n v="0"/>
    <n v="0"/>
    <n v="0"/>
    <x v="1"/>
    <n v="1"/>
    <s v=""/>
    <s v=""/>
    <s v=""/>
    <n v="1"/>
    <s v=""/>
    <s v=""/>
    <s v=""/>
    <s v=""/>
    <s v=""/>
    <s v=""/>
    <s v=""/>
  </r>
  <r>
    <x v="0"/>
    <m/>
    <m/>
    <m/>
    <m/>
    <s v="AVERY JEFFREY MR."/>
    <m/>
    <m/>
    <m/>
    <m/>
    <s v="AVERY JEFFREY LOUIS"/>
    <s v="33 MITCHELL AVE STE G-50"/>
    <s v="BINGHAMTON"/>
    <s v="NY"/>
    <s v="13903-1642"/>
    <s v="PHYSICIAN"/>
    <s v="M"/>
    <s v="No"/>
    <s v="MMIS"/>
    <s v="SouthRPU"/>
    <s v="P"/>
    <m/>
    <m/>
    <m/>
    <s v=""/>
    <s v="E0300972"/>
    <n v="1"/>
    <n v="1"/>
    <n v="0"/>
    <n v="1"/>
    <n v="1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s v="174 Court Street"/>
    <s v="Binghamton"/>
    <s v="NY"/>
    <s v="13901"/>
    <m/>
    <m/>
    <m/>
    <m/>
    <m/>
    <m/>
    <m/>
    <m/>
    <m/>
    <m/>
    <m/>
    <s v="M"/>
    <s v="No"/>
    <s v="No NPI or MMIS"/>
    <s v="SouthRPU"/>
    <s v="P"/>
    <m/>
    <m/>
    <m/>
    <m/>
    <s v="AVRE"/>
    <s v="No"/>
    <s v="No"/>
    <s v="No"/>
    <s v="No"/>
    <s v="No"/>
    <s v="No"/>
    <s v="No"/>
    <s v="No"/>
    <n v="0"/>
    <s v="No"/>
    <s v="No"/>
    <x v="1"/>
    <s v=""/>
    <s v=""/>
    <s v=""/>
    <s v=""/>
    <s v=""/>
    <s v=""/>
    <s v=""/>
    <s v=""/>
    <s v=""/>
    <n v="1"/>
    <s v=""/>
    <s v=""/>
  </r>
  <r>
    <x v="0"/>
    <m/>
    <m/>
    <m/>
    <m/>
    <s v="ASSOCIATION FOR VISION REHABILITATION AND EMPLOYMENT, INC."/>
    <m/>
    <m/>
    <m/>
    <m/>
    <s v="ASSOCIATION FOR VISION REHABILITATI"/>
    <s v="225 FRONT ST STE 1"/>
    <s v="BINGHAMTON"/>
    <s v="NY"/>
    <s v="13905-2448"/>
    <s v="MULTI-TYPE"/>
    <s v="M"/>
    <s v="No"/>
    <s v="MMIS"/>
    <s v="SouthRPU"/>
    <s v="P"/>
    <m/>
    <m/>
    <m/>
    <s v=""/>
    <s v="E0324045"/>
    <n v="0"/>
    <n v="0"/>
    <n v="0"/>
    <n v="0"/>
    <n v="0"/>
    <n v="0"/>
    <n v="0"/>
    <n v="0"/>
    <n v="0"/>
    <n v="0"/>
    <n v="0"/>
    <x v="1"/>
    <s v=""/>
    <s v=""/>
    <n v="1"/>
    <s v=""/>
    <s v=""/>
    <s v=""/>
    <s v=""/>
    <s v=""/>
    <s v=""/>
    <s v=""/>
    <s v=""/>
    <s v=""/>
  </r>
  <r>
    <x v="0"/>
    <m/>
    <m/>
    <m/>
    <m/>
    <s v="BABA MICHAEL DR."/>
    <m/>
    <m/>
    <m/>
    <m/>
    <s v="BABA MICHAEL JOHN"/>
    <s v="1290 UPPER FRONT ST"/>
    <s v="BINGHAMTON"/>
    <s v="NY"/>
    <s v="13901-1043"/>
    <s v="PHYSICIAN"/>
    <s v="M"/>
    <s v="No"/>
    <s v="MMIS"/>
    <s v="SouthRPU"/>
    <s v="P"/>
    <m/>
    <m/>
    <m/>
    <s v=""/>
    <s v="E0335389"/>
    <n v="0"/>
    <n v="0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BAHR JENNIFER"/>
    <m/>
    <m/>
    <m/>
    <m/>
    <s v="BAHR JENNIFER LEE"/>
    <s v="93 PENNSYLVANIA AVE"/>
    <s v="BINGHAMTON"/>
    <s v="NY"/>
    <s v="13903-1645"/>
    <s v="THERAPIST"/>
    <s v="M"/>
    <s v="No"/>
    <s v="MMIS"/>
    <s v="SouthRPU"/>
    <s v="P"/>
    <m/>
    <m/>
    <s v="UHS"/>
    <s v="BAHR JENNIFER"/>
    <s v="E0332321"/>
    <s v="No"/>
    <s v="No"/>
    <s v="No"/>
    <s v="No"/>
    <s v="No"/>
    <s v="No"/>
    <s v="No"/>
    <s v="No"/>
    <n v="0"/>
    <s v="No"/>
    <s v="No"/>
    <x v="1"/>
    <s v=""/>
    <s v=""/>
    <s v=""/>
    <s v=""/>
    <s v=""/>
    <s v=""/>
    <s v=""/>
    <s v=""/>
    <s v=""/>
    <s v=""/>
    <s v=""/>
    <n v="1"/>
  </r>
  <r>
    <x v="0"/>
    <m/>
    <m/>
    <m/>
    <m/>
    <s v="BAILEY-KUNTE JEMMA"/>
    <m/>
    <m/>
    <m/>
    <m/>
    <s v="BAILEY-KUNTE JEMMA"/>
    <s v="AHWAGA FAMILY PHYS"/>
    <s v="OWEGO"/>
    <s v="NY"/>
    <s v="13827-1635"/>
    <s v="PHYSICIAN"/>
    <s v="M"/>
    <s v="No"/>
    <s v="MMIS"/>
    <s v="SouthRPU"/>
    <s v="P"/>
    <m/>
    <m/>
    <m/>
    <s v=""/>
    <s v="E0177439"/>
    <n v="0"/>
    <n v="0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BALDWIN JENNIFER"/>
    <m/>
    <m/>
    <m/>
    <m/>
    <s v="BALDWIN JENNIFER LYNN RUSHAK"/>
    <s v="134 HOMER AVE"/>
    <s v="CORTLAND"/>
    <s v="NY"/>
    <s v="13045-1206"/>
    <s v="PHYSICIAN"/>
    <s v="M"/>
    <s v="No"/>
    <s v="MMIS"/>
    <s v="NorthRPU"/>
    <s v="P"/>
    <m/>
    <m/>
    <m/>
    <s v=""/>
    <s v="E0363426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BALLARD GENEVA"/>
    <m/>
    <m/>
    <m/>
    <m/>
    <s v="BALLARD GENEVA R"/>
    <s v="1 GUTHRIE SQ"/>
    <s v="SAYRE"/>
    <s v="PA"/>
    <s v="18840-1625"/>
    <s v="PHYSICIAN"/>
    <s v="M"/>
    <s v="No"/>
    <s v="MMIS"/>
    <s v="SouthRPU"/>
    <s v="P"/>
    <m/>
    <m/>
    <m/>
    <s v=""/>
    <s v="E0354523"/>
    <n v="1"/>
    <n v="1"/>
    <n v="0"/>
    <n v="0"/>
    <n v="0"/>
    <n v="0"/>
    <n v="0"/>
    <n v="0"/>
    <n v="0"/>
    <n v="1"/>
    <n v="0"/>
    <x v="1"/>
    <n v="1"/>
    <s v=""/>
    <s v=""/>
    <s v=""/>
    <s v=""/>
    <s v=""/>
    <s v=""/>
    <s v=""/>
    <s v=""/>
    <s v=""/>
    <n v="1"/>
    <s v=""/>
  </r>
  <r>
    <x v="0"/>
    <m/>
    <m/>
    <m/>
    <m/>
    <s v="BALLARD LUKE DR."/>
    <m/>
    <m/>
    <m/>
    <m/>
    <s v="BALLARD LUKE JUSTIN"/>
    <s v="1 GUTHRIE SQ"/>
    <s v="SAYRE"/>
    <s v="PA"/>
    <s v="18840-1625"/>
    <s v="PHYSICIAN"/>
    <s v="M"/>
    <s v="No"/>
    <s v="MMIS"/>
    <s v="SouthRPU"/>
    <s v="P"/>
    <m/>
    <m/>
    <m/>
    <s v=""/>
    <s v="E0355372"/>
    <n v="1"/>
    <n v="1"/>
    <n v="0"/>
    <n v="0"/>
    <n v="0"/>
    <n v="0"/>
    <n v="0"/>
    <n v="0"/>
    <n v="0"/>
    <n v="1"/>
    <n v="0"/>
    <x v="1"/>
    <n v="1"/>
    <s v=""/>
    <s v=""/>
    <s v=""/>
    <s v=""/>
    <s v=""/>
    <s v=""/>
    <s v=""/>
    <s v=""/>
    <s v=""/>
    <n v="1"/>
    <s v=""/>
  </r>
  <r>
    <x v="0"/>
    <m/>
    <m/>
    <m/>
    <m/>
    <s v="BAMBARA JULIE"/>
    <m/>
    <m/>
    <m/>
    <m/>
    <s v="BAMBARA JULIE ANN"/>
    <s v="1302 E MAIN ST"/>
    <s v="ENDICOTT"/>
    <s v="NY"/>
    <s v="13760-5430"/>
    <s v="PHYSICIAN"/>
    <s v="M"/>
    <s v="No"/>
    <s v="MMIS"/>
    <s v="SouthRPU"/>
    <s v="P"/>
    <m/>
    <m/>
    <m/>
    <s v=""/>
    <s v="E0067494"/>
    <n v="1"/>
    <n v="1"/>
    <n v="0"/>
    <n v="1"/>
    <n v="1"/>
    <n v="1"/>
    <n v="0"/>
    <n v="0"/>
    <n v="1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CONNOR BARBARA DR."/>
    <m/>
    <m/>
    <m/>
    <m/>
    <s v="CONNOR BARBARA JONES"/>
    <s v="10 WEST 6TH STREET"/>
    <s v="OSWEGO"/>
    <s v="NY"/>
    <s v="13126-2507"/>
    <s v="PHYSICIAN"/>
    <s v="M"/>
    <s v="No"/>
    <s v="MMIS"/>
    <s v="NorthRPU"/>
    <s v="P"/>
    <m/>
    <m/>
    <m/>
    <s v=""/>
    <s v="E0185430"/>
    <n v="1"/>
    <n v="1"/>
    <n v="0"/>
    <n v="0"/>
    <n v="0"/>
    <n v="0"/>
    <n v="0"/>
    <n v="0"/>
    <n v="0"/>
    <n v="0"/>
    <n v="0"/>
    <x v="2"/>
    <n v="1"/>
    <s v=""/>
    <s v=""/>
    <s v=""/>
    <s v=""/>
    <s v=""/>
    <s v=""/>
    <s v=""/>
    <s v=""/>
    <s v=""/>
    <n v="1"/>
    <s v=""/>
  </r>
  <r>
    <x v="0"/>
    <m/>
    <m/>
    <m/>
    <m/>
    <s v="WISEMAN BARBARA"/>
    <m/>
    <m/>
    <m/>
    <m/>
    <s v="WISEMAN BARBARA L  MD"/>
    <s v="GUTHRIE CLINIC LTD"/>
    <s v="SAYRE"/>
    <s v="PA"/>
    <s v="18840"/>
    <s v="PHYSICIAN"/>
    <s v="M"/>
    <s v="No"/>
    <s v="MMIS"/>
    <s v="SouthRPU"/>
    <s v="P"/>
    <m/>
    <m/>
    <m/>
    <s v=""/>
    <s v="E0175790"/>
    <n v="1"/>
    <n v="1"/>
    <n v="0"/>
    <n v="1"/>
    <n v="1"/>
    <n v="0"/>
    <n v="0"/>
    <n v="0"/>
    <n v="0"/>
    <n v="0"/>
    <n v="0"/>
    <x v="2"/>
    <n v="1"/>
    <s v=""/>
    <s v=""/>
    <s v=""/>
    <s v=""/>
    <s v=""/>
    <s v=""/>
    <s v=""/>
    <s v=""/>
    <s v=""/>
    <n v="1"/>
    <s v=""/>
  </r>
  <r>
    <x v="0"/>
    <m/>
    <m/>
    <m/>
    <m/>
    <s v="WOOD BARBARA"/>
    <m/>
    <m/>
    <m/>
    <m/>
    <s v="WOOD BARBARA A"/>
    <s v="302 W SENECA ST"/>
    <s v="ITHACA"/>
    <s v="NY"/>
    <s v="14850-4130"/>
    <s v="PHYSICIAN"/>
    <s v="M"/>
    <s v="No"/>
    <s v="MMIS"/>
    <s v="NorthRPU"/>
    <s v="P"/>
    <m/>
    <m/>
    <s v="CMC"/>
    <s v="Barbara Wood, FNP"/>
    <s v="E0304325"/>
    <s v="No"/>
    <s v="No"/>
    <s v="No"/>
    <s v="No"/>
    <s v="No"/>
    <s v="No"/>
    <s v="No"/>
    <s v="No"/>
    <n v="0"/>
    <s v="No"/>
    <s v="No"/>
    <x v="2"/>
    <s v=""/>
    <s v=""/>
    <s v=""/>
    <s v=""/>
    <s v=""/>
    <s v=""/>
    <s v=""/>
    <s v=""/>
    <s v=""/>
    <s v=""/>
    <n v="1"/>
    <s v=""/>
  </r>
  <r>
    <x v="0"/>
    <m/>
    <m/>
    <m/>
    <m/>
    <s v="BARBIS ANDREA"/>
    <m/>
    <m/>
    <m/>
    <m/>
    <s v="BARBIS ANDREA MARI LCSW"/>
    <s v="13 AYRES ST"/>
    <s v="BINGHAMTON"/>
    <s v="NY"/>
    <s v="13905-4537"/>
    <s v="CLINICAL SOCIAL WORKER (CSW)"/>
    <s v="M"/>
    <s v="No"/>
    <s v="MMIS"/>
    <s v="SouthRPU"/>
    <s v="P"/>
    <m/>
    <m/>
    <m/>
    <s v=""/>
    <s v="E0024936"/>
    <n v="1"/>
    <n v="1"/>
    <n v="0"/>
    <n v="1"/>
    <n v="1"/>
    <n v="1"/>
    <n v="0"/>
    <n v="0"/>
    <n v="0"/>
    <n v="0"/>
    <n v="0"/>
    <x v="1"/>
    <n v="1"/>
    <s v=""/>
    <s v=""/>
    <s v=""/>
    <n v="1"/>
    <s v=""/>
    <s v=""/>
    <s v=""/>
    <s v=""/>
    <s v=""/>
    <s v=""/>
    <s v=""/>
  </r>
  <r>
    <x v="0"/>
    <m/>
    <m/>
    <m/>
    <m/>
    <s v="BARNES CHARLES"/>
    <m/>
    <m/>
    <m/>
    <m/>
    <s v="BARNES CHARLES R RPA"/>
    <s v="1656 CHAMPLIN AVE"/>
    <s v="NEW HARTFORD"/>
    <s v="NY"/>
    <s v="13413-1068"/>
    <s v="PHYSICIAN"/>
    <s v="M"/>
    <s v="No"/>
    <s v="MMIS"/>
    <s v="SouthRPU"/>
    <s v="P"/>
    <m/>
    <m/>
    <m/>
    <s v=""/>
    <s v="E0024907"/>
    <n v="1"/>
    <n v="1"/>
    <n v="0"/>
    <n v="1"/>
    <n v="1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BARNES JULIE"/>
    <m/>
    <m/>
    <m/>
    <m/>
    <s v="BARNES JULIE ANN"/>
    <s v="5 COLLEGE AVE"/>
    <s v="WINDSOR"/>
    <s v="NY"/>
    <s v="13865-4109"/>
    <s v="PHYSICIAN"/>
    <s v="M"/>
    <s v="No"/>
    <s v="MMIS"/>
    <s v="SouthRPU"/>
    <s v="P"/>
    <m/>
    <m/>
    <m/>
    <s v=""/>
    <s v="E0067491"/>
    <n v="1"/>
    <n v="1"/>
    <n v="0"/>
    <n v="1"/>
    <n v="1"/>
    <n v="0"/>
    <n v="0"/>
    <n v="0"/>
    <n v="1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BARON RICHARD"/>
    <m/>
    <m/>
    <m/>
    <m/>
    <s v="BARON RICHARD JOHN         MD"/>
    <m/>
    <s v="JOHNSON CITY"/>
    <s v="NY"/>
    <s v="13790-2174"/>
    <s v="PHYSICIAN"/>
    <s v="M"/>
    <s v="No"/>
    <s v="MMIS"/>
    <s v="SouthRPU"/>
    <s v="P"/>
    <m/>
    <m/>
    <m/>
    <s v=""/>
    <s v="E0229690"/>
    <n v="1"/>
    <n v="1"/>
    <n v="0"/>
    <n v="1"/>
    <n v="1"/>
    <n v="0"/>
    <n v="0"/>
    <n v="0"/>
    <n v="0"/>
    <n v="0"/>
    <n v="0"/>
    <x v="2"/>
    <n v="1"/>
    <s v=""/>
    <s v=""/>
    <s v=""/>
    <s v=""/>
    <s v=""/>
    <s v=""/>
    <s v=""/>
    <s v=""/>
    <s v=""/>
    <n v="1"/>
    <s v=""/>
  </r>
  <r>
    <x v="1"/>
    <m/>
    <m/>
    <m/>
    <m/>
    <s v="BARRETO MARK DR."/>
    <m/>
    <m/>
    <m/>
    <m/>
    <s v="BARRETO MARK ANTHONY MD"/>
    <s v="179 N BROAD ST"/>
    <s v="NORWICH"/>
    <s v="NY"/>
    <s v="13815-1019"/>
    <s v="PHYSICIAN"/>
    <s v="M"/>
    <s v="No"/>
    <s v="MMIS"/>
    <s v="EastRPU"/>
    <s v="P"/>
    <m/>
    <m/>
    <m/>
    <s v=""/>
    <s v="E0283588"/>
    <n v="0"/>
    <n v="0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BARRETT MICHAEL"/>
    <m/>
    <m/>
    <m/>
    <m/>
    <s v="BARRETT MICHAEL W MD"/>
    <s v="SURG ASSOC PC-#105"/>
    <s v="BINGHAMTON"/>
    <s v="NY"/>
    <s v="13905-4176"/>
    <s v="PHYSICIAN"/>
    <s v="M"/>
    <s v="No"/>
    <s v="MMIS"/>
    <s v="SouthRPU"/>
    <s v="P"/>
    <m/>
    <m/>
    <m/>
    <s v=""/>
    <s v="E0119530"/>
    <n v="0"/>
    <n v="0"/>
    <n v="0"/>
    <n v="0"/>
    <n v="0"/>
    <n v="0"/>
    <n v="0"/>
    <n v="0"/>
    <n v="0"/>
    <n v="0"/>
    <n v="0"/>
    <x v="2"/>
    <n v="1"/>
    <s v=""/>
    <s v=""/>
    <s v=""/>
    <s v=""/>
    <s v=""/>
    <s v=""/>
    <s v=""/>
    <s v=""/>
    <s v=""/>
    <n v="1"/>
    <s v=""/>
  </r>
  <r>
    <x v="0"/>
    <m/>
    <m/>
    <m/>
    <m/>
    <s v="POLLACK BARRY DR."/>
    <m/>
    <m/>
    <m/>
    <m/>
    <s v="POLLACK BARRY JAY MD"/>
    <s v="201 DATES DR"/>
    <s v="ITHACA"/>
    <s v="NY"/>
    <s v="14850-1345"/>
    <s v="PHYSICIAN"/>
    <s v="M"/>
    <s v="No"/>
    <s v="MMIS"/>
    <s v="NorthRPU"/>
    <s v="P"/>
    <m/>
    <m/>
    <m/>
    <s v=""/>
    <s v="E0071124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BARTON MICHAEL"/>
    <m/>
    <m/>
    <m/>
    <m/>
    <s v="BARTON MICHAEL"/>
    <s v="200 FRONT ST"/>
    <s v="VESTAL"/>
    <s v="NY"/>
    <s v="13850-1559"/>
    <s v="PHYSICIAN"/>
    <s v="M"/>
    <s v="No"/>
    <s v="MMIS"/>
    <s v="SouthRPU"/>
    <s v="P"/>
    <m/>
    <m/>
    <m/>
    <s v=""/>
    <s v="E0044349"/>
    <n v="1"/>
    <n v="1"/>
    <n v="0"/>
    <n v="1"/>
    <n v="1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BARTON VICTORIA"/>
    <m/>
    <m/>
    <m/>
    <m/>
    <s v="BARTON VICTORIA"/>
    <s v="PARK SLOPE OB/GYN"/>
    <s v="BROOKLYN"/>
    <s v="NY"/>
    <s v="11215"/>
    <s v="PHYSICIAN"/>
    <s v="M"/>
    <s v="No"/>
    <s v="MMIS"/>
    <s v="SouthRPU"/>
    <s v="P"/>
    <m/>
    <m/>
    <m/>
    <s v=""/>
    <s v="E0077261"/>
    <n v="1"/>
    <n v="1"/>
    <n v="0"/>
    <n v="1"/>
    <n v="1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BATTLA NASREEN DR."/>
    <m/>
    <m/>
    <m/>
    <m/>
    <s v="BATTLA NASREEN NASIM MD"/>
    <s v="101 MAIN ST"/>
    <s v="JOHNSON CITY"/>
    <s v="NY"/>
    <s v="13790-2426"/>
    <s v="PHYSICIAN"/>
    <s v="M"/>
    <s v="No"/>
    <s v="MMIS"/>
    <s v="SouthRPU"/>
    <s v="P"/>
    <m/>
    <m/>
    <s v="OLOL"/>
    <s v="BATTLA NASREEN DR."/>
    <s v="E0184850"/>
    <s v="No"/>
    <s v="No"/>
    <s v="No"/>
    <s v="No"/>
    <s v="No"/>
    <s v="No"/>
    <s v="No"/>
    <s v="No"/>
    <n v="0"/>
    <s v="No"/>
    <s v="No"/>
    <x v="2"/>
    <s v=""/>
    <s v=""/>
    <s v=""/>
    <s v=""/>
    <s v=""/>
    <s v=""/>
    <s v=""/>
    <s v=""/>
    <s v=""/>
    <s v=""/>
    <n v="1"/>
    <s v=""/>
  </r>
  <r>
    <x v="0"/>
    <m/>
    <m/>
    <m/>
    <m/>
    <s v="BAXTER FRANKLIN DR."/>
    <m/>
    <m/>
    <m/>
    <m/>
    <s v="BAXTER FRANKLIN ROSS"/>
    <s v="179 N BROAD ST"/>
    <s v="NORWICH"/>
    <s v="NY"/>
    <s v="13815-1019"/>
    <s v="PHYSICIAN"/>
    <s v="M"/>
    <s v="No"/>
    <s v="MMIS"/>
    <s v="EastRPU"/>
    <s v="P"/>
    <m/>
    <m/>
    <m/>
    <s v=""/>
    <s v="E0334047"/>
    <n v="1"/>
    <n v="1"/>
    <n v="0"/>
    <n v="1"/>
    <n v="1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BAYNAR CATHLEEN"/>
    <m/>
    <m/>
    <m/>
    <m/>
    <s v="VERDON CATHLEEN JOSEPHINE"/>
    <s v="800 HOOPER RD"/>
    <s v="ENDWELL"/>
    <s v="NY"/>
    <s v="13760-1560"/>
    <s v="PHYSICIAN"/>
    <s v="M"/>
    <s v="No"/>
    <s v="MMIS"/>
    <s v="SouthRPU"/>
    <s v="P"/>
    <m/>
    <m/>
    <s v="UHS"/>
    <s v="BAYNAR CATHLEEN"/>
    <s v="E0085442"/>
    <s v="No"/>
    <s v="No"/>
    <s v="No"/>
    <s v="No"/>
    <s v="No"/>
    <s v="No"/>
    <s v="No"/>
    <s v="No"/>
    <n v="0"/>
    <s v="No"/>
    <s v="No"/>
    <x v="1"/>
    <s v=""/>
    <s v=""/>
    <s v=""/>
    <s v=""/>
    <s v=""/>
    <s v=""/>
    <s v=""/>
    <s v=""/>
    <s v=""/>
    <s v=""/>
    <s v=""/>
    <n v="1"/>
  </r>
  <r>
    <x v="0"/>
    <m/>
    <m/>
    <m/>
    <m/>
    <s v="BELLINA DANIEL"/>
    <m/>
    <m/>
    <m/>
    <m/>
    <s v="BELLINA DANIEL P MD"/>
    <s v="30 HARRISON ST STE 100"/>
    <s v="JOHNSON CITY"/>
    <s v="NY"/>
    <s v="13790-3100"/>
    <s v="PHYSICIAN"/>
    <s v="M"/>
    <s v="No"/>
    <s v="MMIS"/>
    <s v="SouthRPU"/>
    <s v="P"/>
    <m/>
    <m/>
    <m/>
    <s v=""/>
    <s v="E0152681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BELOKUR MATTHEW"/>
    <m/>
    <m/>
    <m/>
    <m/>
    <s v="BELOKUR MATTHEW"/>
    <s v="93 PENNSYLVANIA AVE"/>
    <s v="BINGHAMTON"/>
    <s v="NY"/>
    <s v="13903-1645"/>
    <s v="THERAPIST"/>
    <s v="M"/>
    <s v="No"/>
    <s v="MMIS"/>
    <s v="SouthRPU"/>
    <s v="P"/>
    <m/>
    <m/>
    <m/>
    <s v=""/>
    <s v="E0339812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BENJAMIN BRANDY"/>
    <m/>
    <m/>
    <m/>
    <m/>
    <s v="BENJAMIN BRANDY L"/>
    <s v="303 MAIN ST"/>
    <s v="BINGHAMTON"/>
    <s v="NY"/>
    <s v="13905-2539"/>
    <s v="PHYSICIAN"/>
    <s v="M"/>
    <s v="No"/>
    <s v="MMIS"/>
    <s v="SouthRPU"/>
    <s v="P"/>
    <m/>
    <m/>
    <s v="OLOL"/>
    <s v="BENJAMIN BRANDY"/>
    <s v="E0371555"/>
    <s v="No"/>
    <s v="No"/>
    <s v="No"/>
    <s v="No"/>
    <s v="No"/>
    <s v="No"/>
    <s v="No"/>
    <s v="No"/>
    <n v="0"/>
    <s v="No"/>
    <s v="No"/>
    <x v="2"/>
    <s v=""/>
    <s v=""/>
    <s v=""/>
    <s v=""/>
    <s v=""/>
    <s v=""/>
    <s v=""/>
    <s v=""/>
    <s v=""/>
    <s v=""/>
    <n v="1"/>
    <s v=""/>
  </r>
  <r>
    <x v="1"/>
    <m/>
    <m/>
    <m/>
    <m/>
    <s v="SAKS BENJAMIN"/>
    <m/>
    <m/>
    <m/>
    <m/>
    <s v="SAKS BENJAMIN JOSEPH"/>
    <s v="M.F.P.C.C. 230 STEUBEN STREET"/>
    <s v="MONTOUR FALLS"/>
    <s v="NY"/>
    <s v="14865"/>
    <s v="PHYSICIAN"/>
    <s v="M"/>
    <s v="No"/>
    <s v="MMIS"/>
    <s v="NorthRPU"/>
    <s v="P"/>
    <m/>
    <m/>
    <m/>
    <s v=""/>
    <s v="E0321212"/>
    <n v="1"/>
    <n v="1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BENNETT CHRISTOPHER DR."/>
    <m/>
    <m/>
    <m/>
    <m/>
    <s v="BENNETT CHRISTOPHER JOSEPH"/>
    <s v="1 GUTHRIE SQ"/>
    <s v="SAYRE"/>
    <s v="PA"/>
    <s v="18840-1625"/>
    <s v="PHYSICIAN"/>
    <s v="M"/>
    <s v="No"/>
    <s v="MMIS"/>
    <s v="SouthRPU"/>
    <s v="P"/>
    <m/>
    <m/>
    <m/>
    <s v=""/>
    <s v="E0322241"/>
    <n v="1"/>
    <n v="1"/>
    <n v="0"/>
    <n v="0"/>
    <n v="0"/>
    <n v="0"/>
    <n v="0"/>
    <n v="0"/>
    <n v="0"/>
    <n v="1"/>
    <n v="0"/>
    <x v="1"/>
    <n v="1"/>
    <s v=""/>
    <s v=""/>
    <s v=""/>
    <s v=""/>
    <s v=""/>
    <s v=""/>
    <s v=""/>
    <s v=""/>
    <s v=""/>
    <n v="1"/>
    <s v=""/>
  </r>
  <r>
    <x v="0"/>
    <m/>
    <m/>
    <m/>
    <m/>
    <s v="BENZ MARY"/>
    <m/>
    <m/>
    <m/>
    <m/>
    <s v="BENZ MARY BARBARA"/>
    <s v="596 5TH AVE"/>
    <s v="OWEGO"/>
    <s v="NY"/>
    <s v="13827-1629"/>
    <s v="PHYSICIAN"/>
    <s v="M"/>
    <s v="No"/>
    <s v="MMIS"/>
    <s v="SouthRPU"/>
    <s v="P"/>
    <m/>
    <m/>
    <m/>
    <s v=""/>
    <s v="E0327782"/>
    <n v="0"/>
    <n v="0"/>
    <n v="0"/>
    <n v="0"/>
    <n v="0"/>
    <n v="0"/>
    <n v="0"/>
    <n v="0"/>
    <n v="0"/>
    <n v="0"/>
    <n v="0"/>
    <x v="2"/>
    <n v="1"/>
    <s v=""/>
    <s v=""/>
    <s v=""/>
    <s v=""/>
    <s v=""/>
    <s v=""/>
    <s v=""/>
    <s v=""/>
    <s v=""/>
    <n v="1"/>
    <s v=""/>
  </r>
  <r>
    <x v="0"/>
    <m/>
    <m/>
    <m/>
    <m/>
    <s v="BERG RICHARD DR."/>
    <m/>
    <m/>
    <m/>
    <m/>
    <s v="BERG RICHARD E MD"/>
    <s v="116 E FRONT ST"/>
    <s v="HANCOCK"/>
    <s v="NY"/>
    <s v="13783-2252"/>
    <s v="PHYSICIAN"/>
    <s v="M"/>
    <s v="No"/>
    <s v="MMIS"/>
    <s v="EastRPU"/>
    <s v="P"/>
    <m/>
    <m/>
    <m/>
    <s v=""/>
    <s v="E0027024"/>
    <n v="1"/>
    <n v="1"/>
    <n v="0"/>
    <n v="1"/>
    <n v="1"/>
    <n v="0"/>
    <n v="0"/>
    <n v="1"/>
    <n v="0"/>
    <n v="0"/>
    <n v="1"/>
    <x v="2"/>
    <s v=""/>
    <s v=""/>
    <s v=""/>
    <s v=""/>
    <s v=""/>
    <s v=""/>
    <s v=""/>
    <s v=""/>
    <s v=""/>
    <s v=""/>
    <n v="1"/>
    <s v=""/>
  </r>
  <r>
    <x v="0"/>
    <m/>
    <m/>
    <m/>
    <m/>
    <s v="BERGERON JESSICA"/>
    <m/>
    <m/>
    <m/>
    <m/>
    <s v="BERGERON JESSICA J"/>
    <m/>
    <m/>
    <m/>
    <m/>
    <s v="PHYSICIAN"/>
    <s v="M"/>
    <s v="No"/>
    <s v="MMIS"/>
    <s v="NorthRPU"/>
    <s v="P"/>
    <m/>
    <m/>
    <s v="CRMC"/>
    <s v="Bergeron Jessica"/>
    <s v="E0447764"/>
    <s v="No"/>
    <s v="No"/>
    <s v="No"/>
    <s v="No"/>
    <s v="No"/>
    <s v="No"/>
    <s v="No"/>
    <s v="No"/>
    <n v="0"/>
    <s v="No"/>
    <s v="No"/>
    <x v="1"/>
    <n v="1"/>
    <s v=""/>
    <s v=""/>
    <s v=""/>
    <s v=""/>
    <s v=""/>
    <s v=""/>
    <s v=""/>
    <s v=""/>
    <s v=""/>
    <n v="1"/>
    <s v=""/>
  </r>
  <r>
    <x v="0"/>
    <m/>
    <m/>
    <m/>
    <m/>
    <s v="BERLIN CAROL DR."/>
    <m/>
    <m/>
    <m/>
    <m/>
    <s v="BERLIN CAROL THUYTIEN"/>
    <s v="209 W STATE ST"/>
    <s v="ITHACA"/>
    <s v="NY"/>
    <s v="14850-5429"/>
    <s v="PHYSICIAN"/>
    <s v="M"/>
    <s v="No"/>
    <s v="MMIS"/>
    <s v="NorthRPU"/>
    <s v="P"/>
    <m/>
    <m/>
    <s v="FMA"/>
    <s v="Berlin Carol"/>
    <s v="E0385141"/>
    <s v="No"/>
    <s v="No"/>
    <s v="No"/>
    <s v="No"/>
    <s v="No"/>
    <s v="No"/>
    <s v="No"/>
    <s v="No"/>
    <n v="0"/>
    <s v="No"/>
    <s v="No"/>
    <x v="2"/>
    <s v=""/>
    <s v=""/>
    <s v=""/>
    <s v=""/>
    <s v=""/>
    <s v=""/>
    <s v=""/>
    <s v=""/>
    <s v=""/>
    <s v=""/>
    <n v="1"/>
    <s v=""/>
  </r>
  <r>
    <x v="0"/>
    <m/>
    <m/>
    <m/>
    <m/>
    <s v="BERLIN MICHAEL"/>
    <m/>
    <m/>
    <m/>
    <m/>
    <s v="BERLIN MICHAEL LEON"/>
    <s v="101 DATES DR"/>
    <s v="ITHACA"/>
    <s v="NY"/>
    <s v="14850-1342"/>
    <s v="PHYSICIAN"/>
    <s v="M"/>
    <s v="No"/>
    <s v="MMIS"/>
    <s v="NorthRPU"/>
    <s v="P"/>
    <m/>
    <m/>
    <s v="CMC"/>
    <s v="Berlin Michael"/>
    <s v="E0382548"/>
    <s v="No"/>
    <s v="No"/>
    <s v="No"/>
    <s v="No"/>
    <s v="No"/>
    <s v="No"/>
    <s v="No"/>
    <s v="No"/>
    <n v="1"/>
    <s v="No"/>
    <s v="No"/>
    <x v="2"/>
    <n v="1"/>
    <s v=""/>
    <s v=""/>
    <s v=""/>
    <s v=""/>
    <s v=""/>
    <s v=""/>
    <s v=""/>
    <s v=""/>
    <s v=""/>
    <n v="1"/>
    <s v=""/>
  </r>
  <r>
    <x v="0"/>
    <m/>
    <m/>
    <m/>
    <m/>
    <s v="BERTINI JOHN"/>
    <m/>
    <m/>
    <m/>
    <m/>
    <s v="BERTINI JOHN NICHOLAS"/>
    <s v="800 HOOPER RD"/>
    <s v="ENDWELL"/>
    <s v="NY"/>
    <s v="13760-1560"/>
    <s v="PHYSICIAN"/>
    <s v="M"/>
    <s v="No"/>
    <s v="MMIS"/>
    <s v="SouthRPU"/>
    <s v="P"/>
    <m/>
    <m/>
    <m/>
    <s v=""/>
    <s v="E0335490"/>
    <n v="1"/>
    <n v="1"/>
    <n v="0"/>
    <n v="1"/>
    <n v="1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BERTINI MARIA DR."/>
    <m/>
    <m/>
    <m/>
    <m/>
    <s v="BERTINI MARIA T"/>
    <s v="4417 VESTAL PKWY E"/>
    <s v="VESTAL"/>
    <s v="NY"/>
    <s v="13850-3556"/>
    <s v="PHYSICIAN"/>
    <s v="M"/>
    <s v="No"/>
    <s v="MMIS"/>
    <s v="SouthRPU"/>
    <s v="P"/>
    <m/>
    <m/>
    <m/>
    <s v=""/>
    <s v="E0338647"/>
    <n v="1"/>
    <n v="1"/>
    <n v="0"/>
    <n v="1"/>
    <n v="1"/>
    <n v="0"/>
    <n v="0"/>
    <n v="0"/>
    <n v="1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BERTSCH DAVID DR."/>
    <m/>
    <m/>
    <m/>
    <m/>
    <s v="BERTSCH DAVID J"/>
    <s v="1 GUTHRIE SQ"/>
    <s v="SAYRE"/>
    <s v="PA"/>
    <s v="18840-1625"/>
    <s v="PHYSICIAN"/>
    <s v="M"/>
    <s v="No"/>
    <s v="MMIS"/>
    <s v="SouthRPU"/>
    <s v="P"/>
    <m/>
    <m/>
    <m/>
    <s v=""/>
    <s v="E0311667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GRELLA BETH"/>
    <m/>
    <m/>
    <m/>
    <m/>
    <s v="GRELLA BETH ANN"/>
    <s v="134 HOMER AVE"/>
    <s v="CORTLAND"/>
    <s v="NY"/>
    <s v="13045-1206"/>
    <s v="PHYSICIAN"/>
    <s v="M"/>
    <s v="No"/>
    <s v="MMIS"/>
    <s v="NorthRPU"/>
    <s v="P"/>
    <m/>
    <m/>
    <m/>
    <s v=""/>
    <s v="E0086351"/>
    <n v="1"/>
    <n v="1"/>
    <n v="0"/>
    <n v="0"/>
    <n v="1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KOICKEL BETSY"/>
    <m/>
    <m/>
    <m/>
    <m/>
    <s v="KOICKEL BETSY C"/>
    <s v="1436 BROADWAY"/>
    <s v="HEWLETT"/>
    <s v="NY"/>
    <s v="11557-1405"/>
    <s v="PHYSICIAN"/>
    <s v="M"/>
    <s v="No"/>
    <s v="MMIS"/>
    <s v="SouthRPU"/>
    <s v="P"/>
    <m/>
    <m/>
    <m/>
    <s v=""/>
    <s v="E0339364"/>
    <n v="0"/>
    <n v="0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1"/>
    <m/>
    <m/>
    <m/>
    <m/>
    <s v="BHANDARI JACQUELINE DR."/>
    <m/>
    <m/>
    <m/>
    <m/>
    <s v="BHANDARI JACQUELINE EILEEN JULIUS"/>
    <s v="184 BARTON ST"/>
    <s v="BUFFALO"/>
    <s v="NY"/>
    <s v="14213-1573"/>
    <s v="PHYSICIAN"/>
    <s v="M"/>
    <s v="No"/>
    <s v="MMIS"/>
    <s v="SouthRPU"/>
    <s v="P"/>
    <m/>
    <m/>
    <m/>
    <s v=""/>
    <s v="E0285037"/>
    <n v="1"/>
    <n v="1"/>
    <n v="0"/>
    <n v="1"/>
    <n v="1"/>
    <n v="0"/>
    <n v="0"/>
    <n v="0"/>
    <n v="1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BIDWELL FRANCES"/>
    <m/>
    <m/>
    <m/>
    <m/>
    <s v="BIDWELL FRANCES C NP"/>
    <s v="30 HARRISON ST STE 340"/>
    <s v="JOHNSON CITY"/>
    <s v="NY"/>
    <s v="13790-2176"/>
    <s v="PHYSICIAN"/>
    <s v="M"/>
    <s v="No"/>
    <s v="MMIS"/>
    <s v="SouthRPU"/>
    <s v="P"/>
    <m/>
    <m/>
    <m/>
    <s v=""/>
    <s v="E0067483"/>
    <n v="1"/>
    <n v="1"/>
    <n v="0"/>
    <n v="1"/>
    <n v="1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1"/>
    <m/>
    <m/>
    <m/>
    <m/>
    <s v="BIRMAN GEORGE"/>
    <m/>
    <m/>
    <m/>
    <m/>
    <s v="BIRMAN GEORGE DDS"/>
    <s v="24 GROTON AVE"/>
    <s v="CORTLAND"/>
    <s v="NY"/>
    <s v="13045-2014"/>
    <s v="DENTIST"/>
    <s v="M"/>
    <s v="No"/>
    <s v="MMIS"/>
    <s v="NorthRPU"/>
    <s v="P"/>
    <m/>
    <m/>
    <m/>
    <s v=""/>
    <s v="E0043862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BISHOP LAURA"/>
    <m/>
    <m/>
    <m/>
    <m/>
    <s v="BISHOP LAURA JEAN MD"/>
    <s v="161 RIVERSIDE DR"/>
    <s v="BINGHAMTON"/>
    <s v="NY"/>
    <s v="13905-4178"/>
    <s v="PHYSICIAN"/>
    <s v="M"/>
    <s v="No"/>
    <s v="MMIS"/>
    <s v="SouthRPU"/>
    <s v="P"/>
    <m/>
    <m/>
    <s v="OLOL"/>
    <s v="BISHOP LAURA"/>
    <s v="E0031974"/>
    <s v="No"/>
    <s v="No"/>
    <s v="No"/>
    <s v="No"/>
    <s v="No"/>
    <s v="No"/>
    <s v="No"/>
    <s v="No"/>
    <n v="0"/>
    <s v="No"/>
    <s v="No"/>
    <x v="2"/>
    <n v="1"/>
    <s v=""/>
    <s v=""/>
    <s v=""/>
    <s v=""/>
    <s v=""/>
    <s v=""/>
    <s v=""/>
    <s v=""/>
    <s v=""/>
    <n v="1"/>
    <s v=""/>
  </r>
  <r>
    <x v="0"/>
    <m/>
    <m/>
    <m/>
    <m/>
    <s v="BISTA SUKIRTI"/>
    <m/>
    <m/>
    <m/>
    <m/>
    <s v="BISTA SUKIRTI"/>
    <s v="7 COLONIAL DRIVE"/>
    <s v="TOWANDA"/>
    <s v="PA"/>
    <s v="18848-0004"/>
    <s v="PHYSICIAN"/>
    <s v="M"/>
    <s v="No"/>
    <s v="MMIS"/>
    <s v="SouthRPU"/>
    <s v="P"/>
    <m/>
    <m/>
    <m/>
    <s v=""/>
    <s v="E0336111"/>
    <n v="0"/>
    <n v="0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s v=""/>
    <s v=""/>
  </r>
  <r>
    <x v="0"/>
    <m/>
    <m/>
    <m/>
    <m/>
    <s v="BLEILER BRIAN"/>
    <m/>
    <m/>
    <m/>
    <m/>
    <s v="BLEILER BRIAN EUGENE OD"/>
    <s v="406 E 4TH ST"/>
    <s v="WATKINS GLEN"/>
    <s v="NY"/>
    <s v="14891-1217"/>
    <s v="OPTOMETRIST"/>
    <s v="M"/>
    <s v="No"/>
    <s v="MMIS"/>
    <s v="NorthRPU"/>
    <s v="P"/>
    <m/>
    <m/>
    <m/>
    <s v=""/>
    <s v="E0173204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BLOOD JOSEPH DR."/>
    <m/>
    <m/>
    <m/>
    <m/>
    <s v="BLOOD JOSEPH BELTEN MD     JR"/>
    <s v="GUTHRIE SQUARE"/>
    <s v="SAYRE"/>
    <s v="PA"/>
    <s v="18840"/>
    <s v="PHYSICIAN"/>
    <s v="M"/>
    <s v="No"/>
    <s v="MMIS"/>
    <s v="SouthRPU"/>
    <s v="P"/>
    <m/>
    <m/>
    <m/>
    <s v=""/>
    <s v="E0262637"/>
    <n v="0"/>
    <n v="0"/>
    <n v="0"/>
    <n v="0"/>
    <n v="0"/>
    <n v="0"/>
    <n v="0"/>
    <n v="0"/>
    <n v="0"/>
    <n v="0"/>
    <n v="0"/>
    <x v="2"/>
    <n v="1"/>
    <s v=""/>
    <s v=""/>
    <s v=""/>
    <s v=""/>
    <s v=""/>
    <s v=""/>
    <s v=""/>
    <s v=""/>
    <s v=""/>
    <s v=""/>
    <s v=""/>
  </r>
  <r>
    <x v="0"/>
    <m/>
    <m/>
    <m/>
    <m/>
    <s v="BLOOM FREDERICK DR."/>
    <m/>
    <m/>
    <m/>
    <m/>
    <s v="BLOOM FREDERICK JAMES"/>
    <s v="1 GUTHRIE SQ"/>
    <s v="SAYRE"/>
    <s v="PA"/>
    <s v="18840-1625"/>
    <s v="PHYSICIAN"/>
    <s v="M"/>
    <s v="No"/>
    <s v="MMIS"/>
    <s v="WestRPU"/>
    <s v="P"/>
    <m/>
    <m/>
    <s v="TGC"/>
    <s v="Bloom Frederick"/>
    <s v="E0389981"/>
    <s v="No"/>
    <s v="No"/>
    <s v="No"/>
    <s v="No"/>
    <s v="No"/>
    <s v="No"/>
    <s v="No"/>
    <s v="No"/>
    <n v="0"/>
    <s v="No"/>
    <s v="No"/>
    <x v="1"/>
    <n v="1"/>
    <s v=""/>
    <s v=""/>
    <s v=""/>
    <s v=""/>
    <s v=""/>
    <s v=""/>
    <s v=""/>
    <s v=""/>
    <s v=""/>
    <n v="1"/>
    <s v=""/>
  </r>
  <r>
    <x v="0"/>
    <m/>
    <m/>
    <m/>
    <m/>
    <s v="BOAKYE KWABENA"/>
    <m/>
    <m/>
    <m/>
    <m/>
    <s v="BOAKYE KWABENA"/>
    <s v="5 COLLEGE AVE"/>
    <s v="WINDSOR"/>
    <s v="NY"/>
    <s v="13865-4109"/>
    <s v="PHYSICIAN"/>
    <s v="M"/>
    <s v="No"/>
    <s v="MMIS"/>
    <s v="SouthRPU"/>
    <s v="P"/>
    <m/>
    <m/>
    <s v="UHS"/>
    <s v="BOAKYE KWABENA"/>
    <s v="E0338281"/>
    <s v="No"/>
    <s v="No"/>
    <s v="No"/>
    <s v="No"/>
    <s v="No"/>
    <s v="No"/>
    <s v="No"/>
    <s v="No"/>
    <n v="0"/>
    <s v="No"/>
    <s v="No"/>
    <x v="2"/>
    <s v=""/>
    <s v=""/>
    <s v=""/>
    <s v=""/>
    <s v=""/>
    <s v=""/>
    <s v=""/>
    <s v=""/>
    <s v=""/>
    <s v=""/>
    <n v="1"/>
    <s v=""/>
  </r>
  <r>
    <x v="0"/>
    <m/>
    <m/>
    <m/>
    <m/>
    <s v="BORDENET SIMONE MISS"/>
    <m/>
    <m/>
    <m/>
    <m/>
    <s v="BORDENET SIMONE"/>
    <s v="601 RIVERSIDE DR"/>
    <s v="JOHNSON CITY"/>
    <s v="NY"/>
    <s v="13790-2544"/>
    <s v="PHYSICIAN"/>
    <s v="M"/>
    <s v="No"/>
    <s v="MMIS"/>
    <s v="SouthRPU"/>
    <s v="P"/>
    <m/>
    <m/>
    <m/>
    <s v=""/>
    <s v="E0327097"/>
    <n v="1"/>
    <n v="1"/>
    <n v="0"/>
    <n v="1"/>
    <n v="1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1"/>
    <m/>
    <m/>
    <m/>
    <m/>
    <s v="BORRA MARY"/>
    <m/>
    <m/>
    <m/>
    <m/>
    <s v="BORRA MARY ANN CNM"/>
    <s v="134 HOMER AVE"/>
    <s v="CORTLAND"/>
    <s v="NY"/>
    <s v="13045-1206"/>
    <s v="NURSE"/>
    <s v="M"/>
    <s v="No"/>
    <s v="MMIS"/>
    <s v="NorthRPU"/>
    <s v="P"/>
    <m/>
    <m/>
    <m/>
    <s v=""/>
    <s v="E0083696"/>
    <n v="1"/>
    <n v="1"/>
    <n v="0"/>
    <n v="0"/>
    <n v="1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BOUDREAU WILLIAM"/>
    <m/>
    <m/>
    <m/>
    <m/>
    <s v="BOUDREAU WILLIAM J MD"/>
    <s v="CORTLAND MEM HOSP"/>
    <s v="CORTLAND"/>
    <s v="NY"/>
    <s v="13045"/>
    <s v="PHYSICIAN"/>
    <s v="M"/>
    <s v="No"/>
    <s v="MMIS"/>
    <s v="NorthRPU"/>
    <s v="P"/>
    <m/>
    <m/>
    <m/>
    <s v=""/>
    <s v="E0159245"/>
    <n v="1"/>
    <n v="1"/>
    <n v="0"/>
    <n v="1"/>
    <n v="1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BOUFAL MARGARET"/>
    <m/>
    <m/>
    <m/>
    <m/>
    <s v="BOUFAL MARGARET DO"/>
    <s v="17 E GENESEE ST STE 101"/>
    <s v="AUBURN"/>
    <s v="NY"/>
    <s v="13021-4045"/>
    <s v="PHYSICIAN"/>
    <s v="M"/>
    <s v="No"/>
    <s v="MMIS"/>
    <s v="NorthRPU"/>
    <s v="P"/>
    <m/>
    <m/>
    <s v="CRMC"/>
    <s v="BOUFAL MARGARET"/>
    <s v="E0038159"/>
    <s v="No"/>
    <s v="No"/>
    <s v="No"/>
    <s v="No"/>
    <s v="No"/>
    <s v="No"/>
    <s v="No"/>
    <s v="No"/>
    <n v="0"/>
    <s v="No"/>
    <s v="No"/>
    <x v="1"/>
    <n v="1"/>
    <s v=""/>
    <s v=""/>
    <s v=""/>
    <s v=""/>
    <s v=""/>
    <s v=""/>
    <s v=""/>
    <s v=""/>
    <s v=""/>
    <n v="1"/>
    <s v=""/>
  </r>
  <r>
    <x v="0"/>
    <m/>
    <m/>
    <m/>
    <m/>
    <s v="BOYLE MICHELE DR."/>
    <m/>
    <m/>
    <m/>
    <m/>
    <s v="BOYLE MICHELE              MD"/>
    <m/>
    <s v="BINGHAMTON"/>
    <s v="NY"/>
    <s v="13904-1505"/>
    <s v="PHYSICIAN"/>
    <s v="M"/>
    <s v="No"/>
    <s v="MMIS"/>
    <s v="SouthRPU"/>
    <s v="P"/>
    <m/>
    <m/>
    <m/>
    <s v=""/>
    <s v="E0210358"/>
    <n v="1"/>
    <n v="1"/>
    <n v="0"/>
    <n v="1"/>
    <n v="1"/>
    <n v="1"/>
    <n v="0"/>
    <n v="1"/>
    <n v="0"/>
    <n v="0"/>
    <n v="1"/>
    <x v="2"/>
    <s v=""/>
    <s v=""/>
    <s v=""/>
    <s v=""/>
    <s v=""/>
    <s v=""/>
    <s v=""/>
    <s v=""/>
    <s v=""/>
    <s v=""/>
    <n v="1"/>
    <s v=""/>
  </r>
  <r>
    <x v="0"/>
    <m/>
    <m/>
    <m/>
    <m/>
    <s v="SLOTA BOZENA"/>
    <m/>
    <m/>
    <m/>
    <m/>
    <s v="SLOTA BOZENA"/>
    <s v="33-57 HARRISON ST"/>
    <s v="JOHNSON CITY"/>
    <s v="NY"/>
    <s v="13790-2107"/>
    <s v="PHYSICIAN"/>
    <s v="M"/>
    <s v="No"/>
    <s v="MMIS"/>
    <s v="SouthRPU"/>
    <s v="P"/>
    <m/>
    <m/>
    <m/>
    <s v=""/>
    <s v="E0094445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HART BRADLEY"/>
    <m/>
    <m/>
    <m/>
    <m/>
    <s v="HART BRADLEY"/>
    <s v="65 PENNSYLVANIA AVE"/>
    <s v="BINGHAMTON"/>
    <s v="NY"/>
    <s v="13903-1651"/>
    <s v="PODIATRIST"/>
    <s v="M"/>
    <s v="No"/>
    <s v="MMIS"/>
    <s v="SouthRPU"/>
    <s v="P"/>
    <m/>
    <m/>
    <m/>
    <s v=""/>
    <s v="E0359185"/>
    <n v="1"/>
    <n v="1"/>
    <n v="0"/>
    <n v="1"/>
    <n v="1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BRADSTREET RICHARD DR."/>
    <m/>
    <m/>
    <m/>
    <m/>
    <s v="BRADSTREET RICHARD PERRY"/>
    <s v="GUTHRIE CLINIC LTD"/>
    <s v="SAYRE"/>
    <s v="PA"/>
    <s v="18840"/>
    <s v="PHYSICIAN"/>
    <s v="M"/>
    <s v="No"/>
    <s v="MMIS"/>
    <s v="SouthRPU"/>
    <s v="P"/>
    <m/>
    <m/>
    <m/>
    <s v=""/>
    <s v="E0170188"/>
    <n v="1"/>
    <n v="1"/>
    <n v="0"/>
    <n v="0"/>
    <n v="0"/>
    <n v="0"/>
    <n v="0"/>
    <n v="0"/>
    <n v="0"/>
    <n v="1"/>
    <n v="0"/>
    <x v="1"/>
    <n v="1"/>
    <s v=""/>
    <s v=""/>
    <s v=""/>
    <s v=""/>
    <s v=""/>
    <s v=""/>
    <s v=""/>
    <s v=""/>
    <s v=""/>
    <n v="1"/>
    <s v=""/>
  </r>
  <r>
    <x v="0"/>
    <m/>
    <m/>
    <m/>
    <m/>
    <s v="CARR BRENDA MRS."/>
    <m/>
    <m/>
    <m/>
    <m/>
    <s v="CARR BRENDA LYNN FNP"/>
    <s v="33-57 HARRISON ST"/>
    <s v="JOHNSON CITY"/>
    <s v="NY"/>
    <s v="13790-2107"/>
    <s v="PHYSICIAN"/>
    <s v="M"/>
    <s v="No"/>
    <s v="MMIS"/>
    <s v="SouthRPU"/>
    <s v="P"/>
    <m/>
    <m/>
    <m/>
    <s v=""/>
    <s v="E0338324"/>
    <n v="0"/>
    <n v="0"/>
    <n v="0"/>
    <n v="0"/>
    <n v="0"/>
    <n v="0"/>
    <n v="0"/>
    <n v="0"/>
    <n v="0"/>
    <n v="0"/>
    <n v="0"/>
    <x v="2"/>
    <n v="1"/>
    <s v=""/>
    <s v=""/>
    <s v=""/>
    <s v=""/>
    <s v=""/>
    <s v=""/>
    <s v=""/>
    <s v=""/>
    <s v=""/>
    <s v=""/>
    <s v=""/>
  </r>
  <r>
    <x v="0"/>
    <m/>
    <m/>
    <m/>
    <m/>
    <s v="BRENNAN MARK"/>
    <m/>
    <m/>
    <m/>
    <m/>
    <s v="BRENNAN MARK JOSEPH MD"/>
    <s v="346 GRAND AVE"/>
    <s v="JOHNSON CITY"/>
    <s v="NY"/>
    <s v="13790-2558"/>
    <s v="PHYSICIAN"/>
    <s v="M"/>
    <s v="No"/>
    <s v="MMIS"/>
    <s v="SouthRPU"/>
    <s v="P"/>
    <m/>
    <m/>
    <m/>
    <s v=""/>
    <s v="E0091835"/>
    <n v="1"/>
    <n v="1"/>
    <n v="0"/>
    <n v="1"/>
    <n v="1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LEMBERG BRENT"/>
    <m/>
    <m/>
    <m/>
    <m/>
    <s v="LEMBERG BRENT DAVIS  MD"/>
    <s v="201 DATES DR STE 308"/>
    <s v="ITHACA"/>
    <s v="NY"/>
    <s v="14850-1345"/>
    <s v="PHYSICIAN"/>
    <s v="M"/>
    <s v="No"/>
    <s v="MMIS"/>
    <s v="NorthRPU"/>
    <s v="P"/>
    <m/>
    <m/>
    <m/>
    <s v=""/>
    <s v="E0025714"/>
    <n v="1"/>
    <n v="1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BRERETON JOHN DR."/>
    <m/>
    <m/>
    <m/>
    <m/>
    <s v="BRERETON JOHN              MD"/>
    <s v="MEDICAL ARTS BLDG"/>
    <s v="NORWICH"/>
    <s v="NY"/>
    <s v="13815"/>
    <s v="PHYSICIAN"/>
    <s v="M"/>
    <s v="No"/>
    <s v="MMIS"/>
    <s v="EastRPU"/>
    <s v="P"/>
    <m/>
    <m/>
    <m/>
    <s v=""/>
    <s v="E0241405"/>
    <n v="0"/>
    <n v="0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s v=""/>
    <s v=""/>
  </r>
  <r>
    <x v="1"/>
    <m/>
    <m/>
    <m/>
    <m/>
    <s v="BRESLAU VLADIMIR"/>
    <m/>
    <m/>
    <m/>
    <m/>
    <s v="BRESLAU VLADIMIR F"/>
    <s v="179 N BROAD ST"/>
    <s v="NORWICH"/>
    <s v="NY"/>
    <s v="13815-1019"/>
    <s v="PHYSICIAN"/>
    <s v="M"/>
    <s v="No"/>
    <s v="MMIS"/>
    <s v="EastRPU"/>
    <s v="P"/>
    <m/>
    <m/>
    <m/>
    <s v=""/>
    <s v="E0343843"/>
    <n v="1"/>
    <n v="1"/>
    <n v="0"/>
    <n v="1"/>
    <n v="1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DIETZMAN BRETT"/>
    <m/>
    <m/>
    <m/>
    <m/>
    <s v="DIETZMAN BRETT ANDREW"/>
    <s v="33-57 HARRISON ST"/>
    <s v="JOHNSON CITY"/>
    <s v="NY"/>
    <s v="13790-2107"/>
    <s v="PHYSICIAN"/>
    <s v="M"/>
    <s v="No"/>
    <s v="MMIS"/>
    <s v="SouthRPU"/>
    <s v="P"/>
    <m/>
    <m/>
    <m/>
    <s v=""/>
    <s v="E0297061"/>
    <n v="1"/>
    <n v="1"/>
    <n v="0"/>
    <n v="1"/>
    <n v="1"/>
    <n v="0"/>
    <n v="0"/>
    <n v="1"/>
    <n v="0"/>
    <n v="0"/>
    <n v="1"/>
    <x v="1"/>
    <n v="1"/>
    <s v=""/>
    <s v=""/>
    <s v=""/>
    <s v=""/>
    <s v=""/>
    <s v=""/>
    <s v=""/>
    <s v=""/>
    <s v=""/>
    <n v="1"/>
    <s v=""/>
  </r>
  <r>
    <x v="0"/>
    <m/>
    <m/>
    <m/>
    <m/>
    <s v="YOUNG BRETT"/>
    <m/>
    <m/>
    <m/>
    <m/>
    <s v="YOUNG BRETT HENNERTY"/>
    <s v="1301 TRUMANSBURG RD"/>
    <s v="ITHACA"/>
    <s v="NY"/>
    <s v="14850-1397"/>
    <s v="PHYSICIAN"/>
    <s v="M"/>
    <s v="No"/>
    <s v="MMIS"/>
    <s v="NorthRPU"/>
    <s v="P"/>
    <m/>
    <m/>
    <m/>
    <s v=""/>
    <s v="E0311116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BOLLO BRIAN"/>
    <m/>
    <m/>
    <m/>
    <m/>
    <s v="BOLLO BRIAN PETER"/>
    <s v="65 CROMWELL AVE"/>
    <s v="STATEN ISLAND"/>
    <s v="NY"/>
    <s v="10304-3944"/>
    <s v="PHYSICIAN"/>
    <s v="M"/>
    <s v="No"/>
    <s v="MMIS"/>
    <s v="NorthRPU"/>
    <s v="P"/>
    <m/>
    <m/>
    <m/>
    <s v=""/>
    <s v="E0295974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1"/>
    <m/>
    <m/>
    <m/>
    <m/>
    <s v="BRIDGEWATER CENTER FOR REHABILITATION &amp; NURSING LLC"/>
    <m/>
    <m/>
    <m/>
    <m/>
    <s v="BRIDGEWATER CTR REHAB &amp; NRS LLC"/>
    <s v="159 163 FRONT ST"/>
    <s v="BINGHAMTON"/>
    <s v="NY"/>
    <s v="13905-3103"/>
    <s v="LONG TERM CARE FACILITY"/>
    <s v="M"/>
    <s v="No"/>
    <s v="MMIS"/>
    <s v="SouthRPU"/>
    <s v="P"/>
    <m/>
    <m/>
    <m/>
    <s v=""/>
    <s v="E0268128"/>
    <n v="1"/>
    <n v="0"/>
    <n v="1"/>
    <n v="1"/>
    <n v="1"/>
    <n v="0"/>
    <n v="0"/>
    <n v="0"/>
    <n v="0"/>
    <n v="0"/>
    <n v="0"/>
    <x v="1"/>
    <s v=""/>
    <s v=""/>
    <s v=""/>
    <s v=""/>
    <s v=""/>
    <s v=""/>
    <n v="1"/>
    <s v=""/>
    <s v=""/>
    <s v=""/>
    <n v="1"/>
    <s v=""/>
  </r>
  <r>
    <x v="0"/>
    <m/>
    <m/>
    <m/>
    <m/>
    <s v="BRIGHTMAN JANICE"/>
    <m/>
    <m/>
    <m/>
    <m/>
    <s v="BRIGHTMAN JANICE ADA TORMEY"/>
    <s v="40 NORTH CANAL ST"/>
    <s v="OXFORD"/>
    <s v="NY"/>
    <s v="13830"/>
    <s v="PHYSICIAN"/>
    <s v="M"/>
    <s v="No"/>
    <s v="MMIS"/>
    <s v="EastRPU"/>
    <s v="P"/>
    <m/>
    <m/>
    <m/>
    <s v=""/>
    <s v="E0107396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BRIGHTSEN ANNE MS."/>
    <m/>
    <m/>
    <m/>
    <m/>
    <s v="BRIGHTSEN ANNE"/>
    <s v="3 OHARA DR"/>
    <s v="NORWICH"/>
    <s v="NY"/>
    <s v="13815-2046"/>
    <s v="CLINICAL SOCIAL WORKER (CSW)"/>
    <s v="M"/>
    <s v="No"/>
    <s v="MMIS"/>
    <s v="EastRPU"/>
    <s v="P"/>
    <m/>
    <m/>
    <m/>
    <s v=""/>
    <s v="E0003714"/>
    <n v="0"/>
    <n v="0"/>
    <n v="0"/>
    <n v="0"/>
    <n v="0"/>
    <n v="0"/>
    <n v="0"/>
    <n v="0"/>
    <n v="0"/>
    <n v="0"/>
    <n v="0"/>
    <x v="1"/>
    <n v="1"/>
    <s v=""/>
    <s v=""/>
    <s v=""/>
    <n v="1"/>
    <s v=""/>
    <s v=""/>
    <s v=""/>
    <s v=""/>
    <s v=""/>
    <s v=""/>
    <s v=""/>
  </r>
  <r>
    <x v="0"/>
    <m/>
    <m/>
    <m/>
    <m/>
    <m/>
    <m/>
    <m/>
    <m/>
    <m/>
    <s v="BRIMBERG RONEE"/>
    <s v="35 FRONT ST"/>
    <s v="BINGHAMTON"/>
    <s v="NY"/>
    <s v="13905-4703"/>
    <s v="CLINICAL SOCIAL WORKER (CSW)"/>
    <s v="M"/>
    <s v="No"/>
    <s v="MMIS"/>
    <s v="SouthRPU"/>
    <s v="P"/>
    <m/>
    <m/>
    <m/>
    <s v=""/>
    <s v="E0304424"/>
    <n v="0"/>
    <n v="0"/>
    <n v="0"/>
    <n v="0"/>
    <n v="0"/>
    <n v="0"/>
    <n v="0"/>
    <n v="0"/>
    <n v="0"/>
    <n v="0"/>
    <n v="0"/>
    <x v="1"/>
    <n v="1"/>
    <s v=""/>
    <s v=""/>
    <s v=""/>
    <n v="1"/>
    <s v=""/>
    <s v=""/>
    <s v=""/>
    <s v=""/>
    <s v=""/>
    <s v=""/>
    <s v=""/>
  </r>
  <r>
    <x v="1"/>
    <m/>
    <m/>
    <m/>
    <m/>
    <s v="BROOME COUNTY"/>
    <m/>
    <m/>
    <m/>
    <m/>
    <s v="BROOME CNTY HEALTH DEPT"/>
    <s v="225 FRONT ST"/>
    <s v="BINGHAMTON"/>
    <s v="NY"/>
    <s v="13905-2424"/>
    <s v="DIAGNOSTIC AND TREATMENT CENTER"/>
    <s v="M"/>
    <s v="No"/>
    <s v="MMIS"/>
    <s v="SouthRPU"/>
    <s v="P"/>
    <m/>
    <m/>
    <m/>
    <s v=""/>
    <s v="E0252064"/>
    <n v="0"/>
    <n v="0"/>
    <n v="0"/>
    <n v="0"/>
    <n v="0"/>
    <n v="0"/>
    <n v="0"/>
    <n v="0"/>
    <n v="0"/>
    <n v="0"/>
    <n v="0"/>
    <x v="1"/>
    <s v=""/>
    <s v=""/>
    <n v="1"/>
    <s v=""/>
    <s v=""/>
    <s v=""/>
    <s v=""/>
    <s v=""/>
    <s v=""/>
    <s v=""/>
    <n v="1"/>
    <s v=""/>
  </r>
  <r>
    <x v="0"/>
    <m/>
    <m/>
    <m/>
    <m/>
    <s v="BROOME COUNTY HEALTH DEPARTMENT-EI"/>
    <m/>
    <m/>
    <m/>
    <m/>
    <s v="BROOME COUNTY DEPT OF HLTH"/>
    <s v="CLOSED EFF 100899"/>
    <s v="BINGHAMTON"/>
    <s v="NY"/>
    <s v="13901-2716"/>
    <s v="HOME HEALTH AGENCY"/>
    <s v="M"/>
    <s v="No"/>
    <s v="MMIS"/>
    <s v="SouthRPU"/>
    <s v="P"/>
    <m/>
    <m/>
    <m/>
    <s v=""/>
    <s v="E0252066"/>
    <n v="0"/>
    <n v="0"/>
    <n v="0"/>
    <n v="0"/>
    <n v="0"/>
    <n v="0"/>
    <n v="0"/>
    <n v="0"/>
    <n v="0"/>
    <n v="0"/>
    <n v="0"/>
    <x v="1"/>
    <s v=""/>
    <s v=""/>
    <s v=""/>
    <n v="1"/>
    <s v=""/>
    <s v=""/>
    <s v=""/>
    <s v=""/>
    <s v=""/>
    <s v=""/>
    <s v=""/>
    <s v=""/>
  </r>
  <r>
    <x v="1"/>
    <m/>
    <m/>
    <m/>
    <m/>
    <s v="BROOME COUNTY HEALTH DEPT"/>
    <m/>
    <m/>
    <m/>
    <m/>
    <s v="BROOME CNTY HEALTH DEPT"/>
    <s v="225 FRONT ST"/>
    <s v="BINGHAMTON"/>
    <s v="NY"/>
    <s v="13905-2424"/>
    <s v="DIAGNOSTIC AND TREATMENT CENTER"/>
    <s v="M"/>
    <s v="No"/>
    <s v="MMIS"/>
    <s v="SouthRPU"/>
    <s v="P"/>
    <m/>
    <m/>
    <m/>
    <s v=""/>
    <s v="E0252064"/>
    <n v="0"/>
    <n v="0"/>
    <n v="0"/>
    <n v="0"/>
    <n v="0"/>
    <n v="0"/>
    <n v="0"/>
    <n v="0"/>
    <n v="0"/>
    <n v="0"/>
    <n v="0"/>
    <x v="1"/>
    <s v=""/>
    <s v=""/>
    <n v="1"/>
    <s v=""/>
    <s v=""/>
    <s v=""/>
    <s v=""/>
    <s v=""/>
    <s v=""/>
    <s v=""/>
    <n v="1"/>
    <s v=""/>
  </r>
  <r>
    <x v="0"/>
    <m/>
    <m/>
    <m/>
    <m/>
    <s v="BROOME COUNTY HEALTH DEPARTMENT-PRESCHOOL"/>
    <m/>
    <m/>
    <m/>
    <m/>
    <s v="BROOME CO HLTH DEPT PSSHSP"/>
    <s v="225 FRONT ST"/>
    <s v="BINGHAMTON"/>
    <s v="NY"/>
    <s v="13901-2448"/>
    <s v="DIAGNOSTIC AND TREATMENT CENTER"/>
    <s v="M"/>
    <s v="No"/>
    <s v="MMIS"/>
    <s v="SouthRPU"/>
    <s v="P"/>
    <m/>
    <m/>
    <m/>
    <s v="Broome County Health Department Licensed Home Care Service Agency"/>
    <s v="E0156935"/>
    <s v="No"/>
    <s v="No"/>
    <s v="No"/>
    <s v="No"/>
    <s v="No"/>
    <s v="No"/>
    <s v="No"/>
    <s v="No"/>
    <n v="0"/>
    <s v="No"/>
    <s v="No"/>
    <x v="1"/>
    <s v=""/>
    <s v=""/>
    <s v=""/>
    <s v=""/>
    <s v=""/>
    <s v=""/>
    <s v=""/>
    <s v=""/>
    <s v=""/>
    <s v=""/>
    <s v=""/>
    <n v="1"/>
  </r>
  <r>
    <x v="0"/>
    <m/>
    <m/>
    <m/>
    <m/>
    <s v="BROOME COUNTY HEALTH DEPARTMENT-LHCSA"/>
    <s v="225 FRONT ST."/>
    <s v="BINGHAMTON"/>
    <s v="NY"/>
    <s v="139052424"/>
    <m/>
    <m/>
    <m/>
    <m/>
    <m/>
    <m/>
    <s v="M"/>
    <s v="No"/>
    <s v="NPI only"/>
    <s v="SouthRPU"/>
    <s v="P"/>
    <m/>
    <m/>
    <m/>
    <s v="Broome County Health Department Licensed Home Care Service Agency"/>
    <m/>
    <s v="No"/>
    <s v="No"/>
    <s v="No"/>
    <s v="No"/>
    <s v="No"/>
    <s v="No"/>
    <s v="No"/>
    <s v="No"/>
    <n v="0"/>
    <s v="No"/>
    <s v="No"/>
    <x v="1"/>
    <s v=""/>
    <s v=""/>
    <s v=""/>
    <s v=""/>
    <s v=""/>
    <s v=""/>
    <s v=""/>
    <s v=""/>
    <s v=""/>
    <s v=""/>
    <s v=""/>
    <n v="1"/>
  </r>
  <r>
    <x v="1"/>
    <m/>
    <m/>
    <m/>
    <m/>
    <s v="BROOME COUNTY MENTAL HEALTH DEPARTMENT"/>
    <m/>
    <m/>
    <m/>
    <m/>
    <s v="BROOME CTY COMM MNTL HLTH SVC"/>
    <s v="CHLD/ADULT CL"/>
    <s v="BINGHAMTON"/>
    <s v="NY"/>
    <s v="13901-2756"/>
    <s v="DIAGNOSTIC AND TREATMENT CENTER"/>
    <s v="M"/>
    <s v="No"/>
    <s v="MMIS"/>
    <s v="SouthRPU"/>
    <s v="P"/>
    <m/>
    <m/>
    <m/>
    <s v=""/>
    <s v="E0241554"/>
    <n v="0"/>
    <n v="0"/>
    <n v="0"/>
    <n v="0"/>
    <n v="0"/>
    <n v="0"/>
    <n v="0"/>
    <n v="0"/>
    <n v="0"/>
    <n v="0"/>
    <n v="0"/>
    <x v="1"/>
    <s v=""/>
    <s v=""/>
    <s v=""/>
    <s v=""/>
    <n v="1"/>
    <s v=""/>
    <s v=""/>
    <s v=""/>
    <s v=""/>
    <s v=""/>
    <n v="1"/>
    <s v=""/>
  </r>
  <r>
    <x v="0"/>
    <m/>
    <m/>
    <m/>
    <m/>
    <s v="BROOME COUNTY OFFICE FOR AGING"/>
    <s v="60 HAWLEY ST"/>
    <s v="BINGHAMTON"/>
    <s v="NY"/>
    <s v="139013708"/>
    <m/>
    <m/>
    <m/>
    <m/>
    <m/>
    <m/>
    <s v="M"/>
    <s v="No"/>
    <s v="NPI only"/>
    <s v="SouthRPU"/>
    <s v="P"/>
    <m/>
    <m/>
    <m/>
    <m/>
    <s v="BROOME COUNTY OFFICE FOR AGING"/>
    <n v="1"/>
    <s v="No"/>
    <s v="No"/>
    <s v="No"/>
    <s v="No"/>
    <s v="No"/>
    <s v="No"/>
    <s v="No"/>
    <n v="0"/>
    <s v="No"/>
    <s v="No"/>
    <x v="1"/>
    <s v=""/>
    <s v=""/>
    <s v=""/>
    <s v=""/>
    <s v=""/>
    <s v=""/>
    <s v=""/>
    <s v=""/>
    <s v=""/>
    <s v=""/>
    <s v=""/>
    <n v="1"/>
  </r>
  <r>
    <x v="1"/>
    <m/>
    <m/>
    <m/>
    <m/>
    <m/>
    <m/>
    <m/>
    <m/>
    <m/>
    <s v="BROOME-TIOGA CO CHAP NYSARC DAY"/>
    <s v="GROUP DAY HAB"/>
    <s v="BINGHAMTON"/>
    <s v="NY"/>
    <s v="13905-1564"/>
    <s v="HOME HEALTH AGENCY"/>
    <s v="M"/>
    <s v="No"/>
    <s v="MMIS"/>
    <s v="SouthRPU"/>
    <s v="P"/>
    <m/>
    <m/>
    <m/>
    <s v=""/>
    <s v="E0030926"/>
    <n v="0"/>
    <n v="0"/>
    <n v="0"/>
    <n v="0"/>
    <n v="0"/>
    <n v="0"/>
    <n v="0"/>
    <n v="0"/>
    <n v="0"/>
    <n v="0"/>
    <n v="0"/>
    <x v="1"/>
    <s v=""/>
    <s v=""/>
    <s v=""/>
    <s v=""/>
    <s v=""/>
    <s v=""/>
    <s v=""/>
    <s v=""/>
    <s v=""/>
    <s v=""/>
    <n v="1"/>
    <s v=""/>
  </r>
  <r>
    <x v="0"/>
    <m/>
    <m/>
    <m/>
    <m/>
    <s v="BROWN DANIEL DR."/>
    <m/>
    <m/>
    <m/>
    <m/>
    <s v="BROWN DANIEL JOSEPH"/>
    <s v="GUTHRIE CLINIC LTD"/>
    <s v="SAYRE"/>
    <s v="PA"/>
    <s v="18840"/>
    <s v="PHYSICIAN"/>
    <s v="M"/>
    <s v="No"/>
    <s v="MMIS"/>
    <s v="SouthRPU"/>
    <s v="P"/>
    <m/>
    <m/>
    <m/>
    <s v=""/>
    <s v="E0185908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BROWN DEBRA"/>
    <m/>
    <m/>
    <m/>
    <m/>
    <s v="BROWN DEBRA"/>
    <s v="217 JEFFERSON AVE"/>
    <s v="ENDICOTT"/>
    <s v="NY"/>
    <s v="13760-5244"/>
    <s v="CLINICAL SOCIAL WORKER (CSW)"/>
    <s v="M"/>
    <s v="No"/>
    <s v="MMIS"/>
    <s v="SouthRPU"/>
    <s v="P"/>
    <m/>
    <m/>
    <m/>
    <s v=""/>
    <s v="E0348018"/>
    <n v="0"/>
    <n v="0"/>
    <n v="0"/>
    <n v="0"/>
    <n v="0"/>
    <n v="0"/>
    <n v="0"/>
    <n v="0"/>
    <n v="0"/>
    <n v="0"/>
    <n v="0"/>
    <x v="1"/>
    <n v="1"/>
    <s v=""/>
    <s v=""/>
    <s v=""/>
    <n v="1"/>
    <s v=""/>
    <s v=""/>
    <s v=""/>
    <s v=""/>
    <s v=""/>
    <s v=""/>
    <s v=""/>
  </r>
  <r>
    <x v="0"/>
    <m/>
    <m/>
    <m/>
    <m/>
    <s v="BROWN DERYCK DR."/>
    <m/>
    <m/>
    <m/>
    <m/>
    <s v="BROWN DERYCK WINSTON MD"/>
    <s v="PO BOX 417"/>
    <s v="DUSHORE"/>
    <s v="PA"/>
    <s v="18614-0417"/>
    <s v="PHYSICIAN"/>
    <s v="M"/>
    <s v="No"/>
    <s v="MMIS"/>
    <s v="SouthRPU"/>
    <s v="P"/>
    <m/>
    <m/>
    <m/>
    <s v=""/>
    <s v="E0113964"/>
    <n v="1"/>
    <n v="1"/>
    <n v="0"/>
    <n v="0"/>
    <n v="0"/>
    <n v="0"/>
    <n v="0"/>
    <n v="0"/>
    <n v="0"/>
    <n v="1"/>
    <n v="0"/>
    <x v="1"/>
    <n v="1"/>
    <s v=""/>
    <s v=""/>
    <s v=""/>
    <s v=""/>
    <s v=""/>
    <s v=""/>
    <s v=""/>
    <s v=""/>
    <s v=""/>
    <n v="1"/>
    <s v=""/>
  </r>
  <r>
    <x v="0"/>
    <m/>
    <m/>
    <m/>
    <m/>
    <s v="BROZOVIC BARBARA"/>
    <m/>
    <m/>
    <m/>
    <m/>
    <s v="BROZOVIC BARBARA H"/>
    <s v="159 FRONT ST"/>
    <s v="BINGHAMTON"/>
    <s v="NY"/>
    <s v="13905-3103"/>
    <s v="PHYSICIAN"/>
    <s v="M"/>
    <s v="No"/>
    <s v="MMIS"/>
    <s v="SouthRPU"/>
    <s v="P"/>
    <m/>
    <m/>
    <m/>
    <s v=""/>
    <s v="E0067467"/>
    <n v="0"/>
    <n v="0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s v=""/>
    <s v=""/>
  </r>
  <r>
    <x v="0"/>
    <m/>
    <m/>
    <m/>
    <m/>
    <s v="BRUNT JOSEPH MR."/>
    <m/>
    <m/>
    <m/>
    <m/>
    <s v="BRUNT JOSEPH FRANCIS"/>
    <s v="303 MAIN ST"/>
    <s v="BINGHAMTON"/>
    <s v="NY"/>
    <s v="13905-2539"/>
    <s v="PHYSICIAN"/>
    <s v="M"/>
    <s v="No"/>
    <s v="MMIS"/>
    <s v="SouthRPU"/>
    <s v="P"/>
    <m/>
    <m/>
    <m/>
    <s v=""/>
    <s v="E0049784"/>
    <n v="1"/>
    <n v="1"/>
    <n v="0"/>
    <n v="1"/>
    <n v="1"/>
    <n v="0"/>
    <n v="0"/>
    <n v="1"/>
    <n v="0"/>
    <n v="0"/>
    <n v="1"/>
    <x v="1"/>
    <n v="1"/>
    <s v=""/>
    <s v=""/>
    <s v=""/>
    <s v=""/>
    <s v=""/>
    <s v=""/>
    <s v=""/>
    <s v=""/>
    <s v=""/>
    <n v="1"/>
    <s v=""/>
  </r>
  <r>
    <x v="0"/>
    <m/>
    <m/>
    <m/>
    <m/>
    <s v="BURKE BRYAN"/>
    <m/>
    <m/>
    <m/>
    <m/>
    <s v="BURKE BRYAN MATTHEW"/>
    <s v="65 PENNSYLVANIA AVE"/>
    <s v="BINGHAMTON"/>
    <s v="NY"/>
    <s v="13903-1651"/>
    <s v="PHYSICIAN"/>
    <s v="M"/>
    <s v="No"/>
    <s v="MMIS"/>
    <s v="SouthRPU"/>
    <s v="P"/>
    <m/>
    <m/>
    <m/>
    <s v=""/>
    <s v="E0314738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POWELL BRYAN"/>
    <m/>
    <m/>
    <m/>
    <m/>
    <s v="POWELL BRYAN HENRY"/>
    <m/>
    <m/>
    <m/>
    <m/>
    <s v="PHYSICIAN"/>
    <s v="M"/>
    <s v="No"/>
    <s v="MMIS"/>
    <s v="NorthRPU"/>
    <s v="P"/>
    <m/>
    <m/>
    <m/>
    <s v="Bryan Powell"/>
    <s v="E0450313"/>
    <s v="No"/>
    <s v="No"/>
    <s v="No"/>
    <s v="No"/>
    <s v="No"/>
    <s v="No"/>
    <s v="No"/>
    <s v="No"/>
    <n v="0"/>
    <s v="No"/>
    <s v="No"/>
    <x v="1"/>
    <n v="1"/>
    <s v=""/>
    <s v=""/>
    <s v=""/>
    <s v=""/>
    <s v=""/>
    <s v=""/>
    <s v=""/>
    <s v=""/>
    <s v=""/>
    <s v=""/>
    <s v=""/>
  </r>
  <r>
    <x v="1"/>
    <m/>
    <m/>
    <m/>
    <m/>
    <s v="BUFFALO BEACON CORPORATION"/>
    <m/>
    <m/>
    <m/>
    <m/>
    <s v="BUFFALO BEACON CORP"/>
    <s v="# 09/01/02"/>
    <s v="AMHERST"/>
    <s v="NY"/>
    <s v="14226-1900"/>
    <s v="DIAGNOSTIC AND TREATMENT CENTER"/>
    <s v="M"/>
    <s v="No"/>
    <s v="MMIS"/>
    <s v="NorthRPU"/>
    <s v="P"/>
    <m/>
    <m/>
    <m/>
    <s v=""/>
    <s v="E0181566"/>
    <n v="1"/>
    <s v="No"/>
    <s v="No"/>
    <s v="No"/>
    <n v="1"/>
    <n v="1"/>
    <s v="No"/>
    <s v="No"/>
    <n v="0"/>
    <s v="No"/>
    <s v="No"/>
    <x v="1"/>
    <s v=""/>
    <s v=""/>
    <s v=""/>
    <s v=""/>
    <s v=""/>
    <n v="1"/>
    <s v=""/>
    <s v=""/>
    <s v=""/>
    <s v=""/>
    <n v="1"/>
    <s v=""/>
  </r>
  <r>
    <x v="0"/>
    <m/>
    <m/>
    <m/>
    <m/>
    <s v="BUMP HANS MR."/>
    <s v="823 STATE ROUTE 13"/>
    <s v="CORTLAND"/>
    <s v="NY"/>
    <s v="130458729"/>
    <m/>
    <m/>
    <m/>
    <m/>
    <m/>
    <m/>
    <s v="M"/>
    <s v="No"/>
    <s v="NPI only"/>
    <s v="EastRPU"/>
    <s v="P"/>
    <m/>
    <m/>
    <m/>
    <s v="BUMP HANS MR."/>
    <m/>
    <s v="No"/>
    <s v="No"/>
    <s v="No"/>
    <s v="No"/>
    <s v="No"/>
    <s v="No"/>
    <s v="No"/>
    <s v="No"/>
    <n v="0"/>
    <s v="No"/>
    <s v="No"/>
    <x v="1"/>
    <n v="1"/>
    <s v=""/>
    <s v=""/>
    <s v=""/>
    <s v=""/>
    <s v=""/>
    <s v=""/>
    <s v=""/>
    <s v=""/>
    <s v=""/>
    <s v=""/>
    <s v=""/>
  </r>
  <r>
    <x v="0"/>
    <m/>
    <m/>
    <m/>
    <m/>
    <s v="BURFORD CAITLYN DR."/>
    <m/>
    <m/>
    <m/>
    <m/>
    <s v="BURFORD CAITLYN E"/>
    <s v="415 HOOPER RD"/>
    <s v="ENDWELL"/>
    <s v="NY"/>
    <s v="13760-3646"/>
    <s v="PHYSICIAN"/>
    <s v="M"/>
    <s v="No"/>
    <s v="MMIS"/>
    <s v="SouthRPU"/>
    <s v="P"/>
    <m/>
    <m/>
    <m/>
    <s v="BURFORD CAITLYN DR."/>
    <s v="E0385659"/>
    <s v="No"/>
    <s v="No"/>
    <s v="No"/>
    <s v="No"/>
    <s v="No"/>
    <s v="No"/>
    <s v="No"/>
    <s v="No"/>
    <n v="0"/>
    <s v="No"/>
    <s v="No"/>
    <x v="2"/>
    <s v=""/>
    <s v=""/>
    <s v=""/>
    <s v=""/>
    <s v=""/>
    <s v=""/>
    <s v=""/>
    <s v=""/>
    <s v=""/>
    <s v=""/>
    <n v="1"/>
    <s v=""/>
  </r>
  <r>
    <x v="0"/>
    <m/>
    <m/>
    <m/>
    <m/>
    <s v="BURGER TAMARA"/>
    <m/>
    <m/>
    <m/>
    <m/>
    <s v="BURGER TAMARA CNM"/>
    <s v="PERINATAL CENTER"/>
    <s v="JOHNSON CITY"/>
    <s v="NY"/>
    <s v="13790-2107"/>
    <s v="NURSE"/>
    <s v="M"/>
    <s v="No"/>
    <s v="MMIS"/>
    <s v="SouthRPU"/>
    <s v="P"/>
    <m/>
    <m/>
    <m/>
    <s v=""/>
    <s v="E0061911"/>
    <n v="0"/>
    <n v="0"/>
    <n v="0"/>
    <n v="0"/>
    <n v="0"/>
    <n v="0"/>
    <n v="0"/>
    <n v="0"/>
    <n v="0"/>
    <n v="0"/>
    <n v="0"/>
    <x v="2"/>
    <n v="1"/>
    <s v=""/>
    <s v=""/>
    <s v=""/>
    <s v=""/>
    <s v=""/>
    <s v=""/>
    <s v=""/>
    <s v=""/>
    <s v=""/>
    <n v="1"/>
    <s v=""/>
  </r>
  <r>
    <x v="0"/>
    <m/>
    <m/>
    <m/>
    <m/>
    <s v="BURKE PATRICIA"/>
    <m/>
    <m/>
    <m/>
    <m/>
    <s v="BURKE PATRICIA YVONNE MD"/>
    <s v="CHENANGO MEM HOSP"/>
    <s v="NORWICH"/>
    <s v="NY"/>
    <s v="13815-1097"/>
    <s v="PHYSICIAN"/>
    <s v="M"/>
    <s v="No"/>
    <s v="MMIS"/>
    <s v="EastRPU"/>
    <s v="P"/>
    <m/>
    <m/>
    <m/>
    <s v="BURKE PATRICIA"/>
    <s v="E0117681"/>
    <s v="No"/>
    <s v="No"/>
    <s v="No"/>
    <s v="No"/>
    <s v="No"/>
    <s v="No"/>
    <s v="No"/>
    <s v="No"/>
    <n v="0"/>
    <s v="No"/>
    <s v="No"/>
    <x v="1"/>
    <s v=""/>
    <s v=""/>
    <s v=""/>
    <s v=""/>
    <s v=""/>
    <s v=""/>
    <s v=""/>
    <s v=""/>
    <s v=""/>
    <s v=""/>
    <s v=""/>
    <n v="1"/>
  </r>
  <r>
    <x v="0"/>
    <m/>
    <m/>
    <m/>
    <m/>
    <s v="BURKERT ERICA MS."/>
    <m/>
    <m/>
    <m/>
    <m/>
    <s v="BURKERT ERICA ZILLES"/>
    <s v="500 5TH AVE"/>
    <s v="OWEGO"/>
    <s v="NY"/>
    <s v="13827-1620"/>
    <s v="PHYSICIAN"/>
    <s v="M"/>
    <s v="No"/>
    <s v="MMIS"/>
    <s v="SouthRPU"/>
    <s v="P"/>
    <m/>
    <m/>
    <m/>
    <s v=""/>
    <s v="E0022611"/>
    <n v="1"/>
    <n v="1"/>
    <n v="0"/>
    <n v="1"/>
    <n v="1"/>
    <n v="0"/>
    <n v="0"/>
    <n v="0"/>
    <n v="0"/>
    <n v="0"/>
    <n v="0"/>
    <x v="2"/>
    <n v="1"/>
    <s v=""/>
    <s v=""/>
    <s v=""/>
    <s v=""/>
    <s v=""/>
    <s v=""/>
    <s v=""/>
    <s v=""/>
    <s v=""/>
    <n v="1"/>
    <s v=""/>
  </r>
  <r>
    <x v="0"/>
    <m/>
    <m/>
    <m/>
    <m/>
    <s v="BURKETT RUSSELL"/>
    <m/>
    <m/>
    <m/>
    <m/>
    <s v="BURKETT RUSSELL EPHRAIM DO"/>
    <s v="GUTHRIE SQUARE"/>
    <s v="SAYRE"/>
    <s v="PA"/>
    <s v="18840-2105"/>
    <s v="PHYSICIAN"/>
    <s v="M"/>
    <s v="No"/>
    <s v="MMIS"/>
    <s v="SouthRPU"/>
    <s v="P"/>
    <m/>
    <m/>
    <m/>
    <s v=""/>
    <s v="E0031407"/>
    <n v="1"/>
    <n v="1"/>
    <n v="0"/>
    <n v="0"/>
    <n v="0"/>
    <n v="0"/>
    <n v="0"/>
    <n v="0"/>
    <n v="0"/>
    <n v="1"/>
    <n v="0"/>
    <x v="1"/>
    <n v="1"/>
    <s v=""/>
    <s v=""/>
    <s v=""/>
    <s v=""/>
    <s v=""/>
    <s v=""/>
    <s v=""/>
    <s v=""/>
    <s v=""/>
    <s v=""/>
    <s v=""/>
  </r>
  <r>
    <x v="0"/>
    <m/>
    <m/>
    <m/>
    <m/>
    <s v="BURPEE CHARLES"/>
    <m/>
    <m/>
    <m/>
    <m/>
    <s v="BURPEE CHARLES ALAN"/>
    <s v="91 CHENANGO BRIDGE RD"/>
    <s v="BINGHAMTON"/>
    <s v="NY"/>
    <s v="13901-1293"/>
    <s v="THERAPIST"/>
    <s v="M"/>
    <s v="No"/>
    <s v="MMIS"/>
    <s v="SouthRPU"/>
    <s v="P"/>
    <m/>
    <m/>
    <m/>
    <s v=""/>
    <s v="E0027167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BUTT SALEHA DR."/>
    <m/>
    <m/>
    <m/>
    <m/>
    <s v="BUTT SALEHA ASIL"/>
    <s v="161 RIVERSIDE DR STE 306"/>
    <s v="BINGHAMTON"/>
    <s v="NY"/>
    <s v="13905-4197"/>
    <s v="PHYSICIAN"/>
    <s v="M"/>
    <s v="No"/>
    <s v="MMIS"/>
    <s v="SouthRPU"/>
    <s v="P"/>
    <m/>
    <m/>
    <m/>
    <s v="BUTT SALEHA DR."/>
    <s v="E0363932"/>
    <s v="No"/>
    <s v="No"/>
    <s v="No"/>
    <s v="No"/>
    <s v="No"/>
    <s v="No"/>
    <s v="No"/>
    <s v="No"/>
    <n v="0"/>
    <s v="No"/>
    <s v="No"/>
    <x v="2"/>
    <s v=""/>
    <s v=""/>
    <s v=""/>
    <s v=""/>
    <s v=""/>
    <s v=""/>
    <s v=""/>
    <s v=""/>
    <s v=""/>
    <s v=""/>
    <n v="1"/>
    <s v=""/>
  </r>
  <r>
    <x v="0"/>
    <m/>
    <m/>
    <m/>
    <m/>
    <s v="BUTTON SUE"/>
    <m/>
    <m/>
    <m/>
    <m/>
    <s v="BUTTON SUE ELLEN"/>
    <s v="179 N BROAD ST"/>
    <s v="NORWICH"/>
    <s v="NY"/>
    <s v="13815-1019"/>
    <s v="PHYSICIAN"/>
    <s v="M"/>
    <s v="No"/>
    <s v="MMIS"/>
    <s v="EastRPU"/>
    <s v="P"/>
    <m/>
    <m/>
    <m/>
    <s v=""/>
    <s v="E0314785"/>
    <n v="1"/>
    <n v="1"/>
    <n v="0"/>
    <n v="1"/>
    <n v="1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KILGORE CARL"/>
    <m/>
    <m/>
    <m/>
    <m/>
    <s v="KILGORE CARL JUDSON"/>
    <s v="1229 TRUMANSBURG RD"/>
    <s v="ITHACA"/>
    <s v="NY"/>
    <s v="14850-1313"/>
    <s v="PHYSICIAN"/>
    <s v="M"/>
    <s v="No"/>
    <s v="MMIS"/>
    <s v="NorthRPU"/>
    <s v="P"/>
    <m/>
    <m/>
    <m/>
    <s v=""/>
    <s v="E0257590"/>
    <n v="1"/>
    <n v="1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CAGIR BURT DR."/>
    <m/>
    <m/>
    <m/>
    <m/>
    <s v="CAGIR BURT"/>
    <m/>
    <s v="CORNING"/>
    <s v="NY"/>
    <s v="14830-2287"/>
    <s v="PHYSICIAN"/>
    <s v="M"/>
    <s v="No"/>
    <s v="MMIS"/>
    <s v="WestRPU"/>
    <s v="P"/>
    <m/>
    <m/>
    <m/>
    <s v=""/>
    <s v="E0084874"/>
    <n v="1"/>
    <n v="1"/>
    <n v="0"/>
    <n v="0"/>
    <n v="0"/>
    <n v="0"/>
    <n v="0"/>
    <n v="0"/>
    <n v="0"/>
    <n v="1"/>
    <n v="0"/>
    <x v="1"/>
    <n v="1"/>
    <s v=""/>
    <s v=""/>
    <s v=""/>
    <s v=""/>
    <s v=""/>
    <s v=""/>
    <s v=""/>
    <s v=""/>
    <s v=""/>
    <n v="1"/>
    <s v=""/>
  </r>
  <r>
    <x v="0"/>
    <m/>
    <m/>
    <m/>
    <m/>
    <s v="CAHILL WILLIAM"/>
    <m/>
    <m/>
    <m/>
    <m/>
    <s v="CAHILL WILLIAM R"/>
    <s v="4401 VESTAL PKWY E"/>
    <s v="VESTAL"/>
    <s v="NY"/>
    <s v="13850-3514"/>
    <s v="THERAPIST"/>
    <s v="M"/>
    <s v="No"/>
    <s v="MMIS"/>
    <s v="SouthRPU"/>
    <s v="P"/>
    <m/>
    <m/>
    <m/>
    <s v="CAHILL WILLIAM"/>
    <s v="E0069156"/>
    <s v="No"/>
    <s v="No"/>
    <s v="No"/>
    <s v="No"/>
    <s v="No"/>
    <s v="No"/>
    <s v="No"/>
    <s v="No"/>
    <n v="0"/>
    <s v="No"/>
    <s v="No"/>
    <x v="1"/>
    <n v="1"/>
    <s v=""/>
    <s v=""/>
    <s v=""/>
    <s v=""/>
    <s v=""/>
    <s v=""/>
    <s v=""/>
    <s v=""/>
    <s v=""/>
    <s v=""/>
    <s v=""/>
  </r>
  <r>
    <x v="1"/>
    <m/>
    <m/>
    <m/>
    <m/>
    <s v="CAI DOVE"/>
    <m/>
    <m/>
    <m/>
    <m/>
    <s v="CAI DOVE"/>
    <s v="2 TITUS PL"/>
    <s v="WALTON"/>
    <s v="NY"/>
    <s v="13856-1455"/>
    <s v="PHYSICIAN"/>
    <s v="M"/>
    <s v="No"/>
    <s v="MMIS"/>
    <s v="EastRPU"/>
    <s v="P"/>
    <m/>
    <m/>
    <m/>
    <s v=""/>
    <s v="E0322594"/>
    <n v="0"/>
    <n v="0"/>
    <n v="0"/>
    <n v="0"/>
    <n v="0"/>
    <n v="0"/>
    <n v="0"/>
    <n v="0"/>
    <n v="0"/>
    <n v="0"/>
    <n v="0"/>
    <x v="2"/>
    <n v="1"/>
    <s v=""/>
    <s v=""/>
    <s v=""/>
    <s v=""/>
    <s v=""/>
    <s v=""/>
    <s v=""/>
    <s v=""/>
    <s v=""/>
    <n v="1"/>
    <s v=""/>
  </r>
  <r>
    <x v="0"/>
    <m/>
    <m/>
    <m/>
    <m/>
    <s v="ARNONE CAITLIN"/>
    <m/>
    <m/>
    <m/>
    <m/>
    <s v="WRIGHT CAITLIN MARIE"/>
    <s v="220 STEUBEN ST"/>
    <s v="MONTOUR FALLS"/>
    <s v="NY"/>
    <s v="14865-9740"/>
    <s v="PHYSICIAN"/>
    <s v="M"/>
    <s v="No"/>
    <s v="MMIS"/>
    <s v="NorthRPU"/>
    <s v="P"/>
    <m/>
    <m/>
    <m/>
    <s v=""/>
    <s v="E0370479"/>
    <n v="0"/>
    <n v="0"/>
    <n v="0"/>
    <n v="0"/>
    <n v="0"/>
    <n v="0"/>
    <n v="0"/>
    <n v="0"/>
    <n v="0"/>
    <n v="0"/>
    <n v="0"/>
    <x v="2"/>
    <n v="1"/>
    <s v=""/>
    <s v=""/>
    <s v=""/>
    <s v=""/>
    <s v=""/>
    <s v=""/>
    <s v=""/>
    <s v=""/>
    <s v=""/>
    <s v=""/>
    <s v=""/>
  </r>
  <r>
    <x v="0"/>
    <m/>
    <m/>
    <m/>
    <m/>
    <s v="CALLEO JENNY"/>
    <m/>
    <m/>
    <m/>
    <m/>
    <s v="CALLEO JENNY LYNN"/>
    <s v="54 MAIN ST"/>
    <s v="CANDOR"/>
    <s v="NY"/>
    <s v="13743-1617"/>
    <s v="PHYSICIAN"/>
    <s v="M"/>
    <s v="No"/>
    <s v="MMIS"/>
    <s v="SouthRPU"/>
    <s v="P"/>
    <m/>
    <m/>
    <m/>
    <s v="Calleo Jenny"/>
    <s v="E0419494"/>
    <s v="No"/>
    <s v="No"/>
    <s v="No"/>
    <s v="No"/>
    <s v="No"/>
    <s v="No"/>
    <s v="No"/>
    <s v="No"/>
    <n v="1"/>
    <s v="No"/>
    <s v="No"/>
    <x v="2"/>
    <s v=""/>
    <s v=""/>
    <s v=""/>
    <s v=""/>
    <s v=""/>
    <s v=""/>
    <s v=""/>
    <s v=""/>
    <s v=""/>
    <s v=""/>
    <n v="1"/>
    <s v=""/>
  </r>
  <r>
    <x v="0"/>
    <m/>
    <m/>
    <m/>
    <m/>
    <s v="CAMPBELL ADAM"/>
    <m/>
    <m/>
    <m/>
    <m/>
    <s v="CAMPBELL ADAM T RPA"/>
    <s v="33-57 HARRISON ST"/>
    <s v="JOHNSON CITY"/>
    <s v="NY"/>
    <s v="13790-2107"/>
    <s v="PHYSICIAN"/>
    <s v="M"/>
    <s v="No"/>
    <s v="MMIS"/>
    <s v="SouthRPU"/>
    <s v="P"/>
    <m/>
    <m/>
    <m/>
    <s v=""/>
    <s v="E0288589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OLIVER CANDICE DR."/>
    <m/>
    <m/>
    <m/>
    <m/>
    <s v="OLIVER CANDICE M"/>
    <s v="101 DATES DR"/>
    <s v="ITHACA"/>
    <s v="NY"/>
    <s v="14850-1342"/>
    <s v="PHYSICIAN"/>
    <s v="M"/>
    <s v="No"/>
    <s v="MMIS"/>
    <s v="NorthRPU"/>
    <s v="P"/>
    <m/>
    <m/>
    <m/>
    <s v=""/>
    <s v="E0320720"/>
    <n v="1"/>
    <n v="1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1"/>
    <m/>
    <m/>
    <m/>
    <m/>
    <s v="CANNARIATO CATHERINE DR."/>
    <m/>
    <m/>
    <m/>
    <m/>
    <s v="CANNARIATO CATHERINE J"/>
    <s v="1780 HANSHAW RD"/>
    <s v="ITHACA"/>
    <s v="NY"/>
    <s v="14850-9105"/>
    <s v="PHYSICIAN"/>
    <s v="M"/>
    <s v="No"/>
    <s v="MMIS"/>
    <s v="WestRPU"/>
    <s v="P"/>
    <m/>
    <m/>
    <m/>
    <s v="Cannariato Catherine"/>
    <s v="E0158196"/>
    <s v="No"/>
    <s v="No"/>
    <s v="No"/>
    <s v="No"/>
    <s v="No"/>
    <s v="No"/>
    <s v="No"/>
    <s v="No"/>
    <n v="0"/>
    <s v="No"/>
    <s v="No"/>
    <x v="2"/>
    <s v=""/>
    <s v=""/>
    <s v=""/>
    <s v=""/>
    <s v=""/>
    <s v=""/>
    <s v=""/>
    <s v=""/>
    <s v=""/>
    <s v=""/>
    <n v="1"/>
    <s v=""/>
  </r>
  <r>
    <x v="0"/>
    <m/>
    <m/>
    <m/>
    <m/>
    <s v="CANNON KATHLEEN"/>
    <m/>
    <m/>
    <m/>
    <m/>
    <s v="CANNON KATHLEEN ANN"/>
    <s v="179 N BROAD ST"/>
    <s v="NORWICH"/>
    <s v="NY"/>
    <s v="13815-1019"/>
    <s v="PHYSICIAN"/>
    <s v="M"/>
    <s v="No"/>
    <s v="MMIS"/>
    <s v="EastRPU"/>
    <s v="P"/>
    <m/>
    <m/>
    <m/>
    <s v=""/>
    <s v="E0105421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BRADY CARIANN"/>
    <m/>
    <m/>
    <m/>
    <m/>
    <s v="BRADY CARIANN SUSAN"/>
    <s v="33-57 HARRISON ST"/>
    <s v="JOHNSON CITY"/>
    <s v="NY"/>
    <s v="13790-2107"/>
    <s v="PHYSICIAN"/>
    <s v="M"/>
    <s v="No"/>
    <s v="MMIS"/>
    <s v="SouthRPU"/>
    <s v="P"/>
    <m/>
    <m/>
    <m/>
    <s v=""/>
    <s v="E0340242"/>
    <n v="1"/>
    <n v="1"/>
    <n v="0"/>
    <n v="1"/>
    <n v="1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WEST CARL"/>
    <m/>
    <m/>
    <m/>
    <m/>
    <s v="WEST CARL G"/>
    <s v="TOMPKINS COMM MED OF"/>
    <s v="ITHACA"/>
    <s v="NY"/>
    <s v="14850-1345"/>
    <s v="PHYSICIAN"/>
    <s v="M"/>
    <s v="No"/>
    <s v="MMIS"/>
    <s v="NorthRPU"/>
    <s v="P"/>
    <m/>
    <m/>
    <m/>
    <s v=""/>
    <s v="E0139089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LONG CARLIE MS."/>
    <m/>
    <m/>
    <m/>
    <m/>
    <s v="LONG CARLIE C NP"/>
    <s v="169 RIVERSIDE DR"/>
    <s v="BINGHAMTON"/>
    <s v="NY"/>
    <s v="13905-4246"/>
    <s v="PHYSICIAN"/>
    <s v="M"/>
    <s v="No"/>
    <s v="MMIS"/>
    <s v="SouthRPU"/>
    <s v="P"/>
    <m/>
    <m/>
    <m/>
    <s v="Carlie C. Long, RN, BSN, MSN, FNP-C"/>
    <s v="E0329504"/>
    <s v="No"/>
    <s v="No"/>
    <s v="No"/>
    <s v="No"/>
    <s v="No"/>
    <s v="No"/>
    <s v="No"/>
    <s v="No"/>
    <n v="1"/>
    <s v="No"/>
    <s v="No"/>
    <x v="1"/>
    <n v="1"/>
    <s v=""/>
    <s v=""/>
    <s v=""/>
    <s v=""/>
    <s v=""/>
    <s v=""/>
    <s v=""/>
    <s v=""/>
    <s v=""/>
    <n v="1"/>
    <s v=""/>
  </r>
  <r>
    <x v="0"/>
    <m/>
    <m/>
    <m/>
    <m/>
    <s v="MCKILLOP CARLY"/>
    <m/>
    <m/>
    <m/>
    <m/>
    <s v="MCKILLOP CARLY J"/>
    <s v="3101 SHIPPERS RD # 202"/>
    <s v="VESTAL"/>
    <s v="NY"/>
    <s v="13850-2003"/>
    <s v="PHYSICIAN"/>
    <s v="M"/>
    <s v="No"/>
    <s v="MMIS"/>
    <s v="SouthRPU"/>
    <s v="P"/>
    <m/>
    <m/>
    <m/>
    <s v="Carly J. McKillop, FNP"/>
    <s v="E0370373"/>
    <s v="No"/>
    <s v="No"/>
    <s v="No"/>
    <s v="No"/>
    <s v="No"/>
    <s v="No"/>
    <s v="No"/>
    <s v="No"/>
    <n v="0"/>
    <s v="No"/>
    <s v="No"/>
    <x v="2"/>
    <s v=""/>
    <s v=""/>
    <s v=""/>
    <s v=""/>
    <s v=""/>
    <s v=""/>
    <s v=""/>
    <s v=""/>
    <s v=""/>
    <s v=""/>
    <n v="1"/>
    <s v=""/>
  </r>
  <r>
    <x v="0"/>
    <m/>
    <m/>
    <m/>
    <m/>
    <m/>
    <m/>
    <m/>
    <m/>
    <m/>
    <s v="UNITED MEDICAL ASSOCIATES PC"/>
    <s v="601 RIVERSIDE DR"/>
    <s v="JOHNSON CITY"/>
    <s v="NY"/>
    <s v="13790-2544"/>
    <s v="PHYSICIANS GROUP"/>
    <s v="M"/>
    <s v="No"/>
    <s v="MMIS"/>
    <s v="SouthRPU"/>
    <s v="P"/>
    <m/>
    <m/>
    <m/>
    <s v=""/>
    <s v="E0157215"/>
    <n v="0"/>
    <n v="0"/>
    <n v="0"/>
    <n v="0"/>
    <n v="0"/>
    <n v="0"/>
    <n v="0"/>
    <n v="0"/>
    <n v="0"/>
    <n v="0"/>
    <n v="0"/>
    <x v="1"/>
    <s v=""/>
    <s v=""/>
    <s v=""/>
    <s v=""/>
    <s v=""/>
    <s v=""/>
    <s v=""/>
    <s v=""/>
    <s v=""/>
    <s v=""/>
    <n v="1"/>
    <s v=""/>
  </r>
  <r>
    <x v="0"/>
    <m/>
    <m/>
    <m/>
    <m/>
    <s v="CARSKADDEN ERBA DR."/>
    <m/>
    <m/>
    <m/>
    <m/>
    <s v="CARSKADDEN ERBA ELIZABETH"/>
    <s v="1 GUTHRIE SQ"/>
    <s v="SAYRE"/>
    <s v="PA"/>
    <s v="18840-1625"/>
    <s v="PHYSICIAN"/>
    <s v="M"/>
    <s v="No"/>
    <s v="MMIS"/>
    <s v="SouthRPU"/>
    <s v="P"/>
    <m/>
    <m/>
    <m/>
    <s v=""/>
    <s v="E0353240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CARTER DAVID DR."/>
    <m/>
    <m/>
    <m/>
    <m/>
    <s v="CARTER DAVID CHANNING MD"/>
    <s v="639 MAIN ST"/>
    <s v="JOHNSON CITY"/>
    <s v="NY"/>
    <s v="13790-1805"/>
    <s v="PHYSICIAN"/>
    <s v="M"/>
    <s v="No"/>
    <s v="MMIS"/>
    <s v="SouthRPU"/>
    <s v="P"/>
    <m/>
    <m/>
    <m/>
    <s v="CARTER DAVID DR."/>
    <s v="E0285843"/>
    <s v="No"/>
    <s v="No"/>
    <s v="No"/>
    <s v="No"/>
    <s v="No"/>
    <s v="No"/>
    <s v="No"/>
    <s v="No"/>
    <n v="0"/>
    <s v="No"/>
    <s v="No"/>
    <x v="2"/>
    <s v=""/>
    <s v=""/>
    <s v=""/>
    <s v=""/>
    <s v=""/>
    <s v=""/>
    <s v=""/>
    <s v=""/>
    <s v=""/>
    <s v=""/>
    <n v="1"/>
    <s v=""/>
  </r>
  <r>
    <x v="0"/>
    <m/>
    <m/>
    <m/>
    <m/>
    <s v="CASEY ERIN"/>
    <m/>
    <m/>
    <m/>
    <m/>
    <s v="CASEY ERIN MICHELLE"/>
    <s v="4417 VESTAL PKWY E"/>
    <s v="VESTAL"/>
    <s v="NY"/>
    <s v="13850-3556"/>
    <s v="PHYSICIAN"/>
    <s v="M"/>
    <s v="No"/>
    <s v="MMIS"/>
    <s v="EastRPU"/>
    <s v="P"/>
    <m/>
    <m/>
    <m/>
    <s v="CASEY ERIN"/>
    <s v="E0338920"/>
    <s v="No"/>
    <s v="No"/>
    <s v="No"/>
    <s v="No"/>
    <s v="No"/>
    <s v="No"/>
    <s v="No"/>
    <s v="No"/>
    <n v="1"/>
    <s v="No"/>
    <s v="No"/>
    <x v="2"/>
    <n v="1"/>
    <s v=""/>
    <s v=""/>
    <s v=""/>
    <s v=""/>
    <s v=""/>
    <s v=""/>
    <s v=""/>
    <s v=""/>
    <s v=""/>
    <n v="1"/>
    <s v=""/>
  </r>
  <r>
    <x v="0"/>
    <m/>
    <m/>
    <m/>
    <m/>
    <s v="CASSETTA BRIAN DR."/>
    <m/>
    <m/>
    <m/>
    <m/>
    <s v="CASSETTA BRIAN             MD"/>
    <s v="ARNOT OGDEN HOSPITAL"/>
    <s v="ELMIRA"/>
    <s v="NY"/>
    <s v="14901"/>
    <s v="PHYSICIAN"/>
    <s v="M"/>
    <s v="No"/>
    <s v="MMIS"/>
    <s v="WestRPU"/>
    <s v="P"/>
    <m/>
    <m/>
    <m/>
    <s v="Cassetta Brian"/>
    <s v="E0196975"/>
    <s v="No"/>
    <s v="No"/>
    <s v="No"/>
    <s v="No"/>
    <s v="No"/>
    <s v="No"/>
    <s v="No"/>
    <s v="No"/>
    <n v="0"/>
    <s v="No"/>
    <s v="No"/>
    <x v="2"/>
    <s v=""/>
    <s v=""/>
    <s v=""/>
    <s v=""/>
    <s v=""/>
    <s v=""/>
    <s v=""/>
    <s v=""/>
    <s v=""/>
    <s v=""/>
    <n v="1"/>
    <s v=""/>
  </r>
  <r>
    <x v="0"/>
    <m/>
    <m/>
    <m/>
    <m/>
    <s v="CASTELLANOS ROBERT DR."/>
    <m/>
    <m/>
    <m/>
    <m/>
    <s v="CASTELLANOS ROBERT         MD"/>
    <s v="14 KENNEDY PKWY"/>
    <s v="CORTLAND"/>
    <s v="NY"/>
    <s v="13045-1435"/>
    <s v="PHYSICIAN"/>
    <s v="M"/>
    <s v="No"/>
    <s v="MMIS"/>
    <s v="NorthRPU"/>
    <s v="P"/>
    <m/>
    <m/>
    <m/>
    <s v="CASTELLANOS ROBERT DR."/>
    <s v="E0195641"/>
    <s v="No"/>
    <s v="No"/>
    <s v="No"/>
    <s v="No"/>
    <s v="No"/>
    <s v="No"/>
    <s v="No"/>
    <s v="No"/>
    <n v="0"/>
    <s v="No"/>
    <s v="No"/>
    <x v="2"/>
    <s v=""/>
    <s v=""/>
    <s v=""/>
    <s v=""/>
    <s v=""/>
    <s v=""/>
    <s v=""/>
    <s v=""/>
    <s v=""/>
    <s v=""/>
    <n v="1"/>
    <s v=""/>
  </r>
  <r>
    <x v="0"/>
    <m/>
    <m/>
    <m/>
    <m/>
    <s v="CASTETTER LISA"/>
    <m/>
    <m/>
    <m/>
    <m/>
    <s v="CASTETTER LISA S"/>
    <s v="10-42 MITCHELL AVE"/>
    <s v="BINGHAMTON"/>
    <s v="NY"/>
    <s v="13903-1617"/>
    <s v="CLINICAL SOCIAL WORKER (CSW)"/>
    <s v="M"/>
    <s v="No"/>
    <s v="MMIS"/>
    <s v="SouthRPU"/>
    <s v="P"/>
    <m/>
    <m/>
    <m/>
    <s v=""/>
    <s v="E0294930"/>
    <n v="0"/>
    <n v="0"/>
    <n v="0"/>
    <n v="0"/>
    <n v="0"/>
    <n v="0"/>
    <n v="0"/>
    <n v="0"/>
    <n v="0"/>
    <n v="0"/>
    <n v="0"/>
    <x v="1"/>
    <n v="1"/>
    <s v=""/>
    <s v=""/>
    <s v=""/>
    <n v="1"/>
    <s v=""/>
    <s v=""/>
    <s v=""/>
    <s v=""/>
    <s v=""/>
    <s v=""/>
    <s v=""/>
  </r>
  <r>
    <x v="0"/>
    <m/>
    <m/>
    <m/>
    <m/>
    <s v="DOOLEY CATHERINE MS."/>
    <m/>
    <m/>
    <m/>
    <m/>
    <s v="SLOCUM CATHERINE"/>
    <s v="276-280 ROBINSON ST"/>
    <s v="BINGHAMTON"/>
    <s v="NY"/>
    <s v="13904-1659"/>
    <s v="PHYSICIAN"/>
    <s v="M"/>
    <s v="No"/>
    <s v="MMIS"/>
    <s v="SouthRPU"/>
    <s v="P"/>
    <m/>
    <m/>
    <m/>
    <s v="Catherine A. Dooley, FNP-C"/>
    <s v="E0103148"/>
    <s v="No"/>
    <s v="No"/>
    <s v="No"/>
    <s v="No"/>
    <s v="No"/>
    <s v="No"/>
    <s v="No"/>
    <s v="No"/>
    <n v="0"/>
    <s v="No"/>
    <s v="No"/>
    <x v="2"/>
    <n v="1"/>
    <s v=""/>
    <s v=""/>
    <s v=""/>
    <s v=""/>
    <s v=""/>
    <s v=""/>
    <s v=""/>
    <s v=""/>
    <s v=""/>
    <n v="1"/>
    <s v=""/>
  </r>
  <r>
    <x v="0"/>
    <m/>
    <m/>
    <m/>
    <m/>
    <s v="WALBURGER CATHERINE"/>
    <m/>
    <m/>
    <m/>
    <m/>
    <s v="WALBURGER CATHERINE ELIZABETH"/>
    <s v="3101 SHIPPERS RD"/>
    <s v="VESTAL"/>
    <s v="NY"/>
    <s v="13850-2003"/>
    <s v="PHYSICIAN"/>
    <s v="M"/>
    <s v="No"/>
    <s v="MMIS"/>
    <s v="SouthRPU"/>
    <s v="P"/>
    <m/>
    <m/>
    <m/>
    <s v="Catherine Walburger, FNP"/>
    <s v="E0417495"/>
    <s v="No"/>
    <s v="No"/>
    <s v="No"/>
    <s v="No"/>
    <s v="No"/>
    <s v="No"/>
    <s v="No"/>
    <s v="No"/>
    <n v="0"/>
    <s v="No"/>
    <s v="No"/>
    <x v="1"/>
    <n v="1"/>
    <s v=""/>
    <s v=""/>
    <s v=""/>
    <s v=""/>
    <s v=""/>
    <s v=""/>
    <s v=""/>
    <s v=""/>
    <s v=""/>
    <s v=""/>
    <s v=""/>
  </r>
  <r>
    <x v="1"/>
    <m/>
    <m/>
    <m/>
    <m/>
    <s v="CATHOLIC CHARITIES OF CORTLAND COUNTY"/>
    <m/>
    <m/>
    <m/>
    <m/>
    <s v="CATHOLIC CHAR/SYRACUSE/CORTLAND CO"/>
    <s v="A/7661431 CC CORT"/>
    <s v="CORTLAND"/>
    <s v="NY"/>
    <s v="13045-2601"/>
    <s v="HOME HEALTH AGENCY"/>
    <s v="M"/>
    <s v="No"/>
    <s v="MMIS"/>
    <s v="NorthRPU"/>
    <s v="P"/>
    <m/>
    <m/>
    <m/>
    <s v=""/>
    <s v="E0169421"/>
    <n v="1"/>
    <n v="0"/>
    <n v="0"/>
    <n v="1"/>
    <n v="1"/>
    <n v="0"/>
    <n v="0"/>
    <n v="0"/>
    <n v="0"/>
    <n v="0"/>
    <n v="0"/>
    <x v="1"/>
    <s v=""/>
    <s v=""/>
    <s v=""/>
    <n v="1"/>
    <n v="1"/>
    <s v=""/>
    <s v=""/>
    <s v=""/>
    <s v=""/>
    <s v=""/>
    <s v=""/>
    <s v=""/>
  </r>
  <r>
    <x v="0"/>
    <m/>
    <m/>
    <m/>
    <m/>
    <s v="CATHOLIC CHARITIES OF BROOME COUNTY"/>
    <s v="232 MAIN ST"/>
    <s v="BINGHAMTON"/>
    <s v="NY"/>
    <s v="139052610"/>
    <m/>
    <m/>
    <m/>
    <m/>
    <m/>
    <m/>
    <s v="M"/>
    <s v="No"/>
    <s v="NPI only"/>
    <s v="SouthRPU"/>
    <s v="P"/>
    <m/>
    <m/>
    <m/>
    <s v="Catholic Charities of Broome County"/>
    <m/>
    <s v="No"/>
    <s v="No"/>
    <s v="No"/>
    <s v="No"/>
    <s v="No"/>
    <s v="No"/>
    <s v="No"/>
    <s v="No"/>
    <n v="0"/>
    <s v="No"/>
    <s v="No"/>
    <x v="1"/>
    <s v=""/>
    <s v=""/>
    <s v=""/>
    <s v=""/>
    <s v=""/>
    <s v=""/>
    <s v=""/>
    <s v=""/>
    <s v=""/>
    <s v=""/>
    <s v=""/>
    <n v="1"/>
  </r>
  <r>
    <x v="1"/>
    <m/>
    <m/>
    <m/>
    <m/>
    <s v="CATHOLIC CHARITIES OF BROOME COUNTY"/>
    <m/>
    <m/>
    <m/>
    <m/>
    <s v="CATHOLIC CHARITIES MH"/>
    <s v="BROOME MHS"/>
    <s v="BINGHAMTON"/>
    <s v="NY"/>
    <s v="13901-3102"/>
    <s v="HOME HEALTH AGENCY"/>
    <s v="M"/>
    <s v="No"/>
    <s v="MMIS"/>
    <s v="SouthRPU"/>
    <s v="P"/>
    <m/>
    <m/>
    <m/>
    <s v=""/>
    <s v="E0183473"/>
    <n v="0"/>
    <n v="0"/>
    <n v="0"/>
    <n v="0"/>
    <n v="0"/>
    <n v="0"/>
    <n v="0"/>
    <n v="0"/>
    <n v="0"/>
    <n v="0"/>
    <n v="0"/>
    <x v="1"/>
    <s v=""/>
    <s v=""/>
    <s v=""/>
    <n v="1"/>
    <s v=""/>
    <s v=""/>
    <s v=""/>
    <s v=""/>
    <s v=""/>
    <s v=""/>
    <s v=""/>
    <s v=""/>
  </r>
  <r>
    <x v="1"/>
    <m/>
    <m/>
    <m/>
    <m/>
    <s v="CHENANGO COUNTY CATHOLIC CHARITIES"/>
    <m/>
    <m/>
    <m/>
    <m/>
    <s v="CATHOLIC CHARITIES CHENANGO"/>
    <s v="IA/7893431 INT SUPP"/>
    <s v="NORWICH"/>
    <s v="NY"/>
    <s v="13815-1627"/>
    <s v="HOME HEALTH AGENCY"/>
    <s v="M"/>
    <s v="No"/>
    <s v="MMIS"/>
    <s v="EastRPU"/>
    <s v="P"/>
    <m/>
    <m/>
    <m/>
    <s v=""/>
    <s v="E0169522"/>
    <n v="1"/>
    <n v="0"/>
    <n v="0"/>
    <n v="1"/>
    <n v="1"/>
    <n v="0"/>
    <n v="0"/>
    <n v="0"/>
    <n v="0"/>
    <n v="0"/>
    <n v="0"/>
    <x v="1"/>
    <s v=""/>
    <s v=""/>
    <s v=""/>
    <n v="1"/>
    <n v="1"/>
    <s v=""/>
    <s v=""/>
    <s v=""/>
    <s v=""/>
    <s v=""/>
    <s v=""/>
    <s v=""/>
  </r>
  <r>
    <x v="0"/>
    <m/>
    <m/>
    <m/>
    <m/>
    <s v="CATHOLIC CHARITIES OF THE DIOCESE OF ROCHESTER"/>
    <m/>
    <m/>
    <m/>
    <m/>
    <s v="CATHOLIC CHARITIES CHEMUNG-SCHUYLER"/>
    <s v="215 E CHURCH ST"/>
    <s v="ELMIRA"/>
    <s v="NY"/>
    <s v="14901-2743"/>
    <s v="HOME HEALTH AGENCY"/>
    <s v="M"/>
    <s v="No"/>
    <s v="MMIS"/>
    <s v="WestRPU"/>
    <s v="P"/>
    <m/>
    <m/>
    <m/>
    <s v=""/>
    <s v="E0411793"/>
    <n v="0"/>
    <n v="0"/>
    <n v="0"/>
    <n v="0"/>
    <n v="0"/>
    <n v="0"/>
    <n v="0"/>
    <n v="0"/>
    <n v="0"/>
    <n v="0"/>
    <n v="0"/>
    <x v="1"/>
    <s v=""/>
    <s v=""/>
    <s v=""/>
    <s v=""/>
    <n v="1"/>
    <s v=""/>
    <s v=""/>
    <s v=""/>
    <s v=""/>
    <s v=""/>
    <s v=""/>
    <s v=""/>
  </r>
  <r>
    <x v="0"/>
    <s v="324 West Buffalo Street"/>
    <s v="Ithaca"/>
    <s v="NY"/>
    <s v="14850"/>
    <m/>
    <m/>
    <m/>
    <m/>
    <m/>
    <m/>
    <m/>
    <m/>
    <m/>
    <m/>
    <m/>
    <s v="M"/>
    <s v="No"/>
    <s v="No NPI or MMIS"/>
    <s v="NorthRPU"/>
    <s v="P"/>
    <m/>
    <m/>
    <m/>
    <s v="Catholic Charities Tompkins/Tioga"/>
    <m/>
    <s v="No"/>
    <s v="No"/>
    <s v="No"/>
    <s v="No"/>
    <s v="No"/>
    <s v="No"/>
    <s v="No"/>
    <s v="No"/>
    <n v="0"/>
    <s v="No"/>
    <s v="No"/>
    <x v="1"/>
    <s v=""/>
    <s v=""/>
    <s v=""/>
    <s v=""/>
    <s v=""/>
    <s v=""/>
    <s v=""/>
    <s v=""/>
    <s v=""/>
    <n v="1"/>
    <s v=""/>
    <s v=""/>
  </r>
  <r>
    <x v="0"/>
    <m/>
    <m/>
    <m/>
    <m/>
    <s v="PAGE CATHY"/>
    <m/>
    <m/>
    <m/>
    <m/>
    <s v="PAGE CATHY MARIE"/>
    <s v="33-57 HARRISON ST"/>
    <s v="JOHNSON CITY"/>
    <s v="NY"/>
    <s v="13790-2107"/>
    <s v="PHYSICIAN"/>
    <s v="M"/>
    <s v="No"/>
    <s v="MMIS"/>
    <s v="SouthRPU"/>
    <s v="P"/>
    <m/>
    <m/>
    <m/>
    <s v=""/>
    <s v="E0296090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1"/>
    <m/>
    <m/>
    <m/>
    <m/>
    <s v="ZARZECKI CATHY"/>
    <m/>
    <m/>
    <m/>
    <m/>
    <s v="ZARZECKI CATHY"/>
    <s v="29 ALVENA AVE"/>
    <s v="CORTLAND"/>
    <s v="NY"/>
    <s v="13045-1124"/>
    <s v="PHYSICIAN"/>
    <s v="M"/>
    <s v="No"/>
    <s v="MMIS"/>
    <s v="NorthRPU"/>
    <s v="P"/>
    <m/>
    <m/>
    <m/>
    <s v=""/>
    <s v="E0105567"/>
    <n v="1"/>
    <n v="1"/>
    <n v="0"/>
    <n v="0"/>
    <n v="1"/>
    <n v="1"/>
    <n v="0"/>
    <n v="0"/>
    <n v="1"/>
    <n v="0"/>
    <n v="0"/>
    <x v="2"/>
    <s v=""/>
    <s v=""/>
    <s v=""/>
    <s v=""/>
    <s v=""/>
    <s v=""/>
    <s v=""/>
    <s v=""/>
    <s v=""/>
    <s v=""/>
    <n v="1"/>
    <s v=""/>
  </r>
  <r>
    <x v="0"/>
    <s v="1 Birchwood Drive"/>
    <s v="Oneonta"/>
    <s v="NY"/>
    <s v="13820"/>
    <m/>
    <m/>
    <m/>
    <m/>
    <m/>
    <m/>
    <m/>
    <m/>
    <m/>
    <m/>
    <m/>
    <s v="M"/>
    <s v="No"/>
    <s v="No NPI or MMIS"/>
    <s v="EastRPU"/>
    <s v="P"/>
    <m/>
    <m/>
    <m/>
    <s v=""/>
    <s v="Catskill Area Hospice and Palliative Care"/>
    <n v="1"/>
    <n v="1"/>
    <m/>
    <m/>
    <m/>
    <m/>
    <m/>
    <m/>
    <n v="1"/>
    <s v="No"/>
    <s v="No"/>
    <x v="1"/>
    <s v=""/>
    <s v=""/>
    <s v=""/>
    <s v=""/>
    <s v=""/>
    <s v=""/>
    <s v=""/>
    <s v=""/>
    <s v=""/>
    <n v="1"/>
    <s v=""/>
    <s v=""/>
  </r>
  <r>
    <x v="0"/>
    <m/>
    <m/>
    <m/>
    <m/>
    <s v="CATSKILL AREA HOSPICE AND PALLIATIVE CARE, INC."/>
    <m/>
    <m/>
    <m/>
    <m/>
    <s v="CATSKILL AREA HOSPICE/PALL CA"/>
    <s v="1 BIRCHWOOD DR"/>
    <s v="ONEONTA"/>
    <s v="NY"/>
    <s v="13820-1319"/>
    <s v="MULTI-TYPE"/>
    <s v="M"/>
    <s v="No"/>
    <s v="MMIS"/>
    <s v="EastRPU"/>
    <s v="P"/>
    <m/>
    <m/>
    <m/>
    <s v=""/>
    <s v="E0193103"/>
    <n v="1"/>
    <n v="1"/>
    <n v="0"/>
    <n v="0"/>
    <n v="0"/>
    <n v="0"/>
    <n v="0"/>
    <n v="0"/>
    <n v="1"/>
    <n v="0"/>
    <n v="0"/>
    <x v="1"/>
    <s v=""/>
    <s v=""/>
    <s v=""/>
    <s v=""/>
    <s v=""/>
    <s v=""/>
    <s v=""/>
    <s v=""/>
    <n v="1"/>
    <s v=""/>
    <n v="1"/>
    <s v=""/>
  </r>
  <r>
    <x v="0"/>
    <s v="101 Dates Drive"/>
    <s v="Ithca"/>
    <s v="NY"/>
    <s v="14580"/>
    <m/>
    <m/>
    <m/>
    <m/>
    <m/>
    <m/>
    <m/>
    <m/>
    <m/>
    <m/>
    <m/>
    <s v="M"/>
    <s v="No"/>
    <s v="No NPI or MMIS"/>
    <s v="NorthRPU"/>
    <s v="P"/>
    <m/>
    <m/>
    <m/>
    <s v=""/>
    <s v="Cayuga Area Preferred"/>
    <n v="1"/>
    <m/>
    <m/>
    <n v="1"/>
    <m/>
    <m/>
    <m/>
    <m/>
    <n v="0"/>
    <m/>
    <s v="No"/>
    <x v="1"/>
    <s v=""/>
    <s v=""/>
    <s v=""/>
    <s v=""/>
    <s v=""/>
    <s v=""/>
    <s v=""/>
    <s v=""/>
    <s v=""/>
    <n v="1"/>
    <s v=""/>
    <s v=""/>
  </r>
  <r>
    <x v="0"/>
    <m/>
    <m/>
    <m/>
    <m/>
    <s v="CAYUGA FAMILY MEDICINE PC"/>
    <m/>
    <m/>
    <m/>
    <m/>
    <s v="CAYUGA FAMILY MEDICINE PC"/>
    <s v="302 W SENECA ST"/>
    <s v="ITHACA"/>
    <s v="NY"/>
    <s v="14850-4130"/>
    <s v="PHYSICIANS GROUP"/>
    <s v="M"/>
    <s v="No"/>
    <s v="MMIS"/>
    <s v="NorthRPU"/>
    <s v="P"/>
    <m/>
    <m/>
    <m/>
    <s v=""/>
    <s v="E0094676"/>
    <n v="1"/>
    <s v="No"/>
    <s v="No"/>
    <n v="1"/>
    <s v="No"/>
    <n v="1"/>
    <s v="No"/>
    <s v="No"/>
    <n v="0"/>
    <s v="No"/>
    <s v="No"/>
    <x v="1"/>
    <s v=""/>
    <s v=""/>
    <s v=""/>
    <s v=""/>
    <s v=""/>
    <s v=""/>
    <s v=""/>
    <s v=""/>
    <s v=""/>
    <s v=""/>
    <n v="1"/>
    <s v=""/>
  </r>
  <r>
    <x v="0"/>
    <s v="1301 Trumansburg Road, Suite P"/>
    <s v="Ithaca"/>
    <s v="NY"/>
    <s v="14850"/>
    <m/>
    <m/>
    <m/>
    <m/>
    <m/>
    <m/>
    <m/>
    <m/>
    <m/>
    <m/>
    <m/>
    <s v="M"/>
    <s v="No"/>
    <s v="No NPI or MMIS"/>
    <s v="NorthRPU"/>
    <s v="P"/>
    <m/>
    <m/>
    <m/>
    <s v=""/>
    <s v="Cayuga Medical Associates, Inc"/>
    <n v="1"/>
    <m/>
    <m/>
    <n v="1"/>
    <m/>
    <n v="1"/>
    <m/>
    <m/>
    <n v="0"/>
    <n v="1"/>
    <s v="No"/>
    <x v="1"/>
    <s v=""/>
    <s v=""/>
    <s v=""/>
    <s v=""/>
    <s v=""/>
    <s v=""/>
    <s v=""/>
    <s v=""/>
    <s v=""/>
    <n v="1"/>
    <s v=""/>
    <s v=""/>
  </r>
  <r>
    <x v="0"/>
    <m/>
    <m/>
    <m/>
    <m/>
    <s v="CAYUGA MEDICAL ASSOCIATES, PC"/>
    <m/>
    <m/>
    <m/>
    <m/>
    <s v="CAYUGA MEDICAL ASSOCIATES PC"/>
    <s v="8 BRENTWOOD DR"/>
    <s v="ITHACA"/>
    <s v="NY"/>
    <s v="14850-1863"/>
    <s v="PHYSICIANS GROUP"/>
    <s v="M"/>
    <s v="No"/>
    <s v="MMIS"/>
    <s v="NorthRPU"/>
    <s v="P"/>
    <m/>
    <m/>
    <m/>
    <s v=""/>
    <s v="E0025278"/>
    <n v="1"/>
    <m/>
    <m/>
    <n v="1"/>
    <m/>
    <n v="1"/>
    <m/>
    <m/>
    <n v="0"/>
    <n v="1"/>
    <s v="No"/>
    <x v="1"/>
    <s v=""/>
    <s v=""/>
    <s v=""/>
    <s v=""/>
    <s v=""/>
    <s v=""/>
    <s v=""/>
    <s v=""/>
    <s v=""/>
    <s v=""/>
    <n v="1"/>
    <s v=""/>
  </r>
  <r>
    <x v="1"/>
    <m/>
    <m/>
    <m/>
    <m/>
    <s v="CAYUGA MEDICAL CENTER AT ITHACA"/>
    <m/>
    <m/>
    <m/>
    <m/>
    <s v="CAYUGA MEDICAL CTR/ITHACA"/>
    <s v="101 DATES DR"/>
    <s v="ITHACA"/>
    <s v="NY"/>
    <s v="14850-1342"/>
    <s v="HOSPITAL"/>
    <s v="M"/>
    <s v="No"/>
    <s v="MMIS"/>
    <s v="NorthRPU"/>
    <s v="P"/>
    <m/>
    <m/>
    <m/>
    <s v=""/>
    <s v="E0265869"/>
    <n v="1"/>
    <n v="1"/>
    <n v="0"/>
    <n v="0"/>
    <n v="0"/>
    <n v="0"/>
    <n v="0"/>
    <n v="0"/>
    <n v="0"/>
    <n v="0"/>
    <n v="0"/>
    <x v="1"/>
    <s v=""/>
    <n v="1"/>
    <n v="1"/>
    <s v=""/>
    <n v="1"/>
    <s v=""/>
    <s v=""/>
    <s v=""/>
    <s v=""/>
    <s v=""/>
    <n v="1"/>
    <s v=""/>
  </r>
  <r>
    <x v="1"/>
    <m/>
    <m/>
    <m/>
    <m/>
    <s v="CAYUGA MEDICAL CENTER AT ITHACA"/>
    <m/>
    <m/>
    <m/>
    <m/>
    <s v="CAYUGA MEDICAL CTR/ITHACA"/>
    <s v="101 DATES DR"/>
    <s v="ITHACA"/>
    <s v="NY"/>
    <s v="14850-1342"/>
    <s v="HOSPITAL"/>
    <s v="M"/>
    <s v="No"/>
    <s v="MMIS"/>
    <s v="NorthRPU"/>
    <s v="P"/>
    <m/>
    <m/>
    <m/>
    <s v=""/>
    <s v="E0265869"/>
    <n v="1"/>
    <n v="1"/>
    <n v="0"/>
    <n v="0"/>
    <n v="0"/>
    <n v="0"/>
    <n v="0"/>
    <n v="0"/>
    <n v="0"/>
    <n v="0"/>
    <n v="0"/>
    <x v="1"/>
    <s v=""/>
    <n v="1"/>
    <n v="1"/>
    <s v=""/>
    <n v="1"/>
    <s v=""/>
    <s v=""/>
    <s v=""/>
    <s v=""/>
    <s v=""/>
    <n v="1"/>
    <s v=""/>
  </r>
  <r>
    <x v="0"/>
    <m/>
    <m/>
    <m/>
    <m/>
    <s v="CAYUGA MEDICAL CENTER EMPLOYED PHYSICIANS GROUP"/>
    <m/>
    <m/>
    <m/>
    <m/>
    <s v="CAYUGA MEDICAL CENTER OF ITHACA"/>
    <s v="101 DATES DR"/>
    <s v="ITHACA"/>
    <s v="NY"/>
    <s v="14850-1342"/>
    <s v="PHYSICIANS GROUP"/>
    <s v="M"/>
    <s v="No"/>
    <s v="MMIS"/>
    <s v="NorthRPU"/>
    <s v="P"/>
    <m/>
    <m/>
    <m/>
    <s v="CAYUGA MEDICAL CENTER EMPLOYED PHYSICIANS GROUP"/>
    <s v="E0392262"/>
    <s v="No"/>
    <s v="No"/>
    <s v="No"/>
    <s v="No"/>
    <s v="No"/>
    <s v="No"/>
    <s v="No"/>
    <s v="No"/>
    <n v="0"/>
    <s v="No"/>
    <s v="No"/>
    <x v="1"/>
    <s v=""/>
    <s v=""/>
    <s v=""/>
    <s v=""/>
    <s v=""/>
    <s v=""/>
    <s v=""/>
    <s v=""/>
    <s v=""/>
    <s v=""/>
    <s v=""/>
    <n v="1"/>
  </r>
  <r>
    <x v="1"/>
    <m/>
    <m/>
    <m/>
    <m/>
    <s v="CAYUGA RIDGE, LLC"/>
    <m/>
    <m/>
    <m/>
    <m/>
    <s v="CAYUGA RIDGE EXTENDED CARE"/>
    <s v="1229 TRUMANSBURG RD"/>
    <s v="ITHACA"/>
    <s v="NY"/>
    <s v="14850-1313"/>
    <s v="LONG TERM CARE FACILITY"/>
    <s v="M"/>
    <s v="No"/>
    <s v="MMIS"/>
    <s v="NorthRPU"/>
    <s v="P"/>
    <m/>
    <m/>
    <m/>
    <s v=""/>
    <s v="E0300084"/>
    <n v="0"/>
    <n v="0"/>
    <n v="0"/>
    <n v="0"/>
    <n v="0"/>
    <n v="0"/>
    <n v="0"/>
    <n v="0"/>
    <n v="0"/>
    <n v="0"/>
    <n v="0"/>
    <x v="1"/>
    <s v=""/>
    <s v=""/>
    <s v=""/>
    <s v=""/>
    <s v=""/>
    <s v=""/>
    <n v="1"/>
    <s v=""/>
    <s v=""/>
    <s v=""/>
    <s v=""/>
    <s v=""/>
  </r>
  <r>
    <x v="0"/>
    <m/>
    <m/>
    <m/>
    <m/>
    <s v="CETTON GREGORY DR."/>
    <m/>
    <m/>
    <m/>
    <m/>
    <s v="CETTON GREGORY ALLEN"/>
    <s v="GUTHRIE GRP PRAC LLC"/>
    <s v="MANSFIELD"/>
    <s v="PA"/>
    <s v="16933"/>
    <s v="PHYSICIAN"/>
    <s v="M"/>
    <s v="No"/>
    <s v="MMIS"/>
    <s v="WestRPU"/>
    <s v="P"/>
    <m/>
    <m/>
    <m/>
    <s v=""/>
    <s v="E0091966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1"/>
    <m/>
    <m/>
    <m/>
    <m/>
    <m/>
    <m/>
    <m/>
    <m/>
    <m/>
    <s v="CHALLENGE INDUSTRIES INC HCBS"/>
    <s v="950 DANBY RD STE 179 # CCX1203"/>
    <s v="ITHACA"/>
    <s v="NY"/>
    <s v="14850-5793"/>
    <s v="HOME HEALTH AGENCY"/>
    <s v="M"/>
    <s v="No"/>
    <s v="MMIS"/>
    <s v="NorthRPU"/>
    <s v="P"/>
    <m/>
    <m/>
    <m/>
    <s v=""/>
    <s v="E0151054"/>
    <n v="1"/>
    <n v="0"/>
    <n v="0"/>
    <n v="1"/>
    <n v="1"/>
    <n v="0"/>
    <n v="0"/>
    <n v="0"/>
    <n v="0"/>
    <n v="0"/>
    <n v="0"/>
    <x v="1"/>
    <s v=""/>
    <s v=""/>
    <s v=""/>
    <s v=""/>
    <s v=""/>
    <s v=""/>
    <s v=""/>
    <s v=""/>
    <s v=""/>
    <s v=""/>
    <n v="1"/>
    <s v=""/>
  </r>
  <r>
    <x v="1"/>
    <m/>
    <m/>
    <m/>
    <m/>
    <m/>
    <m/>
    <m/>
    <m/>
    <m/>
    <s v="CHALLENGE INDUSTRIES INC SMP"/>
    <s v="REGION-OUTSIDE NYC"/>
    <s v="ITHACA"/>
    <s v="NY"/>
    <s v="14850-5793"/>
    <s v="HOME HEALTH AGENCY"/>
    <s v="M"/>
    <s v="No"/>
    <s v="MMIS"/>
    <s v="NorthRPU"/>
    <s v="P"/>
    <m/>
    <m/>
    <m/>
    <s v=""/>
    <s v="E0082939"/>
    <n v="1"/>
    <n v="0"/>
    <n v="0"/>
    <n v="1"/>
    <n v="1"/>
    <n v="0"/>
    <n v="0"/>
    <n v="0"/>
    <n v="0"/>
    <n v="0"/>
    <n v="0"/>
    <x v="1"/>
    <s v=""/>
    <s v=""/>
    <s v=""/>
    <s v=""/>
    <s v=""/>
    <s v=""/>
    <s v=""/>
    <s v=""/>
    <s v=""/>
    <s v=""/>
    <n v="1"/>
    <s v=""/>
  </r>
  <r>
    <x v="0"/>
    <m/>
    <m/>
    <m/>
    <m/>
    <s v="CHAMBERLIN LYNN"/>
    <m/>
    <m/>
    <m/>
    <m/>
    <s v="CHAMBERLIN LYNN MARIE RPA"/>
    <s v="260 RIVERSIDE DR"/>
    <s v="JOHNSON CITY"/>
    <s v="NY"/>
    <s v="13790-2798"/>
    <s v="PHYSICIAN"/>
    <s v="M"/>
    <s v="No"/>
    <s v="MMIS"/>
    <s v="SouthRPU"/>
    <s v="P"/>
    <m/>
    <m/>
    <m/>
    <s v="CHAMBERLIN LYNN"/>
    <s v="E0297455"/>
    <s v="No"/>
    <s v="No"/>
    <s v="No"/>
    <s v="No"/>
    <s v="No"/>
    <s v="No"/>
    <s v="No"/>
    <s v="No"/>
    <n v="1"/>
    <s v="No"/>
    <s v="No"/>
    <x v="2"/>
    <n v="1"/>
    <s v=""/>
    <s v=""/>
    <s v=""/>
    <s v=""/>
    <s v=""/>
    <s v=""/>
    <s v=""/>
    <s v=""/>
    <s v=""/>
    <s v=""/>
    <s v=""/>
  </r>
  <r>
    <x v="0"/>
    <m/>
    <m/>
    <m/>
    <m/>
    <s v="CHANNIN DAVID"/>
    <m/>
    <m/>
    <m/>
    <m/>
    <s v="CHANNIN DAVID SAMUEL MD"/>
    <s v="1 GUTHRIE SQ"/>
    <s v="SAYRE"/>
    <s v="PA"/>
    <s v="18840-1625"/>
    <s v="PHYSICIAN"/>
    <s v="M"/>
    <s v="No"/>
    <s v="MMIS"/>
    <s v="SouthRPU"/>
    <s v="P"/>
    <m/>
    <m/>
    <m/>
    <s v=""/>
    <s v="E0309905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CHAPMAN ALLA DR."/>
    <m/>
    <m/>
    <m/>
    <m/>
    <s v="CHAPMAN ALLA GRIGOREVNA MD"/>
    <m/>
    <s v="HORSEHEADS"/>
    <s v="NY"/>
    <s v="14845-8533"/>
    <s v="PHYSICIAN"/>
    <s v="M"/>
    <s v="No"/>
    <s v="MMIS"/>
    <s v="WestRPU"/>
    <s v="P"/>
    <m/>
    <m/>
    <m/>
    <s v=""/>
    <s v="E0042007"/>
    <n v="0"/>
    <n v="0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MOUSSALLEM CHARBEL"/>
    <m/>
    <m/>
    <m/>
    <m/>
    <s v="MOUSSALLEM CHARBEL GEORGES"/>
    <s v="179 N BROAD ST"/>
    <s v="NORWICH"/>
    <s v="NY"/>
    <s v="13815-1019"/>
    <s v="PHYSICIAN"/>
    <s v="M"/>
    <s v="No"/>
    <s v="MMIS"/>
    <s v="EastRPU"/>
    <s v="P"/>
    <m/>
    <m/>
    <m/>
    <s v=""/>
    <s v="E0035881"/>
    <n v="1"/>
    <n v="1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GARBO CHARLES DR."/>
    <m/>
    <m/>
    <m/>
    <m/>
    <s v="GARBO CHARLES L MD"/>
    <s v="201 DATES DR"/>
    <s v="ITHACA"/>
    <s v="NY"/>
    <s v="14850-1345"/>
    <s v="PHYSICIAN"/>
    <s v="M"/>
    <s v="No"/>
    <s v="MMIS"/>
    <s v="NorthRPU"/>
    <s v="P"/>
    <m/>
    <m/>
    <m/>
    <s v=""/>
    <s v="E0161562"/>
    <n v="1"/>
    <n v="1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CAMPBELL CHARLES"/>
    <m/>
    <m/>
    <m/>
    <m/>
    <s v="CAMPBELL CHARLES R MD"/>
    <s v="CARDIOL ASSOC PC"/>
    <s v="JOHNSON CITY"/>
    <s v="NY"/>
    <s v="13790-2165"/>
    <s v="PHYSICIAN"/>
    <s v="M"/>
    <s v="No"/>
    <s v="MMIS"/>
    <s v="SouthRPU"/>
    <s v="P"/>
    <m/>
    <m/>
    <m/>
    <s v="Charles R. Campbell, MD"/>
    <s v="E0109014"/>
    <s v="No"/>
    <s v="No"/>
    <s v="No"/>
    <s v="No"/>
    <s v="No"/>
    <s v="No"/>
    <s v="No"/>
    <s v="No"/>
    <n v="0"/>
    <s v="No"/>
    <s v="No"/>
    <x v="1"/>
    <n v="1"/>
    <s v=""/>
    <s v=""/>
    <s v=""/>
    <s v=""/>
    <s v=""/>
    <s v=""/>
    <s v=""/>
    <s v=""/>
    <s v=""/>
    <n v="1"/>
    <s v=""/>
  </r>
  <r>
    <x v="1"/>
    <m/>
    <m/>
    <m/>
    <m/>
    <s v="HAWKINS CHARLOTTE DR."/>
    <m/>
    <m/>
    <m/>
    <m/>
    <s v="HAWKINS CHARLOTTE ANNETTE  MD"/>
    <s v="4077 WEST RD"/>
    <s v="CORTLAND"/>
    <s v="NY"/>
    <s v="13045-1637"/>
    <s v="PHYSICIAN"/>
    <s v="M"/>
    <s v="No"/>
    <s v="MMIS"/>
    <s v="NorthRPU"/>
    <s v="P"/>
    <m/>
    <m/>
    <m/>
    <s v=""/>
    <s v="E0221383"/>
    <n v="0"/>
    <n v="0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DR. CHARLOTTE HAWKINS"/>
    <m/>
    <m/>
    <m/>
    <m/>
    <s v="CHARLOTTE HAWKINS MD"/>
    <s v="4077 WEST RD"/>
    <s v="CORTLAND"/>
    <s v="NY"/>
    <s v="13045-1637"/>
    <s v="PHYSICIANS GROUP"/>
    <s v="M"/>
    <s v="No"/>
    <s v="MMIS"/>
    <s v="NorthRPU"/>
    <s v="P"/>
    <m/>
    <m/>
    <m/>
    <s v="Charlotte Hawkins MD"/>
    <s v="E0166092"/>
    <s v="No"/>
    <s v="No"/>
    <s v="No"/>
    <s v="No"/>
    <s v="No"/>
    <s v="No"/>
    <s v="No"/>
    <s v="No"/>
    <n v="0"/>
    <s v="No"/>
    <s v="No"/>
    <x v="1"/>
    <s v=""/>
    <s v=""/>
    <s v=""/>
    <s v=""/>
    <s v=""/>
    <s v=""/>
    <s v=""/>
    <s v=""/>
    <s v=""/>
    <s v=""/>
    <s v=""/>
    <n v="1"/>
  </r>
  <r>
    <x v="1"/>
    <m/>
    <m/>
    <m/>
    <m/>
    <s v="CHASE MEMORIAL NURSING HOME CO INC"/>
    <m/>
    <m/>
    <m/>
    <m/>
    <s v="CHASE MEMORIAL NURSING HOME CO"/>
    <s v="1 TERRACE HTS"/>
    <s v="NEW BERLIN"/>
    <s v="NY"/>
    <s v="13411-9515"/>
    <s v="LONG TERM CARE FACILITY"/>
    <s v="M"/>
    <s v="No"/>
    <s v="MMIS"/>
    <s v="EastRPU"/>
    <s v="P"/>
    <m/>
    <m/>
    <m/>
    <s v=""/>
    <s v="E0252054"/>
    <n v="1"/>
    <n v="0"/>
    <n v="1"/>
    <n v="0"/>
    <n v="1"/>
    <n v="0"/>
    <n v="0"/>
    <n v="0"/>
    <n v="0"/>
    <n v="0"/>
    <n v="0"/>
    <x v="1"/>
    <s v=""/>
    <s v=""/>
    <s v=""/>
    <s v=""/>
    <s v=""/>
    <s v=""/>
    <n v="1"/>
    <s v=""/>
    <s v=""/>
    <s v=""/>
    <n v="1"/>
    <s v=""/>
  </r>
  <r>
    <x v="0"/>
    <m/>
    <m/>
    <m/>
    <m/>
    <s v="CHAUDHARY SUMBLINA"/>
    <m/>
    <m/>
    <m/>
    <m/>
    <s v="CHAUDHARY SUMBLINA A"/>
    <s v="169 RIVERSIDE DR"/>
    <s v="BINGHAMTON"/>
    <s v="NY"/>
    <s v="13905-4246"/>
    <s v="PHYSICIAN"/>
    <s v="M"/>
    <s v="No"/>
    <s v="MMIS"/>
    <s v="SouthRPU"/>
    <s v="P"/>
    <m/>
    <m/>
    <m/>
    <s v=""/>
    <s v="E0050203"/>
    <n v="1"/>
    <n v="1"/>
    <n v="0"/>
    <n v="0"/>
    <n v="0"/>
    <n v="0"/>
    <n v="0"/>
    <n v="0"/>
    <n v="0"/>
    <n v="1"/>
    <n v="0"/>
    <x v="1"/>
    <n v="1"/>
    <s v=""/>
    <s v=""/>
    <s v=""/>
    <s v=""/>
    <s v=""/>
    <s v=""/>
    <s v=""/>
    <s v=""/>
    <s v=""/>
    <n v="1"/>
    <s v=""/>
  </r>
  <r>
    <x v="1"/>
    <m/>
    <m/>
    <m/>
    <m/>
    <m/>
    <m/>
    <m/>
    <m/>
    <m/>
    <s v="DAVULURI CHAUDHURY"/>
    <s v="LABOR &amp; DELIVERY"/>
    <s v="SYRACUSE"/>
    <s v="NY"/>
    <s v="13203-1807"/>
    <s v="PHYSICIAN"/>
    <s v="M"/>
    <s v="No"/>
    <s v="MMIS"/>
    <s v="NorthRPU"/>
    <s v="P"/>
    <m/>
    <m/>
    <m/>
    <s v=""/>
    <s v="E0047430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1"/>
    <m/>
    <m/>
    <m/>
    <m/>
    <s v="COUNTY OF CHEMUNG"/>
    <m/>
    <m/>
    <m/>
    <m/>
    <s v="CHEMUNG DEPT HOME HLTH     CO"/>
    <s v="103 WASHINGTON ST"/>
    <s v="ELMIRA"/>
    <s v="NY"/>
    <s v="14901-3220"/>
    <s v="MULTI-TYPE"/>
    <s v="M"/>
    <s v="No"/>
    <s v="MMIS"/>
    <s v="WestRPU"/>
    <s v="P"/>
    <m/>
    <m/>
    <m/>
    <s v=""/>
    <s v="E0232585"/>
    <n v="0"/>
    <n v="0"/>
    <n v="0"/>
    <n v="0"/>
    <n v="0"/>
    <n v="0"/>
    <n v="0"/>
    <n v="0"/>
    <n v="0"/>
    <n v="0"/>
    <n v="0"/>
    <x v="1"/>
    <s v=""/>
    <s v=""/>
    <n v="1"/>
    <s v=""/>
    <s v=""/>
    <s v=""/>
    <s v=""/>
    <s v=""/>
    <s v=""/>
    <s v=""/>
    <n v="1"/>
    <s v=""/>
  </r>
  <r>
    <x v="0"/>
    <s v="103 Washington Street"/>
    <s v="Elmira"/>
    <s v="NY"/>
    <s v="14901"/>
    <m/>
    <m/>
    <m/>
    <m/>
    <m/>
    <m/>
    <m/>
    <m/>
    <m/>
    <m/>
    <m/>
    <s v="M"/>
    <s v="No"/>
    <s v="No NPI or MMIS"/>
    <s v="WestRPU"/>
    <s v="P"/>
    <m/>
    <m/>
    <m/>
    <s v="Chemung County Public Health"/>
    <m/>
    <s v="No"/>
    <s v="No"/>
    <s v="No"/>
    <s v="No"/>
    <s v="No"/>
    <s v="No"/>
    <s v="No"/>
    <s v="No"/>
    <n v="0"/>
    <s v="No"/>
    <s v="No"/>
    <x v="1"/>
    <s v=""/>
    <s v=""/>
    <s v=""/>
    <s v=""/>
    <s v=""/>
    <s v=""/>
    <s v=""/>
    <s v=""/>
    <s v=""/>
    <n v="1"/>
    <s v=""/>
    <s v=""/>
  </r>
  <r>
    <x v="0"/>
    <m/>
    <m/>
    <m/>
    <m/>
    <s v="LAX THEODORE"/>
    <m/>
    <m/>
    <m/>
    <m/>
    <s v="LAX THEODORE"/>
    <s v="103 WASHINGTON ST"/>
    <s v="ELMIRA"/>
    <s v="NY"/>
    <s v="14901-3220"/>
    <s v="DENTIST"/>
    <s v="M"/>
    <s v="No"/>
    <s v="MMIS"/>
    <s v="WestRPU"/>
    <s v="P"/>
    <m/>
    <m/>
    <m/>
    <s v=""/>
    <s v="E0224785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1"/>
    <m/>
    <m/>
    <m/>
    <m/>
    <s v="CHEMUNG COUNTY NURSING FACILITY"/>
    <m/>
    <m/>
    <m/>
    <m/>
    <s v="CHEMUNG COUNTY HEALTH CTR NSG"/>
    <s v="103 WASHINGTON ST"/>
    <s v="ELMIRA"/>
    <s v="NY"/>
    <s v="14901-3220"/>
    <s v="LONG TERM CARE FACILITY"/>
    <s v="M"/>
    <s v="No"/>
    <s v="MMIS"/>
    <s v="WestRPU"/>
    <s v="P"/>
    <m/>
    <m/>
    <m/>
    <s v=""/>
    <s v="E0262644"/>
    <n v="0"/>
    <n v="0"/>
    <n v="0"/>
    <n v="0"/>
    <n v="0"/>
    <n v="0"/>
    <n v="0"/>
    <n v="0"/>
    <n v="0"/>
    <n v="0"/>
    <n v="0"/>
    <x v="1"/>
    <s v=""/>
    <s v=""/>
    <s v=""/>
    <s v=""/>
    <s v=""/>
    <s v=""/>
    <n v="1"/>
    <s v=""/>
    <s v=""/>
    <s v=""/>
    <n v="1"/>
    <s v=""/>
  </r>
  <r>
    <x v="0"/>
    <m/>
    <m/>
    <m/>
    <m/>
    <m/>
    <m/>
    <m/>
    <m/>
    <m/>
    <s v="CHENANGO C0 CHAP NYS ARC HCBS"/>
    <s v="17 MIDLAND DR # CCA0174"/>
    <s v="NORWICH"/>
    <s v="NY"/>
    <s v="13815-1914"/>
    <s v="HOME HEALTH AGENCY"/>
    <s v="M"/>
    <s v="No"/>
    <s v="MMIS"/>
    <s v="EastRPU"/>
    <s v="P"/>
    <m/>
    <m/>
    <m/>
    <s v="CHENANGO C0 CHAP NYS ARC HCBS"/>
    <s v="E0151026"/>
    <s v="No"/>
    <s v="No"/>
    <s v="No"/>
    <s v="No"/>
    <s v="No"/>
    <s v="No"/>
    <s v="No"/>
    <s v="No"/>
    <n v="0"/>
    <s v="No"/>
    <s v="No"/>
    <x v="1"/>
    <s v=""/>
    <s v=""/>
    <s v=""/>
    <s v=""/>
    <s v=""/>
    <s v=""/>
    <s v=""/>
    <s v=""/>
    <s v=""/>
    <s v=""/>
    <s v=""/>
    <n v="1"/>
  </r>
  <r>
    <x v="0"/>
    <m/>
    <m/>
    <m/>
    <m/>
    <m/>
    <m/>
    <m/>
    <m/>
    <m/>
    <s v="CHENANGO CNTY CHAPTER NYS ARC"/>
    <s v="SUPRT C6111442"/>
    <s v="NORWICH"/>
    <s v="NY"/>
    <s v="13815-1942"/>
    <s v="HOME HEALTH AGENCY"/>
    <s v="M"/>
    <s v="No"/>
    <s v="MMIS"/>
    <s v="EastRPU"/>
    <s v="P"/>
    <m/>
    <m/>
    <m/>
    <s v="CHENANGO CNTY CHAPTER NYS ARC"/>
    <s v="E0161478"/>
    <s v="No"/>
    <s v="No"/>
    <s v="No"/>
    <s v="No"/>
    <s v="No"/>
    <s v="No"/>
    <s v="No"/>
    <s v="No"/>
    <n v="0"/>
    <s v="No"/>
    <s v="No"/>
    <x v="1"/>
    <s v=""/>
    <s v=""/>
    <s v=""/>
    <s v=""/>
    <s v=""/>
    <s v=""/>
    <s v=""/>
    <s v=""/>
    <s v=""/>
    <s v=""/>
    <s v=""/>
    <n v="1"/>
  </r>
  <r>
    <x v="0"/>
    <m/>
    <m/>
    <m/>
    <m/>
    <m/>
    <m/>
    <m/>
    <m/>
    <m/>
    <s v="CHENANGO CO CHAP NYS ARC HCB2"/>
    <s v="17 MIDLAND DR # CCJ1945"/>
    <s v="NORWICH"/>
    <s v="NY"/>
    <s v="13815-1914"/>
    <s v="HOME HEALTH AGENCY"/>
    <s v="M"/>
    <s v="No"/>
    <s v="MMIS"/>
    <s v="EastRPU"/>
    <s v="P"/>
    <m/>
    <m/>
    <m/>
    <s v=""/>
    <s v="E0094203"/>
    <n v="0"/>
    <n v="0"/>
    <n v="0"/>
    <n v="0"/>
    <n v="0"/>
    <n v="0"/>
    <n v="0"/>
    <n v="0"/>
    <n v="0"/>
    <n v="0"/>
    <n v="0"/>
    <x v="1"/>
    <s v=""/>
    <s v=""/>
    <s v=""/>
    <s v=""/>
    <s v=""/>
    <s v=""/>
    <s v=""/>
    <s v=""/>
    <s v=""/>
    <s v=""/>
    <n v="1"/>
    <s v=""/>
  </r>
  <r>
    <x v="0"/>
    <m/>
    <m/>
    <m/>
    <m/>
    <m/>
    <m/>
    <m/>
    <m/>
    <m/>
    <s v="CHENANGO CO CHAP NYSAC SPT"/>
    <s v="SUPPORTIVE"/>
    <s v="NORWICH"/>
    <s v="NY"/>
    <s v="13815-9999"/>
    <s v="HOME HEALTH AGENCY"/>
    <s v="M"/>
    <s v="No"/>
    <s v="MMIS"/>
    <s v="EastRPU"/>
    <s v="P"/>
    <m/>
    <m/>
    <m/>
    <s v=""/>
    <s v="E0064130"/>
    <n v="0"/>
    <n v="0"/>
    <n v="0"/>
    <n v="0"/>
    <n v="0"/>
    <n v="0"/>
    <n v="0"/>
    <n v="0"/>
    <n v="0"/>
    <n v="0"/>
    <n v="0"/>
    <x v="1"/>
    <s v=""/>
    <s v=""/>
    <s v=""/>
    <s v=""/>
    <s v=""/>
    <s v=""/>
    <s v=""/>
    <s v=""/>
    <s v=""/>
    <s v=""/>
    <n v="1"/>
    <s v=""/>
  </r>
  <r>
    <x v="0"/>
    <m/>
    <m/>
    <m/>
    <m/>
    <m/>
    <m/>
    <m/>
    <m/>
    <m/>
    <s v="CHENANGO CO CHAP NYSARC DAY"/>
    <s v="GROUP DAY HAB"/>
    <s v="NORWICH"/>
    <s v="NY"/>
    <s v="13815-1914"/>
    <s v="HOME HEALTH AGENCY"/>
    <s v="M"/>
    <s v="No"/>
    <s v="MMIS"/>
    <s v="EastRPU"/>
    <s v="P"/>
    <m/>
    <m/>
    <m/>
    <s v=""/>
    <s v="E0029749"/>
    <n v="0"/>
    <n v="0"/>
    <n v="0"/>
    <n v="0"/>
    <n v="0"/>
    <n v="0"/>
    <n v="0"/>
    <n v="0"/>
    <n v="0"/>
    <n v="0"/>
    <n v="0"/>
    <x v="1"/>
    <s v=""/>
    <s v=""/>
    <s v=""/>
    <s v=""/>
    <s v=""/>
    <s v=""/>
    <s v=""/>
    <s v=""/>
    <s v=""/>
    <s v=""/>
    <n v="1"/>
    <s v=""/>
  </r>
  <r>
    <x v="0"/>
    <m/>
    <m/>
    <m/>
    <m/>
    <m/>
    <m/>
    <m/>
    <m/>
    <m/>
    <s v="CHENANGO CO CHAP NYSARC RSP"/>
    <s v="17 MIDLAND DR"/>
    <s v="NORWICH"/>
    <s v="NY"/>
    <s v="13815-1914"/>
    <s v="HOME HEALTH AGENCY"/>
    <s v="M"/>
    <s v="No"/>
    <s v="MMIS"/>
    <s v="EastRPU"/>
    <s v="P"/>
    <m/>
    <m/>
    <m/>
    <s v=""/>
    <s v="E0037940"/>
    <n v="0"/>
    <n v="0"/>
    <n v="0"/>
    <n v="0"/>
    <n v="0"/>
    <n v="0"/>
    <n v="0"/>
    <n v="0"/>
    <n v="0"/>
    <n v="0"/>
    <n v="0"/>
    <x v="1"/>
    <s v=""/>
    <s v=""/>
    <s v=""/>
    <s v=""/>
    <s v=""/>
    <s v=""/>
    <s v=""/>
    <s v=""/>
    <s v=""/>
    <s v=""/>
    <n v="1"/>
    <s v=""/>
  </r>
  <r>
    <x v="0"/>
    <m/>
    <m/>
    <m/>
    <m/>
    <m/>
    <m/>
    <m/>
    <m/>
    <m/>
    <s v="CHENANGO CO CHAP NYSARC SPV"/>
    <s v="SUPERVISED"/>
    <s v="NORWICH"/>
    <s v="NY"/>
    <s v="13815-9999"/>
    <s v="HOME HEALTH AGENCY"/>
    <s v="M"/>
    <s v="No"/>
    <s v="MMIS"/>
    <s v="EastRPU"/>
    <s v="P"/>
    <m/>
    <m/>
    <m/>
    <s v=""/>
    <s v="E0064129"/>
    <n v="0"/>
    <n v="0"/>
    <n v="0"/>
    <n v="0"/>
    <n v="0"/>
    <n v="0"/>
    <n v="0"/>
    <n v="0"/>
    <n v="0"/>
    <n v="0"/>
    <n v="0"/>
    <x v="1"/>
    <s v=""/>
    <s v=""/>
    <s v=""/>
    <s v=""/>
    <s v=""/>
    <s v=""/>
    <s v=""/>
    <s v=""/>
    <s v=""/>
    <s v=""/>
    <n v="1"/>
    <s v=""/>
  </r>
  <r>
    <x v="0"/>
    <m/>
    <m/>
    <m/>
    <m/>
    <m/>
    <m/>
    <m/>
    <m/>
    <m/>
    <s v="CHENANGO CO NYSARC INC SMP"/>
    <s v="17 MIDLAND DR"/>
    <s v="NORWICH"/>
    <s v="NY"/>
    <s v="13815-1914"/>
    <s v="HOME HEALTH AGENCY"/>
    <s v="M"/>
    <s v="No"/>
    <s v="MMIS"/>
    <s v="EastRPU"/>
    <s v="P"/>
    <m/>
    <m/>
    <m/>
    <s v="CHENANGO CO NYSARC INC SMP"/>
    <s v="E0379033"/>
    <s v="No"/>
    <s v="No"/>
    <s v="No"/>
    <s v="No"/>
    <s v="No"/>
    <s v="No"/>
    <s v="No"/>
    <s v="No"/>
    <n v="0"/>
    <s v="No"/>
    <s v="No"/>
    <x v="1"/>
    <s v=""/>
    <s v=""/>
    <s v=""/>
    <s v=""/>
    <s v=""/>
    <s v=""/>
    <s v=""/>
    <s v=""/>
    <s v=""/>
    <s v=""/>
    <s v=""/>
    <n v="1"/>
  </r>
  <r>
    <x v="1"/>
    <m/>
    <m/>
    <m/>
    <m/>
    <s v="COUNTY OF CHENANGO"/>
    <m/>
    <m/>
    <m/>
    <m/>
    <s v="CHENANGO CTY COMMUNITY SV BRD"/>
    <s v="HARRY SULLIVAN CL"/>
    <s v="NORWICH"/>
    <s v="NY"/>
    <s v="13815-1695"/>
    <s v="DIAGNOSTIC AND TREATMENT CENTER"/>
    <s v="M"/>
    <s v="No"/>
    <s v="MMIS"/>
    <s v="EastRPU"/>
    <s v="P"/>
    <m/>
    <m/>
    <m/>
    <s v=""/>
    <s v="E0241553"/>
    <n v="1"/>
    <n v="0"/>
    <n v="0"/>
    <n v="0"/>
    <n v="1"/>
    <n v="1"/>
    <n v="0"/>
    <n v="0"/>
    <n v="0"/>
    <n v="0"/>
    <n v="0"/>
    <x v="1"/>
    <s v=""/>
    <s v=""/>
    <s v=""/>
    <s v=""/>
    <n v="1"/>
    <n v="1"/>
    <s v=""/>
    <s v=""/>
    <s v=""/>
    <s v=""/>
    <n v="1"/>
    <s v=""/>
  </r>
  <r>
    <x v="1"/>
    <m/>
    <m/>
    <m/>
    <m/>
    <s v="COUNTY OF CHENANGO"/>
    <m/>
    <m/>
    <m/>
    <m/>
    <s v="CHENANGO CTY COMMUNITY SV BRD"/>
    <s v="HARRY SULLIVAN CL"/>
    <s v="NORWICH"/>
    <s v="NY"/>
    <s v="13815-1695"/>
    <s v="DIAGNOSTIC AND TREATMENT CENTER"/>
    <s v="M"/>
    <s v="No"/>
    <s v="MMIS"/>
    <s v="EastRPU"/>
    <s v="P"/>
    <m/>
    <m/>
    <m/>
    <s v=""/>
    <s v="E0241553"/>
    <n v="1"/>
    <n v="0"/>
    <n v="0"/>
    <n v="0"/>
    <n v="1"/>
    <n v="1"/>
    <n v="0"/>
    <n v="0"/>
    <n v="0"/>
    <n v="0"/>
    <n v="0"/>
    <x v="1"/>
    <s v=""/>
    <s v=""/>
    <s v=""/>
    <s v=""/>
    <n v="1"/>
    <n v="1"/>
    <s v=""/>
    <s v=""/>
    <s v=""/>
    <s v=""/>
    <n v="1"/>
    <s v=""/>
  </r>
  <r>
    <x v="0"/>
    <s v="5 Court Street"/>
    <s v="Norwich"/>
    <s v="NY"/>
    <s v="13815"/>
    <m/>
    <m/>
    <m/>
    <m/>
    <m/>
    <m/>
    <m/>
    <m/>
    <m/>
    <m/>
    <m/>
    <s v="M"/>
    <s v="No"/>
    <s v="No NPI or MMIS"/>
    <s v="EastRPU"/>
    <s v="P"/>
    <m/>
    <m/>
    <m/>
    <s v="Chenango County Area Agency on Aging"/>
    <m/>
    <s v="No"/>
    <s v="No"/>
    <s v="No"/>
    <s v="No"/>
    <s v="No"/>
    <s v="No"/>
    <s v="No"/>
    <s v="No"/>
    <n v="0"/>
    <s v="No"/>
    <s v="No"/>
    <x v="1"/>
    <s v=""/>
    <s v=""/>
    <s v=""/>
    <s v=""/>
    <s v=""/>
    <s v=""/>
    <s v=""/>
    <s v=""/>
    <s v=""/>
    <n v="1"/>
    <s v=""/>
    <s v=""/>
  </r>
  <r>
    <x v="1"/>
    <m/>
    <m/>
    <m/>
    <m/>
    <s v="CHENANGO COUNTY"/>
    <m/>
    <m/>
    <m/>
    <m/>
    <s v="CHENANGO CTY DEPT OF PUB HLTH"/>
    <s v="5 COURT ST"/>
    <s v="NORWICH"/>
    <s v="NY"/>
    <s v="13815-1695"/>
    <s v="DIAGNOSTIC AND TREATMENT CENTER"/>
    <s v="M"/>
    <s v="No"/>
    <s v="MMIS"/>
    <s v="EastRPU"/>
    <s v="P"/>
    <m/>
    <m/>
    <m/>
    <s v=""/>
    <s v="E0252061"/>
    <n v="0"/>
    <n v="0"/>
    <n v="0"/>
    <n v="0"/>
    <n v="0"/>
    <n v="0"/>
    <n v="0"/>
    <n v="0"/>
    <n v="0"/>
    <n v="0"/>
    <n v="0"/>
    <x v="1"/>
    <s v=""/>
    <s v=""/>
    <n v="1"/>
    <s v=""/>
    <n v="1"/>
    <s v=""/>
    <s v=""/>
    <s v=""/>
    <s v=""/>
    <s v=""/>
    <n v="1"/>
    <s v=""/>
  </r>
  <r>
    <x v="0"/>
    <s v="PO Box 590"/>
    <s v="Norwich"/>
    <s v="NY"/>
    <s v="13815"/>
    <m/>
    <m/>
    <m/>
    <m/>
    <m/>
    <m/>
    <m/>
    <m/>
    <m/>
    <m/>
    <m/>
    <s v="M"/>
    <s v="No"/>
    <s v="No NPI or MMIS"/>
    <s v="EastRPU"/>
    <s v="P"/>
    <m/>
    <m/>
    <m/>
    <s v="Chenango County Department of Social Services"/>
    <m/>
    <s v="No"/>
    <s v="No"/>
    <s v="No"/>
    <s v="No"/>
    <s v="No"/>
    <s v="No"/>
    <s v="No"/>
    <s v="No"/>
    <n v="0"/>
    <s v="No"/>
    <s v="No"/>
    <x v="1"/>
    <s v=""/>
    <s v=""/>
    <s v=""/>
    <s v=""/>
    <s v=""/>
    <s v=""/>
    <s v=""/>
    <s v=""/>
    <s v=""/>
    <n v="1"/>
    <s v=""/>
    <s v=""/>
  </r>
  <r>
    <x v="0"/>
    <s v="24 Conkey Avenue"/>
    <s v="Norwich"/>
    <s v="NY"/>
    <s v="13815"/>
    <m/>
    <m/>
    <m/>
    <m/>
    <m/>
    <m/>
    <m/>
    <m/>
    <m/>
    <m/>
    <m/>
    <s v="M"/>
    <s v="No"/>
    <s v="No NPI or MMIS"/>
    <s v="EastRPU"/>
    <s v="P"/>
    <m/>
    <m/>
    <m/>
    <s v=""/>
    <s v="Chenango Health Network, Inc."/>
    <n v="1"/>
    <m/>
    <m/>
    <m/>
    <n v="1"/>
    <s v="No"/>
    <s v="No"/>
    <s v="No"/>
    <n v="0"/>
    <s v="No"/>
    <s v="No"/>
    <x v="1"/>
    <s v=""/>
    <s v=""/>
    <s v=""/>
    <s v=""/>
    <s v=""/>
    <s v=""/>
    <s v=""/>
    <s v=""/>
    <s v=""/>
    <n v="1"/>
    <s v=""/>
    <s v=""/>
  </r>
  <r>
    <x v="1"/>
    <m/>
    <m/>
    <m/>
    <m/>
    <s v="CHENANGO MEMORIAL HOSPITAL INC"/>
    <m/>
    <m/>
    <m/>
    <m/>
    <s v="CHENANGO MEMORIAL HOSPITAL INC"/>
    <s v="179 N BROAD ST"/>
    <s v="NORWICH"/>
    <s v="NY"/>
    <s v="13815-1019"/>
    <s v="MULTI-TYPE"/>
    <s v="M"/>
    <s v="No"/>
    <s v="MMIS"/>
    <s v="EastRPU"/>
    <s v="P"/>
    <m/>
    <m/>
    <m/>
    <s v=""/>
    <s v="E0267641"/>
    <n v="1"/>
    <n v="1"/>
    <n v="1"/>
    <n v="1"/>
    <n v="1"/>
    <n v="0"/>
    <n v="0"/>
    <n v="0"/>
    <n v="0"/>
    <n v="0"/>
    <n v="0"/>
    <x v="1"/>
    <s v=""/>
    <n v="1"/>
    <n v="1"/>
    <s v=""/>
    <s v=""/>
    <s v=""/>
    <s v=""/>
    <s v=""/>
    <s v=""/>
    <s v=""/>
    <n v="1"/>
    <s v=""/>
  </r>
  <r>
    <x v="0"/>
    <m/>
    <m/>
    <m/>
    <m/>
    <s v="ROSSMAN CHERIE"/>
    <m/>
    <m/>
    <m/>
    <m/>
    <s v="ROSSMAN CHERIE M"/>
    <s v="415 E MAIN ST"/>
    <s v="ENDICOTT"/>
    <s v="NY"/>
    <s v="13760-4925"/>
    <s v="PHYSICIAN"/>
    <s v="M"/>
    <s v="No"/>
    <s v="MMIS"/>
    <s v="SouthRPU"/>
    <s v="P"/>
    <m/>
    <m/>
    <m/>
    <s v="Cherie M. Rossman, FNP"/>
    <s v="E0370655"/>
    <s v="No"/>
    <s v="No"/>
    <s v="No"/>
    <s v="No"/>
    <s v="No"/>
    <s v="No"/>
    <s v="No"/>
    <s v="No"/>
    <n v="0"/>
    <s v="No"/>
    <s v="No"/>
    <x v="2"/>
    <s v=""/>
    <s v=""/>
    <s v=""/>
    <s v=""/>
    <s v=""/>
    <s v=""/>
    <s v=""/>
    <s v=""/>
    <s v=""/>
    <s v=""/>
    <n v="1"/>
    <s v=""/>
  </r>
  <r>
    <x v="0"/>
    <m/>
    <m/>
    <m/>
    <m/>
    <s v="CHIKUNGUWO SILAS DR."/>
    <m/>
    <m/>
    <m/>
    <m/>
    <s v="CHIKUNGUWO SILAS MBASERA"/>
    <s v="179 N BROAD ST"/>
    <s v="NORWICH"/>
    <s v="NY"/>
    <s v="13815-1019"/>
    <s v="PHYSICIAN"/>
    <s v="M"/>
    <s v="No"/>
    <s v="MMIS"/>
    <s v="EastRPU"/>
    <s v="P"/>
    <m/>
    <m/>
    <m/>
    <s v=""/>
    <s v="E0362262"/>
    <n v="1"/>
    <n v="1"/>
    <n v="0"/>
    <n v="1"/>
    <n v="1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s v="c/o Hillside Children's Center, 1183 Monroe Avenue"/>
    <s v="Rochester"/>
    <s v="NY"/>
    <s v="14620"/>
    <m/>
    <m/>
    <m/>
    <m/>
    <m/>
    <m/>
    <m/>
    <m/>
    <m/>
    <m/>
    <m/>
    <s v="M"/>
    <s v="No"/>
    <s v="No NPI or MMIS"/>
    <s v="SouthRPU"/>
    <s v="P"/>
    <m/>
    <m/>
    <m/>
    <s v="Children's Health Home of Upstate New York"/>
    <m/>
    <s v="No"/>
    <s v="No"/>
    <s v="No"/>
    <s v="No"/>
    <s v="No"/>
    <s v="No"/>
    <s v="No"/>
    <s v="No"/>
    <n v="0"/>
    <s v="No"/>
    <s v="No"/>
    <x v="1"/>
    <s v=""/>
    <s v=""/>
    <s v=""/>
    <s v=""/>
    <s v=""/>
    <s v=""/>
    <s v=""/>
    <s v=""/>
    <s v=""/>
    <n v="1"/>
    <s v=""/>
    <s v=""/>
  </r>
  <r>
    <x v="0"/>
    <s v="638 Squirrel Hill Road"/>
    <s v="Chenango Forks"/>
    <s v="NY"/>
    <s v="13746"/>
    <m/>
    <m/>
    <m/>
    <m/>
    <m/>
    <m/>
    <m/>
    <m/>
    <m/>
    <m/>
    <m/>
    <s v="M"/>
    <s v="No"/>
    <s v="No NPI or MMIS"/>
    <s v="SouthRPU"/>
    <s v="P"/>
    <m/>
    <m/>
    <m/>
    <s v="Children's Home Inc. dba/Stillwater RTF"/>
    <m/>
    <s v="No"/>
    <s v="No"/>
    <s v="No"/>
    <s v="No"/>
    <s v="No"/>
    <s v="No"/>
    <s v="No"/>
    <s v="No"/>
    <n v="0"/>
    <s v="No"/>
    <s v="No"/>
    <x v="1"/>
    <s v=""/>
    <s v=""/>
    <s v=""/>
    <s v=""/>
    <s v=""/>
    <s v=""/>
    <s v=""/>
    <s v=""/>
    <s v=""/>
    <n v="1"/>
    <s v=""/>
    <s v=""/>
  </r>
  <r>
    <x v="1"/>
    <m/>
    <m/>
    <m/>
    <m/>
    <s v="CHILDRENS HOME RTF INC"/>
    <m/>
    <m/>
    <m/>
    <m/>
    <s v="RTF CHILDRENS HOME RTF INC"/>
    <s v="638 SQUIRREL HILL RD"/>
    <s v="CHENANGO FORKS"/>
    <s v="NY"/>
    <s v="13746-2145"/>
    <s v="CHILD CARE INSTITUTION"/>
    <s v="M"/>
    <s v="No"/>
    <s v="MMIS"/>
    <s v="SouthRPU"/>
    <s v="P"/>
    <m/>
    <m/>
    <m/>
    <s v=""/>
    <s v="E0168599"/>
    <n v="0"/>
    <n v="0"/>
    <n v="0"/>
    <n v="0"/>
    <n v="0"/>
    <n v="0"/>
    <n v="0"/>
    <n v="0"/>
    <n v="0"/>
    <n v="0"/>
    <n v="0"/>
    <x v="1"/>
    <s v=""/>
    <s v=""/>
    <s v=""/>
    <s v=""/>
    <n v="1"/>
    <s v=""/>
    <s v=""/>
    <s v=""/>
    <s v=""/>
    <s v=""/>
    <s v=""/>
    <s v=""/>
  </r>
  <r>
    <x v="0"/>
    <m/>
    <m/>
    <m/>
    <m/>
    <s v="CHISDAK MICHAEL"/>
    <m/>
    <m/>
    <m/>
    <m/>
    <s v="CHISDAK MICHAEL WILLIAM MD"/>
    <s v="52 HARRISON ST"/>
    <s v="JOHNSON CITY"/>
    <s v="NY"/>
    <s v="13790-2120"/>
    <s v="PHYSICIAN"/>
    <s v="M"/>
    <s v="No"/>
    <s v="MMIS"/>
    <s v="SouthRPU"/>
    <s v="P"/>
    <m/>
    <m/>
    <m/>
    <s v="CHISDAK MICHAEL"/>
    <s v="E0215179"/>
    <s v="No"/>
    <s v="No"/>
    <s v="No"/>
    <s v="No"/>
    <s v="No"/>
    <s v="No"/>
    <s v="No"/>
    <s v="No"/>
    <n v="0"/>
    <s v="No"/>
    <s v="No"/>
    <x v="1"/>
    <n v="1"/>
    <s v=""/>
    <s v=""/>
    <s v=""/>
    <s v=""/>
    <s v=""/>
    <s v=""/>
    <s v=""/>
    <s v=""/>
    <s v=""/>
    <n v="1"/>
    <s v=""/>
  </r>
  <r>
    <x v="0"/>
    <m/>
    <m/>
    <m/>
    <m/>
    <s v="CHIVATE VANDANA DR."/>
    <m/>
    <m/>
    <m/>
    <m/>
    <s v="CHIVATE VANDANAMD"/>
    <s v="GUTHRIE SQUARE"/>
    <s v="SAYRE"/>
    <s v="PA"/>
    <s v="18840"/>
    <s v="PHYSICIAN"/>
    <s v="M"/>
    <s v="No"/>
    <s v="MMIS"/>
    <s v="SouthRPU"/>
    <s v="P"/>
    <m/>
    <m/>
    <m/>
    <s v=""/>
    <s v="E0081263"/>
    <n v="1"/>
    <n v="1"/>
    <n v="0"/>
    <n v="0"/>
    <n v="0"/>
    <n v="0"/>
    <n v="0"/>
    <n v="0"/>
    <n v="0"/>
    <n v="1"/>
    <n v="0"/>
    <x v="1"/>
    <n v="1"/>
    <s v=""/>
    <s v=""/>
    <s v=""/>
    <s v=""/>
    <s v=""/>
    <s v=""/>
    <s v=""/>
    <s v=""/>
    <s v=""/>
    <n v="1"/>
    <s v=""/>
  </r>
  <r>
    <x v="0"/>
    <m/>
    <m/>
    <m/>
    <m/>
    <s v="CHOI JOSEPH"/>
    <m/>
    <m/>
    <m/>
    <m/>
    <s v="CHOI JOSEPH YOUNG"/>
    <s v="1 GUTHRIE SQ"/>
    <s v="SAYRE"/>
    <s v="PA"/>
    <s v="18840-1625"/>
    <s v="PHYSICIAN"/>
    <s v="M"/>
    <s v="No"/>
    <s v="MMIS"/>
    <s v="SouthRPU"/>
    <s v="P"/>
    <m/>
    <m/>
    <m/>
    <s v=""/>
    <s v="E0297737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CHOI SUSAN DR."/>
    <m/>
    <m/>
    <m/>
    <m/>
    <s v="CHOI SUSAN MD"/>
    <s v="GUTHRIE MEDICAL GRP"/>
    <s v="CORNING"/>
    <s v="NY"/>
    <s v="14830-2287"/>
    <s v="PHYSICIAN"/>
    <s v="M"/>
    <s v="No"/>
    <s v="MMIS"/>
    <s v="WestRPU"/>
    <s v="P"/>
    <m/>
    <m/>
    <m/>
    <s v=""/>
    <s v="E0177691"/>
    <n v="1"/>
    <n v="1"/>
    <n v="0"/>
    <n v="0"/>
    <n v="0"/>
    <n v="0"/>
    <n v="0"/>
    <n v="1"/>
    <n v="1"/>
    <n v="1"/>
    <n v="0"/>
    <x v="2"/>
    <s v=""/>
    <s v=""/>
    <s v=""/>
    <s v=""/>
    <s v=""/>
    <s v=""/>
    <s v=""/>
    <s v=""/>
    <s v=""/>
    <s v=""/>
    <n v="1"/>
    <s v=""/>
  </r>
  <r>
    <x v="0"/>
    <m/>
    <m/>
    <m/>
    <m/>
    <s v="SIGNS CHRISTINA"/>
    <m/>
    <m/>
    <m/>
    <m/>
    <s v="SIGNS CHRISTINA E"/>
    <s v="169 RIVERSIDE DR"/>
    <s v="BINGHAMTON"/>
    <s v="NY"/>
    <s v="13905-4246"/>
    <s v="PHYSICIAN"/>
    <s v="M"/>
    <s v="No"/>
    <s v="MMIS"/>
    <s v="SouthRPU"/>
    <s v="P"/>
    <m/>
    <m/>
    <m/>
    <s v="Christina E. Signs, PA-C"/>
    <s v="E0370586"/>
    <s v="No"/>
    <s v="No"/>
    <s v="No"/>
    <s v="No"/>
    <s v="No"/>
    <s v="No"/>
    <s v="No"/>
    <s v="No"/>
    <n v="0"/>
    <s v="No"/>
    <s v="No"/>
    <x v="1"/>
    <n v="1"/>
    <s v=""/>
    <s v=""/>
    <s v=""/>
    <s v=""/>
    <s v=""/>
    <s v=""/>
    <s v=""/>
    <s v=""/>
    <s v=""/>
    <s v=""/>
    <s v=""/>
  </r>
  <r>
    <x v="0"/>
    <m/>
    <m/>
    <m/>
    <m/>
    <s v="KLUFAS CHRISTINA"/>
    <m/>
    <m/>
    <m/>
    <m/>
    <s v="KLUFAS CHRISTINA IRENE"/>
    <s v="101 DATES DR"/>
    <s v="ITHACA"/>
    <s v="NY"/>
    <s v="14850-1342"/>
    <s v="PHYSICIAN"/>
    <s v="M"/>
    <s v="No"/>
    <s v="MMIS"/>
    <s v="NorthRPU"/>
    <s v="P"/>
    <m/>
    <m/>
    <m/>
    <s v=""/>
    <s v="E0132028"/>
    <n v="1"/>
    <n v="1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1"/>
    <m/>
    <m/>
    <m/>
    <m/>
    <s v="ATKINS CHRISTINE"/>
    <m/>
    <m/>
    <m/>
    <m/>
    <s v="ATKINS CHRISTINE"/>
    <s v="5900 N BURDICK ST"/>
    <s v="EAST SYRACUSE"/>
    <s v="NY"/>
    <s v="13057-9465"/>
    <s v="PHYSICIAN"/>
    <s v="M"/>
    <s v="No"/>
    <s v="MMIS"/>
    <s v="NorthRPU"/>
    <s v="P"/>
    <m/>
    <m/>
    <m/>
    <s v=""/>
    <s v="E0081594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FENLON CHRISTINE"/>
    <m/>
    <m/>
    <m/>
    <m/>
    <s v="FENLON CHRISTINE H         MD"/>
    <s v="177 RIVERSIDE DR"/>
    <s v="JOHNSON CITY"/>
    <s v="NY"/>
    <s v="13790-2743"/>
    <s v="PHYSICIAN"/>
    <s v="M"/>
    <s v="No"/>
    <s v="MMIS"/>
    <s v="SouthRPU"/>
    <s v="P"/>
    <m/>
    <m/>
    <m/>
    <s v=""/>
    <s v="E0208118"/>
    <n v="1"/>
    <n v="1"/>
    <n v="0"/>
    <n v="1"/>
    <n v="1"/>
    <n v="0"/>
    <n v="0"/>
    <n v="0"/>
    <n v="0"/>
    <n v="0"/>
    <n v="1"/>
    <x v="1"/>
    <n v="1"/>
    <s v=""/>
    <s v=""/>
    <s v=""/>
    <s v=""/>
    <s v=""/>
    <s v=""/>
    <s v=""/>
    <s v=""/>
    <s v=""/>
    <s v=""/>
    <s v=""/>
  </r>
  <r>
    <x v="0"/>
    <m/>
    <m/>
    <m/>
    <m/>
    <s v="MOHEIMANI CHRISTOPHER DR."/>
    <m/>
    <m/>
    <m/>
    <m/>
    <s v="MOHEIMANI CHRISTOPHER H MD"/>
    <s v="129 NORTH ST"/>
    <s v="DRYDEN"/>
    <s v="NY"/>
    <s v="13053-8501"/>
    <s v="PHYSICIAN"/>
    <s v="M"/>
    <s v="No"/>
    <s v="MMIS"/>
    <s v="NorthRPU"/>
    <s v="P"/>
    <m/>
    <m/>
    <m/>
    <s v=""/>
    <s v="E0112422"/>
    <n v="1"/>
    <n v="1"/>
    <n v="0"/>
    <n v="0"/>
    <n v="1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SCIANNA CHRISTOPHER DR."/>
    <m/>
    <m/>
    <m/>
    <m/>
    <s v="SCIANNA CHRISTOPHER ROBERT DO"/>
    <s v="101 DATES DR"/>
    <s v="ITHACA"/>
    <s v="NY"/>
    <s v="14850-1383"/>
    <s v="PHYSICIAN"/>
    <s v="M"/>
    <s v="No"/>
    <s v="MMIS"/>
    <s v="NorthRPU"/>
    <s v="P"/>
    <m/>
    <m/>
    <m/>
    <s v=""/>
    <s v="E0307353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SMITH CHRISTOPHER DR."/>
    <m/>
    <m/>
    <m/>
    <m/>
    <s v="SMITH CHRISTOPHER ALLAN"/>
    <m/>
    <s v="ITHACA"/>
    <s v="NY"/>
    <s v="14850-1589"/>
    <s v="PHYSICIAN"/>
    <s v="M"/>
    <s v="No"/>
    <s v="MMIS"/>
    <s v="NorthRPU"/>
    <s v="P"/>
    <m/>
    <m/>
    <m/>
    <s v=""/>
    <s v="E0125212"/>
    <n v="1"/>
    <n v="1"/>
    <n v="0"/>
    <n v="0"/>
    <n v="1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WINTERSTEIN CHRISTOPHER"/>
    <m/>
    <m/>
    <m/>
    <m/>
    <s v="WINTERSTEIN CHRISTOPHER JAMES"/>
    <s v="4 NEWTON AVE"/>
    <s v="NORWICH"/>
    <s v="NY"/>
    <s v="13815-1153"/>
    <s v="PHYSICIAN"/>
    <s v="M"/>
    <s v="No"/>
    <s v="MMIS"/>
    <s v="SouthRPU"/>
    <s v="P"/>
    <m/>
    <m/>
    <m/>
    <s v=""/>
    <s v="E0342147"/>
    <n v="1"/>
    <n v="1"/>
    <n v="0"/>
    <n v="1"/>
    <n v="1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CHRISTOPHERSEN REBECCA"/>
    <m/>
    <m/>
    <m/>
    <m/>
    <s v="CHRISTOPHERSEN REBECCA NP"/>
    <s v="91 CHENANGO BRIDGE RD"/>
    <s v="BINGHAMTON"/>
    <s v="NY"/>
    <s v="13901-1293"/>
    <s v="PHYSICIAN"/>
    <s v="M"/>
    <s v="No"/>
    <s v="MMIS"/>
    <s v="SouthRPU"/>
    <s v="P"/>
    <m/>
    <m/>
    <m/>
    <s v="CHRISTOPHERSEN REBECCA"/>
    <s v="E0027388"/>
    <s v="No"/>
    <s v="No"/>
    <s v="No"/>
    <s v="No"/>
    <s v="No"/>
    <s v="No"/>
    <s v="No"/>
    <s v="No"/>
    <n v="0"/>
    <s v="No"/>
    <s v="No"/>
    <x v="1"/>
    <s v=""/>
    <s v=""/>
    <s v=""/>
    <s v=""/>
    <s v=""/>
    <s v=""/>
    <s v=""/>
    <s v=""/>
    <s v=""/>
    <s v=""/>
    <s v=""/>
    <n v="1"/>
  </r>
  <r>
    <x v="0"/>
    <m/>
    <m/>
    <m/>
    <m/>
    <s v="CHUNG-HUSSAIN HELEN"/>
    <m/>
    <m/>
    <m/>
    <m/>
    <s v="CHUNG-HUSSAIN HELEN K DO"/>
    <s v="502 5TH AVE"/>
    <s v="OWEGO"/>
    <s v="NY"/>
    <s v="13827-1635"/>
    <s v="PHYSICIAN"/>
    <s v="M"/>
    <s v="No"/>
    <s v="MMIS"/>
    <s v="SouthRPU"/>
    <s v="P"/>
    <m/>
    <m/>
    <m/>
    <s v=""/>
    <s v="E0322541"/>
    <n v="0"/>
    <n v="0"/>
    <n v="0"/>
    <n v="0"/>
    <n v="0"/>
    <n v="0"/>
    <n v="0"/>
    <n v="0"/>
    <n v="0"/>
    <n v="0"/>
    <n v="0"/>
    <x v="2"/>
    <n v="1"/>
    <s v=""/>
    <s v=""/>
    <s v=""/>
    <s v=""/>
    <s v=""/>
    <s v=""/>
    <s v=""/>
    <s v=""/>
    <s v=""/>
    <n v="1"/>
    <s v=""/>
  </r>
  <r>
    <x v="0"/>
    <m/>
    <m/>
    <m/>
    <m/>
    <s v="GORDON CINDY"/>
    <m/>
    <m/>
    <m/>
    <m/>
    <s v="GORDON CINDY MD"/>
    <s v="5 EVERGREEN STREET"/>
    <s v="DRYDEN"/>
    <s v="NY"/>
    <s v="13053"/>
    <s v="PHYSICIAN"/>
    <s v="M"/>
    <s v="No"/>
    <s v="MMIS"/>
    <s v="NorthRPU"/>
    <s v="P"/>
    <m/>
    <m/>
    <m/>
    <s v=""/>
    <s v="E0123637"/>
    <n v="0"/>
    <n v="0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CLARK-BRUNING JENNIFER"/>
    <m/>
    <m/>
    <m/>
    <m/>
    <s v="CLARK JENNIFER R RPA"/>
    <s v="157 E MAIN ST"/>
    <s v="NORWICH"/>
    <s v="NY"/>
    <s v="13815-1521"/>
    <s v="PHYSICIAN"/>
    <s v="M"/>
    <s v="No"/>
    <s v="MMIS"/>
    <s v="EastRPU"/>
    <s v="P"/>
    <m/>
    <m/>
    <m/>
    <s v=""/>
    <s v="E0039111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CLAUSON LISA MS."/>
    <m/>
    <m/>
    <m/>
    <m/>
    <s v="CLAUSON LISA MARIE"/>
    <s v="302 W SENECA ST"/>
    <s v="ITHACA"/>
    <s v="NY"/>
    <s v="14850-4130"/>
    <s v="PHYSICIAN"/>
    <s v="M"/>
    <s v="No"/>
    <s v="MMIS"/>
    <s v="NorthRPU"/>
    <s v="P"/>
    <m/>
    <m/>
    <m/>
    <s v="CLAUSON LISA MS."/>
    <s v="E0091975"/>
    <s v="No"/>
    <s v="No"/>
    <s v="No"/>
    <s v="No"/>
    <s v="No"/>
    <s v="No"/>
    <s v="No"/>
    <s v="No"/>
    <n v="0"/>
    <s v="No"/>
    <s v="No"/>
    <x v="2"/>
    <s v=""/>
    <s v=""/>
    <s v=""/>
    <s v=""/>
    <s v=""/>
    <s v=""/>
    <s v=""/>
    <s v=""/>
    <s v=""/>
    <s v=""/>
    <n v="1"/>
    <s v=""/>
  </r>
  <r>
    <x v="0"/>
    <m/>
    <m/>
    <m/>
    <m/>
    <s v="VANDOREN CLAY MR."/>
    <m/>
    <m/>
    <m/>
    <m/>
    <s v="VAN DOREN CLAY JAMES"/>
    <s v="196 NORTH ST"/>
    <s v="GENEVA"/>
    <s v="NY"/>
    <s v="14456-1651"/>
    <s v="PHYSICIAN"/>
    <s v="M"/>
    <s v="No"/>
    <s v="MMIS"/>
    <s v="NorthRPU"/>
    <s v="P"/>
    <m/>
    <m/>
    <m/>
    <s v=""/>
    <s v="E0117847"/>
    <n v="0"/>
    <n v="0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CLOWES JACKIE"/>
    <m/>
    <m/>
    <m/>
    <m/>
    <s v="CLOWES JACKIE ANNE"/>
    <s v="1 GUTHRIE SQ"/>
    <s v="SAYRE"/>
    <s v="PA"/>
    <s v="18840-1625"/>
    <s v="PHYSICIAN"/>
    <s v="M"/>
    <s v="No"/>
    <s v="MMIS"/>
    <s v="SouthRPU"/>
    <s v="P"/>
    <m/>
    <m/>
    <m/>
    <s v=""/>
    <s v="E0308621"/>
    <n v="1"/>
    <n v="1"/>
    <n v="0"/>
    <n v="0"/>
    <n v="0"/>
    <n v="0"/>
    <n v="0"/>
    <n v="0"/>
    <n v="0"/>
    <n v="1"/>
    <n v="0"/>
    <x v="1"/>
    <n v="1"/>
    <s v=""/>
    <s v=""/>
    <s v=""/>
    <s v=""/>
    <s v=""/>
    <s v=""/>
    <s v=""/>
    <s v=""/>
    <s v=""/>
    <n v="1"/>
    <s v=""/>
  </r>
  <r>
    <x v="0"/>
    <m/>
    <m/>
    <m/>
    <m/>
    <s v="CMH SERVICES, INC"/>
    <m/>
    <m/>
    <m/>
    <m/>
    <s v="CMH SERVICES INC"/>
    <s v="160 HOMER AVE"/>
    <s v="CORTLAND"/>
    <s v="NY"/>
    <s v="13045-1255"/>
    <s v="MEDICAL APPLIANCE DEALER"/>
    <s v="M"/>
    <s v="No"/>
    <s v="MMIS"/>
    <s v="NorthRPU"/>
    <s v="P"/>
    <m/>
    <m/>
    <m/>
    <s v=""/>
    <s v="E0141156"/>
    <n v="1"/>
    <n v="1"/>
    <n v="0"/>
    <n v="1"/>
    <n v="1"/>
    <n v="0"/>
    <n v="0"/>
    <n v="0"/>
    <n v="0"/>
    <n v="0"/>
    <n v="0"/>
    <x v="1"/>
    <s v=""/>
    <s v=""/>
    <s v=""/>
    <s v=""/>
    <s v=""/>
    <s v=""/>
    <s v=""/>
    <s v=""/>
    <s v=""/>
    <s v=""/>
    <s v=""/>
    <n v="1"/>
  </r>
  <r>
    <x v="0"/>
    <m/>
    <m/>
    <m/>
    <m/>
    <s v="COLAS CRAIG DR."/>
    <m/>
    <m/>
    <m/>
    <m/>
    <s v="COLAS CRAIG STANLEY       DDS"/>
    <s v="241 GLENWOOD ROAD"/>
    <s v="BINGHAMTON"/>
    <s v="NY"/>
    <s v="13905"/>
    <s v="DENTIST"/>
    <s v="M"/>
    <s v="No"/>
    <s v="MMIS"/>
    <s v="SouthRPU"/>
    <s v="P"/>
    <m/>
    <m/>
    <m/>
    <s v=""/>
    <s v="E0209013"/>
    <n v="1"/>
    <n v="1"/>
    <n v="0"/>
    <n v="1"/>
    <n v="1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COLE FRANK"/>
    <m/>
    <m/>
    <m/>
    <m/>
    <s v="COLE FRANK C III  MD"/>
    <s v="GUTHRIE MED GROUP"/>
    <s v="VESTAL"/>
    <s v="NY"/>
    <s v="13850-2088"/>
    <s v="PHYSICIAN"/>
    <s v="M"/>
    <s v="No"/>
    <s v="MMIS"/>
    <s v="SouthRPU"/>
    <s v="P"/>
    <m/>
    <m/>
    <m/>
    <s v=""/>
    <s v="E0178870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COLEMAN JANICE"/>
    <m/>
    <m/>
    <m/>
    <m/>
    <s v="COLEMAN JANICE M"/>
    <s v="736 IRVING AVE"/>
    <s v="SYRACUSE"/>
    <s v="NY"/>
    <s v="13210-1687"/>
    <s v="PHYSICIAN"/>
    <s v="M"/>
    <s v="No"/>
    <s v="MMIS"/>
    <s v="NorthRPU"/>
    <s v="P"/>
    <m/>
    <m/>
    <m/>
    <s v="COLEMAN JANICE"/>
    <s v="E0371829"/>
    <s v="No"/>
    <s v="No"/>
    <s v="No"/>
    <s v="No"/>
    <s v="No"/>
    <s v="No"/>
    <s v="No"/>
    <s v="No"/>
    <n v="0"/>
    <s v="No"/>
    <s v="No"/>
    <x v="1"/>
    <s v=""/>
    <s v=""/>
    <s v=""/>
    <s v=""/>
    <s v=""/>
    <s v=""/>
    <s v=""/>
    <s v=""/>
    <s v=""/>
    <s v=""/>
    <s v=""/>
    <n v="1"/>
  </r>
  <r>
    <x v="0"/>
    <m/>
    <m/>
    <m/>
    <m/>
    <s v="DAURIA COLIN"/>
    <m/>
    <m/>
    <m/>
    <m/>
    <s v="DAURIA COLIN KENNETH"/>
    <s v="101 DATES DR"/>
    <s v="ITHACA"/>
    <s v="NY"/>
    <s v="14850-1342"/>
    <s v="PHYSICIAN"/>
    <s v="M"/>
    <s v="No"/>
    <s v="MMIS"/>
    <s v="NorthRPU"/>
    <s v="P"/>
    <m/>
    <m/>
    <m/>
    <s v=""/>
    <s v="E0382296"/>
    <n v="1"/>
    <n v="1"/>
    <n v="0"/>
    <n v="0"/>
    <n v="0"/>
    <n v="0"/>
    <n v="0"/>
    <n v="0"/>
    <n v="0"/>
    <n v="0"/>
    <n v="0"/>
    <x v="1"/>
    <n v="1"/>
    <s v=""/>
    <s v=""/>
    <s v=""/>
    <n v="1"/>
    <s v=""/>
    <s v=""/>
    <s v=""/>
    <s v=""/>
    <s v=""/>
    <s v=""/>
    <s v=""/>
  </r>
  <r>
    <x v="0"/>
    <s v="179 Graham Road Ste. F"/>
    <s v="Ithaca"/>
    <s v="NY"/>
    <s v="14850"/>
    <m/>
    <m/>
    <m/>
    <m/>
    <m/>
    <m/>
    <m/>
    <m/>
    <m/>
    <m/>
    <m/>
    <s v="M"/>
    <s v="No"/>
    <s v="No NPI or MMIS"/>
    <s v="NorthRPU"/>
    <s v="P"/>
    <m/>
    <m/>
    <m/>
    <s v="Comfort Keepers"/>
    <m/>
    <s v="No"/>
    <s v="No"/>
    <s v="No"/>
    <s v="No"/>
    <s v="No"/>
    <s v="No"/>
    <s v="No"/>
    <s v="No"/>
    <n v="0"/>
    <s v="No"/>
    <s v="No"/>
    <x v="1"/>
    <s v=""/>
    <s v=""/>
    <s v=""/>
    <s v=""/>
    <s v=""/>
    <s v=""/>
    <s v=""/>
    <s v=""/>
    <s v=""/>
    <n v="1"/>
    <s v=""/>
    <s v=""/>
  </r>
  <r>
    <x v="0"/>
    <s v="PO Box 100 Roki Blvd"/>
    <s v="Nichols"/>
    <s v="NY"/>
    <s v="13812"/>
    <m/>
    <m/>
    <m/>
    <m/>
    <m/>
    <m/>
    <m/>
    <m/>
    <m/>
    <m/>
    <m/>
    <s v="M"/>
    <s v="No"/>
    <s v="No NPI or MMIS"/>
    <s v="SouthRPU"/>
    <s v="P"/>
    <m/>
    <m/>
    <m/>
    <s v=""/>
    <s v="Community Care Network of Nichols"/>
    <n v="1"/>
    <n v="1"/>
    <s v="No"/>
    <n v="1"/>
    <s v="No"/>
    <s v="No"/>
    <s v="No"/>
    <s v="No"/>
    <n v="0"/>
    <s v="No"/>
    <s v="No"/>
    <x v="1"/>
    <s v=""/>
    <s v=""/>
    <s v=""/>
    <s v=""/>
    <s v=""/>
    <s v=""/>
    <s v=""/>
    <s v=""/>
    <s v=""/>
    <n v="1"/>
    <s v=""/>
    <s v=""/>
  </r>
  <r>
    <x v="0"/>
    <m/>
    <m/>
    <m/>
    <m/>
    <s v="COMMUNITY HEALTH AND HOME CARE, INC."/>
    <m/>
    <m/>
    <m/>
    <m/>
    <s v="COMMUNITY HLTH AND HOME CARE INC"/>
    <s v="138 CECIL MALONE DR"/>
    <s v="ITHACA"/>
    <s v="NY"/>
    <s v="14850-5124"/>
    <s v="NURSE"/>
    <s v="M"/>
    <s v="No"/>
    <s v="MMIS"/>
    <s v="NorthRPU"/>
    <s v="P"/>
    <m/>
    <m/>
    <m/>
    <s v="COMMUNITY HEALTH AND HOME CARE, INC."/>
    <s v="E0060841"/>
    <s v="No"/>
    <s v="No"/>
    <s v="No"/>
    <s v="No"/>
    <s v="No"/>
    <s v="No"/>
    <s v="No"/>
    <s v="No"/>
    <n v="0"/>
    <s v="No"/>
    <s v="No"/>
    <x v="1"/>
    <s v=""/>
    <s v=""/>
    <s v=""/>
    <s v=""/>
    <s v=""/>
    <s v=""/>
    <s v=""/>
    <s v=""/>
    <s v=""/>
    <s v=""/>
    <n v="1"/>
    <s v=""/>
  </r>
  <r>
    <x v="0"/>
    <s v="550 E. Church Street"/>
    <s v="Elmira"/>
    <s v="NY"/>
    <s v="14901"/>
    <m/>
    <m/>
    <m/>
    <m/>
    <m/>
    <m/>
    <m/>
    <m/>
    <m/>
    <m/>
    <m/>
    <s v="M"/>
    <s v="No"/>
    <s v="No NPI or MMIS"/>
    <s v="WestRPU"/>
    <s v="P"/>
    <m/>
    <m/>
    <m/>
    <s v="Compeer Chemung"/>
    <m/>
    <s v="No"/>
    <s v="No"/>
    <s v="No"/>
    <s v="No"/>
    <s v="No"/>
    <s v="No"/>
    <s v="No"/>
    <s v="No"/>
    <n v="0"/>
    <s v="No"/>
    <s v="No"/>
    <x v="1"/>
    <s v=""/>
    <s v=""/>
    <s v=""/>
    <s v=""/>
    <s v=""/>
    <s v=""/>
    <s v=""/>
    <s v=""/>
    <s v=""/>
    <n v="1"/>
    <s v=""/>
    <s v=""/>
  </r>
  <r>
    <x v="0"/>
    <s v="153 Court Street"/>
    <s v="Binghamton"/>
    <s v="NY"/>
    <s v="13901"/>
    <m/>
    <m/>
    <m/>
    <m/>
    <m/>
    <m/>
    <m/>
    <m/>
    <m/>
    <m/>
    <m/>
    <s v="M"/>
    <s v="No"/>
    <s v="No NPI or MMIS"/>
    <s v="SouthRPU"/>
    <s v="P"/>
    <m/>
    <m/>
    <m/>
    <s v="Compeer of the Southern Tier"/>
    <m/>
    <s v="No"/>
    <s v="No"/>
    <s v="No"/>
    <s v="No"/>
    <s v="No"/>
    <s v="No"/>
    <s v="No"/>
    <s v="No"/>
    <n v="0"/>
    <s v="No"/>
    <s v="No"/>
    <x v="1"/>
    <s v=""/>
    <s v=""/>
    <s v=""/>
    <s v=""/>
    <s v=""/>
    <s v=""/>
    <s v=""/>
    <s v=""/>
    <s v=""/>
    <n v="1"/>
    <s v=""/>
    <s v=""/>
  </r>
  <r>
    <x v="0"/>
    <s v="114 Chestnut Street"/>
    <s v="Corning"/>
    <s v="NY"/>
    <s v="14830"/>
    <m/>
    <m/>
    <m/>
    <m/>
    <m/>
    <m/>
    <m/>
    <m/>
    <m/>
    <m/>
    <m/>
    <s v="M"/>
    <s v="No"/>
    <s v="No NPI or MMIS"/>
    <s v="WestRPU"/>
    <s v="P"/>
    <m/>
    <m/>
    <m/>
    <s v="Compeer Steuben"/>
    <m/>
    <s v="No"/>
    <s v="No"/>
    <s v="No"/>
    <s v="No"/>
    <s v="No"/>
    <s v="No"/>
    <s v="No"/>
    <s v="No"/>
    <n v="0"/>
    <s v="No"/>
    <s v="No"/>
    <x v="1"/>
    <s v=""/>
    <s v=""/>
    <s v=""/>
    <s v=""/>
    <s v=""/>
    <s v=""/>
    <s v=""/>
    <s v=""/>
    <s v=""/>
    <n v="1"/>
    <s v=""/>
    <s v=""/>
  </r>
  <r>
    <x v="0"/>
    <s v="1600 South Avenue"/>
    <s v="Rochester"/>
    <s v="NY"/>
    <s v="14620"/>
    <m/>
    <m/>
    <m/>
    <m/>
    <m/>
    <m/>
    <m/>
    <m/>
    <m/>
    <m/>
    <m/>
    <s v="M"/>
    <s v="No"/>
    <s v="No NPI or MMIS"/>
    <s v="SouthRPU"/>
    <s v="P"/>
    <m/>
    <m/>
    <m/>
    <s v="Compeer, Inc."/>
    <m/>
    <s v="No"/>
    <s v="No"/>
    <s v="No"/>
    <s v="No"/>
    <s v="No"/>
    <s v="No"/>
    <s v="No"/>
    <s v="No"/>
    <n v="0"/>
    <s v="No"/>
    <s v="No"/>
    <x v="1"/>
    <s v=""/>
    <s v=""/>
    <s v=""/>
    <s v=""/>
    <s v=""/>
    <s v=""/>
    <s v=""/>
    <s v=""/>
    <s v=""/>
    <n v="1"/>
    <s v=""/>
    <s v=""/>
  </r>
  <r>
    <x v="0"/>
    <m/>
    <m/>
    <m/>
    <m/>
    <s v="CONGDON STACY"/>
    <m/>
    <m/>
    <m/>
    <m/>
    <s v="CONGDON STACY L"/>
    <s v="40 ARCH ST"/>
    <s v="JOHNSON CITY"/>
    <s v="NY"/>
    <s v="13790-2102"/>
    <s v="PHYSICIAN"/>
    <s v="M"/>
    <s v="No"/>
    <s v="MMIS"/>
    <s v="SouthRPU"/>
    <s v="P"/>
    <m/>
    <m/>
    <m/>
    <s v=""/>
    <s v="E0296069"/>
    <n v="0"/>
    <n v="0"/>
    <n v="0"/>
    <n v="0"/>
    <n v="0"/>
    <n v="0"/>
    <n v="0"/>
    <n v="0"/>
    <n v="0"/>
    <n v="0"/>
    <n v="0"/>
    <x v="2"/>
    <n v="1"/>
    <s v=""/>
    <s v=""/>
    <s v=""/>
    <s v=""/>
    <s v=""/>
    <s v=""/>
    <s v=""/>
    <s v=""/>
    <s v=""/>
    <n v="1"/>
    <s v=""/>
  </r>
  <r>
    <x v="1"/>
    <m/>
    <m/>
    <m/>
    <m/>
    <s v="CONIFER PARK, INC"/>
    <m/>
    <m/>
    <m/>
    <m/>
    <s v="CONIFER PARK"/>
    <s v="79 GLENRIDGE RD"/>
    <s v="GLENVILLE"/>
    <s v="NY"/>
    <s v="12302-4523"/>
    <s v="HOSPITAL"/>
    <s v="M"/>
    <s v="No"/>
    <s v="MMIS"/>
    <s v="NorthRPU"/>
    <s v="P"/>
    <m/>
    <m/>
    <m/>
    <s v=""/>
    <s v="E0157893"/>
    <n v="0"/>
    <n v="0"/>
    <n v="0"/>
    <n v="0"/>
    <n v="0"/>
    <n v="0"/>
    <n v="0"/>
    <n v="0"/>
    <n v="0"/>
    <n v="0"/>
    <n v="0"/>
    <x v="1"/>
    <s v=""/>
    <s v=""/>
    <s v=""/>
    <s v=""/>
    <s v=""/>
    <n v="1"/>
    <s v=""/>
    <s v=""/>
    <s v=""/>
    <s v=""/>
    <n v="1"/>
    <s v=""/>
  </r>
  <r>
    <x v="0"/>
    <m/>
    <m/>
    <m/>
    <m/>
    <s v="CONSOLAZIO ANTHONY"/>
    <m/>
    <m/>
    <m/>
    <m/>
    <s v="CONSOLAZIO ANTHONY JR MD"/>
    <s v="1302 E MAIN ST"/>
    <s v="ENDICOTT"/>
    <s v="NY"/>
    <s v="13760-5430"/>
    <s v="PHYSICIAN"/>
    <s v="M"/>
    <s v="No"/>
    <s v="MMIS"/>
    <s v="SouthRPU"/>
    <s v="P"/>
    <m/>
    <m/>
    <m/>
    <s v=""/>
    <s v="E0050243"/>
    <n v="1"/>
    <n v="1"/>
    <n v="0"/>
    <n v="1"/>
    <n v="1"/>
    <n v="0"/>
    <n v="0"/>
    <n v="0"/>
    <n v="0"/>
    <n v="0"/>
    <n v="0"/>
    <x v="2"/>
    <n v="1"/>
    <s v=""/>
    <s v=""/>
    <s v=""/>
    <s v=""/>
    <s v=""/>
    <s v=""/>
    <s v=""/>
    <s v=""/>
    <s v=""/>
    <n v="1"/>
    <s v=""/>
  </r>
  <r>
    <x v="0"/>
    <m/>
    <m/>
    <m/>
    <m/>
    <s v="CONTINI WILLIAM"/>
    <m/>
    <m/>
    <m/>
    <m/>
    <s v="CONTINI WILLIAM MD"/>
    <s v="601 RIVERSIDE DR"/>
    <s v="JOHNSON CITY"/>
    <s v="NY"/>
    <s v="13790-2597"/>
    <s v="PHYSICIAN"/>
    <s v="M"/>
    <s v="No"/>
    <s v="MMIS"/>
    <s v="SouthRPU"/>
    <s v="P"/>
    <m/>
    <m/>
    <m/>
    <s v=""/>
    <s v="E0241602"/>
    <n v="0"/>
    <n v="0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CONVERSE SUSAN"/>
    <m/>
    <m/>
    <m/>
    <m/>
    <s v="CONVERSE SUSAN MARIE"/>
    <s v="4 NEWTON AVE"/>
    <s v="NORWICH"/>
    <s v="NY"/>
    <s v="13815-1153"/>
    <s v="PHYSICIAN"/>
    <s v="M"/>
    <s v="No"/>
    <s v="MMIS"/>
    <s v="EastRPU"/>
    <s v="P"/>
    <m/>
    <m/>
    <m/>
    <s v=""/>
    <s v="E0315942"/>
    <n v="1"/>
    <n v="1"/>
    <n v="0"/>
    <n v="1"/>
    <n v="1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COOK ANNE MRS."/>
    <m/>
    <m/>
    <m/>
    <m/>
    <s v="COOK ANNE MARIE RPA"/>
    <s v="33 MITCHELL AVE STE G-50"/>
    <s v="BINGHAMTON"/>
    <s v="NY"/>
    <s v="13903-1642"/>
    <s v="PHYSICIAN"/>
    <s v="M"/>
    <s v="No"/>
    <s v="MMIS"/>
    <s v="SouthRPU"/>
    <s v="P"/>
    <m/>
    <m/>
    <m/>
    <s v=""/>
    <s v="E0063301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COOK HENRY"/>
    <m/>
    <m/>
    <m/>
    <m/>
    <s v="COOK HENRY NEAL"/>
    <s v="176 DENISON PKWY E"/>
    <s v="CORNING"/>
    <s v="NY"/>
    <s v="14830-2814"/>
    <s v="PHYSICIAN"/>
    <s v="M"/>
    <s v="No"/>
    <s v="MMIS"/>
    <s v="WestRPU"/>
    <s v="P"/>
    <m/>
    <m/>
    <m/>
    <s v=""/>
    <s v="E0001393"/>
    <n v="0"/>
    <n v="0"/>
    <n v="0"/>
    <n v="0"/>
    <n v="0"/>
    <n v="0"/>
    <n v="0"/>
    <n v="0"/>
    <n v="0"/>
    <n v="0"/>
    <n v="0"/>
    <x v="2"/>
    <n v="1"/>
    <s v=""/>
    <s v=""/>
    <s v=""/>
    <s v=""/>
    <s v=""/>
    <s v=""/>
    <s v=""/>
    <s v=""/>
    <s v=""/>
    <s v=""/>
    <s v=""/>
  </r>
  <r>
    <x v="0"/>
    <m/>
    <m/>
    <m/>
    <m/>
    <s v="COOK PAMELA"/>
    <m/>
    <m/>
    <m/>
    <m/>
    <s v="COOK PAMELA J MD"/>
    <s v="ENDWELL FAMILY PHYS"/>
    <s v="ENDWELL"/>
    <s v="NY"/>
    <s v="13760-3698"/>
    <s v="PHYSICIAN"/>
    <s v="M"/>
    <s v="No"/>
    <s v="MMIS"/>
    <s v="SouthRPU"/>
    <s v="P"/>
    <m/>
    <m/>
    <m/>
    <s v="COOK PAMELA"/>
    <s v="E0171647"/>
    <s v="No"/>
    <s v="No"/>
    <s v="No"/>
    <s v="No"/>
    <s v="No"/>
    <s v="No"/>
    <s v="No"/>
    <s v="No"/>
    <n v="0"/>
    <s v="No"/>
    <s v="No"/>
    <x v="2"/>
    <s v=""/>
    <s v=""/>
    <s v=""/>
    <s v=""/>
    <s v=""/>
    <s v=""/>
    <s v=""/>
    <s v=""/>
    <s v=""/>
    <s v=""/>
    <n v="1"/>
    <s v=""/>
  </r>
  <r>
    <x v="0"/>
    <m/>
    <m/>
    <m/>
    <m/>
    <s v="FOSTER CORA DR."/>
    <m/>
    <m/>
    <m/>
    <m/>
    <s v="FOSTER CORA LEE MD"/>
    <s v="1301 TRUMANSBURG RD"/>
    <s v="ITHACA"/>
    <s v="NY"/>
    <s v="14850-1397"/>
    <s v="PHYSICIAN"/>
    <s v="M"/>
    <s v="No"/>
    <s v="MMIS"/>
    <s v="NorthRPU"/>
    <s v="P"/>
    <m/>
    <m/>
    <m/>
    <s v=""/>
    <s v="E0133362"/>
    <n v="1"/>
    <n v="1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COREY MARK DR."/>
    <m/>
    <m/>
    <m/>
    <m/>
    <s v="COREY MARK J MD"/>
    <m/>
    <s v="WELLSBORO"/>
    <s v="PA"/>
    <s v="16901-1526"/>
    <s v="PHYSICIAN"/>
    <s v="M"/>
    <s v="No"/>
    <s v="MMIS"/>
    <s v="WestRPU"/>
    <s v="P"/>
    <m/>
    <m/>
    <m/>
    <s v=""/>
    <s v="E0107332"/>
    <n v="1"/>
    <n v="1"/>
    <n v="0"/>
    <n v="0"/>
    <n v="0"/>
    <n v="0"/>
    <n v="0"/>
    <n v="1"/>
    <n v="1"/>
    <n v="1"/>
    <n v="0"/>
    <x v="2"/>
    <s v=""/>
    <s v=""/>
    <s v=""/>
    <s v=""/>
    <s v=""/>
    <s v=""/>
    <s v=""/>
    <s v=""/>
    <s v=""/>
    <s v=""/>
    <n v="1"/>
    <s v=""/>
  </r>
  <r>
    <x v="1"/>
    <m/>
    <m/>
    <m/>
    <m/>
    <s v="COREY TIMOTHY DR."/>
    <m/>
    <m/>
    <m/>
    <m/>
    <s v="COREY TIMOTHY JAMES MD"/>
    <s v="179 N BROAD ST"/>
    <s v="NORWICH"/>
    <s v="NY"/>
    <s v="13815-1097"/>
    <s v="PHYSICIAN"/>
    <s v="M"/>
    <s v="No"/>
    <s v="MMIS"/>
    <s v="EastRPU"/>
    <s v="P"/>
    <m/>
    <m/>
    <m/>
    <s v=""/>
    <s v="E0132227"/>
    <n v="1"/>
    <n v="1"/>
    <n v="0"/>
    <n v="1"/>
    <n v="1"/>
    <n v="0"/>
    <n v="0"/>
    <n v="0"/>
    <n v="0"/>
    <n v="0"/>
    <n v="0"/>
    <x v="2"/>
    <n v="1"/>
    <s v=""/>
    <s v=""/>
    <s v=""/>
    <s v=""/>
    <s v=""/>
    <s v=""/>
    <s v=""/>
    <s v=""/>
    <s v=""/>
    <n v="1"/>
    <s v=""/>
  </r>
  <r>
    <x v="0"/>
    <s v="110 Ho Plaza"/>
    <s v="Ithaca"/>
    <s v="NY"/>
    <s v="14853"/>
    <m/>
    <m/>
    <m/>
    <m/>
    <m/>
    <m/>
    <m/>
    <m/>
    <m/>
    <m/>
    <m/>
    <s v="M"/>
    <s v="No"/>
    <s v="No NPI or MMIS"/>
    <s v="NorthRPU"/>
    <s v="P"/>
    <m/>
    <m/>
    <m/>
    <s v="Cornell University -- Gannett Health Services"/>
    <m/>
    <s v="No"/>
    <s v="No"/>
    <s v="No"/>
    <s v="No"/>
    <s v="No"/>
    <s v="No"/>
    <s v="No"/>
    <s v="No"/>
    <n v="0"/>
    <s v="No"/>
    <s v="No"/>
    <x v="1"/>
    <s v=""/>
    <s v=""/>
    <s v=""/>
    <s v=""/>
    <s v=""/>
    <s v=""/>
    <s v=""/>
    <s v=""/>
    <s v=""/>
    <n v="1"/>
    <s v=""/>
    <s v=""/>
  </r>
  <r>
    <x v="0"/>
    <m/>
    <m/>
    <m/>
    <m/>
    <m/>
    <m/>
    <m/>
    <m/>
    <m/>
    <m/>
    <m/>
    <m/>
    <m/>
    <m/>
    <m/>
    <s v="M"/>
    <s v="No"/>
    <s v="No NPI or MMIS"/>
    <s v="EastRPU"/>
    <s v="P"/>
    <m/>
    <m/>
    <m/>
    <s v="Cornell University Cooperative Extension of Delaware County"/>
    <m/>
    <s v="No"/>
    <s v="No"/>
    <s v="No"/>
    <s v="No"/>
    <s v="No"/>
    <s v="No"/>
    <s v="No"/>
    <s v="No"/>
    <n v="0"/>
    <s v="No"/>
    <s v="No"/>
    <x v="1"/>
    <s v=""/>
    <s v=""/>
    <s v=""/>
    <s v=""/>
    <s v=""/>
    <s v=""/>
    <s v=""/>
    <s v=""/>
    <s v=""/>
    <n v="1"/>
    <s v=""/>
    <s v=""/>
  </r>
  <r>
    <x v="0"/>
    <s v="35 Felters Road Building 8"/>
    <s v="Binghamton"/>
    <s v="NY"/>
    <s v="13903"/>
    <m/>
    <m/>
    <m/>
    <m/>
    <m/>
    <m/>
    <m/>
    <m/>
    <m/>
    <m/>
    <m/>
    <s v="M"/>
    <s v="No"/>
    <s v="No NPI or MMIS"/>
    <s v="SouthRPU"/>
    <s v="P"/>
    <m/>
    <m/>
    <m/>
    <s v=""/>
    <s v="Cornerstone Family Healthcare"/>
    <n v="1"/>
    <n v="1"/>
    <m/>
    <m/>
    <n v="1"/>
    <s v="No"/>
    <s v="No"/>
    <s v="No"/>
    <n v="0"/>
    <s v="No"/>
    <s v="No"/>
    <x v="1"/>
    <s v=""/>
    <s v=""/>
    <s v=""/>
    <s v=""/>
    <s v=""/>
    <s v=""/>
    <s v=""/>
    <s v=""/>
    <s v=""/>
    <n v="1"/>
    <s v=""/>
    <s v=""/>
  </r>
  <r>
    <x v="0"/>
    <m/>
    <m/>
    <m/>
    <m/>
    <s v="CORNWALL CLAUDE"/>
    <m/>
    <m/>
    <m/>
    <m/>
    <s v="CORNWALL CLAUDE"/>
    <s v="CORNWALL CLAUDE"/>
    <s v="ENDICOTT"/>
    <s v="NY"/>
    <s v="13760-5430"/>
    <s v="PHYSICIAN"/>
    <s v="M"/>
    <s v="No"/>
    <s v="MMIS"/>
    <s v="SouthRPU"/>
    <s v="P"/>
    <m/>
    <m/>
    <m/>
    <s v=""/>
    <s v="E0106400"/>
    <n v="1"/>
    <n v="1"/>
    <n v="0"/>
    <n v="1"/>
    <n v="1"/>
    <n v="0"/>
    <n v="0"/>
    <n v="0"/>
    <n v="0"/>
    <n v="0"/>
    <n v="0"/>
    <x v="1"/>
    <s v=""/>
    <s v=""/>
    <s v=""/>
    <s v=""/>
    <s v=""/>
    <s v=""/>
    <s v=""/>
    <s v=""/>
    <s v=""/>
    <s v=""/>
    <s v=""/>
    <n v="1"/>
  </r>
  <r>
    <x v="0"/>
    <m/>
    <m/>
    <m/>
    <m/>
    <s v="CORPORA CARA DR."/>
    <m/>
    <m/>
    <m/>
    <m/>
    <s v="CORPORA CARA L"/>
    <s v="40 ARCH ST"/>
    <s v="JOHNSON CITY"/>
    <s v="NY"/>
    <s v="13790-2102"/>
    <s v="PHYSICIAN"/>
    <s v="M"/>
    <s v="No"/>
    <s v="MMIS"/>
    <s v="SouthRPU"/>
    <s v="P"/>
    <m/>
    <m/>
    <m/>
    <s v=""/>
    <s v="E0336241"/>
    <n v="0"/>
    <n v="0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CORRIGAN FRANK"/>
    <m/>
    <m/>
    <m/>
    <m/>
    <s v="CORRIGAN FRANK JOHN"/>
    <s v="33 MITCHELL AVE STE G50"/>
    <s v="BINGHAMTON"/>
    <s v="NY"/>
    <s v="13903-1748"/>
    <s v="PHYSICIAN"/>
    <s v="M"/>
    <s v="No"/>
    <s v="MMIS"/>
    <s v="SouthRPU"/>
    <s v="P"/>
    <m/>
    <m/>
    <m/>
    <s v=""/>
    <s v="E0294335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EARLY INTERVENTION PROGRAM"/>
    <m/>
    <m/>
    <m/>
    <m/>
    <s v="CORTLAND COUNTY DOH DIV NRSNG"/>
    <s v="60 CENTRAL AVE"/>
    <s v="CORTLAND"/>
    <s v="NY"/>
    <s v="13045-2795"/>
    <s v="HOME HEALTH AGENCY"/>
    <s v="M"/>
    <s v="No"/>
    <s v="MMIS"/>
    <s v="NorthRPU"/>
    <s v="P"/>
    <m/>
    <m/>
    <m/>
    <s v=""/>
    <s v="E0252097"/>
    <n v="0"/>
    <n v="0"/>
    <n v="0"/>
    <n v="0"/>
    <n v="0"/>
    <n v="0"/>
    <n v="0"/>
    <n v="0"/>
    <n v="0"/>
    <n v="0"/>
    <n v="0"/>
    <x v="1"/>
    <s v=""/>
    <s v=""/>
    <s v=""/>
    <n v="1"/>
    <s v=""/>
    <s v=""/>
    <s v=""/>
    <s v=""/>
    <s v=""/>
    <s v=""/>
    <n v="1"/>
    <s v=""/>
  </r>
  <r>
    <x v="1"/>
    <m/>
    <m/>
    <m/>
    <m/>
    <s v="JACOBUS CENTER FOR REPRODUCTIVE HEALTH"/>
    <m/>
    <m/>
    <m/>
    <m/>
    <s v="CORTLAND CTY DEPT OF HEALTH"/>
    <s v="60 CENTRAL AVE"/>
    <s v="CORTLAND"/>
    <s v="NY"/>
    <s v="13045-2795"/>
    <s v="DIAGNOSTIC AND TREATMENT CENTER"/>
    <s v="M"/>
    <s v="No"/>
    <s v="MMIS"/>
    <s v="NorthRPU"/>
    <s v="P"/>
    <m/>
    <m/>
    <m/>
    <s v=""/>
    <s v="E0262676"/>
    <n v="0"/>
    <n v="0"/>
    <n v="0"/>
    <n v="0"/>
    <n v="0"/>
    <n v="0"/>
    <n v="0"/>
    <n v="0"/>
    <n v="0"/>
    <n v="0"/>
    <n v="0"/>
    <x v="1"/>
    <s v=""/>
    <s v=""/>
    <n v="1"/>
    <s v=""/>
    <s v=""/>
    <s v=""/>
    <s v=""/>
    <s v=""/>
    <s v=""/>
    <s v=""/>
    <n v="1"/>
    <s v=""/>
  </r>
  <r>
    <x v="1"/>
    <m/>
    <m/>
    <m/>
    <m/>
    <s v="CORTLAND COUNTY HEALTH DEPARTMENT NURSING CLINICS"/>
    <m/>
    <m/>
    <m/>
    <m/>
    <s v="CORTLAND COUNTY HLTH DEPT"/>
    <s v="60 CENTRAL AVE"/>
    <s v="CORTLAND"/>
    <s v="NY"/>
    <s v="13045-2795"/>
    <s v="DIAGNOSTIC AND TREATMENT CENTER"/>
    <s v="M"/>
    <s v="No"/>
    <s v="MMIS"/>
    <s v="NorthRPU"/>
    <s v="P"/>
    <m/>
    <m/>
    <m/>
    <s v=""/>
    <s v="E0262676"/>
    <n v="0"/>
    <n v="0"/>
    <n v="0"/>
    <n v="0"/>
    <n v="0"/>
    <n v="0"/>
    <n v="0"/>
    <n v="0"/>
    <n v="0"/>
    <n v="0"/>
    <n v="0"/>
    <x v="1"/>
    <s v=""/>
    <s v=""/>
    <n v="1"/>
    <s v=""/>
    <s v=""/>
    <s v=""/>
    <s v=""/>
    <s v=""/>
    <s v=""/>
    <s v=""/>
    <n v="1"/>
    <s v=""/>
  </r>
  <r>
    <x v="1"/>
    <m/>
    <m/>
    <m/>
    <m/>
    <s v="CORTLAND COUNTY COUNTY TREASURER"/>
    <m/>
    <m/>
    <m/>
    <m/>
    <s v="CORTLAND CTY COMM SRVCS BOARD"/>
    <s v="60 CENTRAL AVE"/>
    <s v="CORTLAND"/>
    <s v="NY"/>
    <s v="13045-2795"/>
    <s v="MULTI-TYPE"/>
    <s v="M"/>
    <s v="No"/>
    <s v="MMIS"/>
    <s v="NorthRPU"/>
    <s v="P"/>
    <m/>
    <m/>
    <m/>
    <s v=""/>
    <s v="E0185767"/>
    <n v="0"/>
    <n v="0"/>
    <n v="0"/>
    <n v="0"/>
    <n v="0"/>
    <n v="0"/>
    <n v="0"/>
    <n v="0"/>
    <n v="0"/>
    <n v="0"/>
    <n v="0"/>
    <x v="1"/>
    <s v=""/>
    <s v=""/>
    <s v=""/>
    <s v=""/>
    <n v="1"/>
    <s v=""/>
    <s v=""/>
    <s v=""/>
    <s v=""/>
    <s v=""/>
    <n v="1"/>
    <s v=""/>
  </r>
  <r>
    <x v="1"/>
    <m/>
    <m/>
    <m/>
    <m/>
    <s v="CORTLAND COUNTY HEALTH DEPT CHILDREN WITH SPECIAL NEEDS"/>
    <m/>
    <m/>
    <m/>
    <m/>
    <s v="CORTLAND CTY DEPT OF HEALTH"/>
    <s v="8 DILL ST"/>
    <s v="AUBURN"/>
    <s v="NY"/>
    <s v="13021-3606"/>
    <s v="DIAGNOSTIC AND TREATMENT CENTER"/>
    <s v="M"/>
    <s v="No"/>
    <s v="MMIS"/>
    <s v="NorthRPU"/>
    <s v="P"/>
    <m/>
    <m/>
    <m/>
    <s v=""/>
    <s v="E0262676"/>
    <n v="0"/>
    <n v="0"/>
    <n v="0"/>
    <n v="0"/>
    <n v="0"/>
    <n v="0"/>
    <n v="0"/>
    <n v="0"/>
    <n v="0"/>
    <n v="0"/>
    <n v="0"/>
    <x v="1"/>
    <s v=""/>
    <s v=""/>
    <n v="1"/>
    <s v=""/>
    <s v=""/>
    <s v=""/>
    <s v=""/>
    <s v=""/>
    <s v=""/>
    <s v=""/>
    <n v="1"/>
    <s v=""/>
  </r>
  <r>
    <x v="1"/>
    <m/>
    <m/>
    <m/>
    <m/>
    <s v="MEDICAID OBSTETRICAL AND MATERNAL SERVICES"/>
    <m/>
    <m/>
    <m/>
    <m/>
    <s v="CORTLAND CTY DEPT OF HEALTH"/>
    <s v="60 CENTRAL AVE"/>
    <s v="CORTLAND"/>
    <s v="NY"/>
    <s v="13045-2795"/>
    <s v="DIAGNOSTIC AND TREATMENT CENTER"/>
    <s v="M"/>
    <s v="No"/>
    <s v="MMIS"/>
    <s v="NorthRPU"/>
    <s v="P"/>
    <m/>
    <m/>
    <m/>
    <s v=""/>
    <s v="E0262676"/>
    <n v="0"/>
    <n v="0"/>
    <n v="0"/>
    <n v="0"/>
    <n v="0"/>
    <n v="0"/>
    <n v="0"/>
    <n v="0"/>
    <n v="0"/>
    <n v="0"/>
    <n v="0"/>
    <x v="1"/>
    <s v=""/>
    <s v=""/>
    <n v="1"/>
    <s v=""/>
    <s v=""/>
    <s v=""/>
    <s v=""/>
    <s v=""/>
    <s v=""/>
    <s v=""/>
    <n v="1"/>
    <s v=""/>
  </r>
  <r>
    <x v="1"/>
    <m/>
    <m/>
    <m/>
    <m/>
    <s v="CORTLAND REGIONAL MEDICAL CENTER, INC"/>
    <m/>
    <m/>
    <m/>
    <m/>
    <s v="CORTLAND REGIONAL MEDICAL CENTER"/>
    <s v="134 HOMER AVE"/>
    <s v="CORTLAND"/>
    <s v="NY"/>
    <s v="13045-1206"/>
    <s v="HOSPITAL"/>
    <s v="M"/>
    <s v="No"/>
    <s v="MMIS"/>
    <s v="NorthRPU"/>
    <s v="P"/>
    <m/>
    <m/>
    <m/>
    <s v=""/>
    <s v="E0271157"/>
    <n v="1"/>
    <n v="1"/>
    <n v="1"/>
    <n v="0"/>
    <n v="1"/>
    <n v="0"/>
    <n v="0"/>
    <n v="0"/>
    <n v="0"/>
    <n v="0"/>
    <n v="0"/>
    <x v="1"/>
    <s v=""/>
    <n v="1"/>
    <n v="1"/>
    <s v=""/>
    <n v="1"/>
    <s v=""/>
    <s v=""/>
    <s v=""/>
    <s v=""/>
    <s v=""/>
    <n v="1"/>
    <s v=""/>
  </r>
  <r>
    <x v="1"/>
    <m/>
    <m/>
    <m/>
    <m/>
    <s v="CORTLAND REGIONAL MEDICAL CENTER LTHHCP"/>
    <m/>
    <m/>
    <m/>
    <m/>
    <s v="CORTLAND REGIONAL MEDICAL CENTER"/>
    <s v="134 HOMER AVE"/>
    <s v="CORTLAND"/>
    <s v="NY"/>
    <s v="13045-1206"/>
    <s v="HOSPITAL"/>
    <s v="M"/>
    <s v="No"/>
    <s v="MMIS"/>
    <s v="NorthRPU"/>
    <s v="P"/>
    <m/>
    <m/>
    <m/>
    <s v=""/>
    <s v="E0271157"/>
    <n v="1"/>
    <n v="1"/>
    <n v="1"/>
    <n v="0"/>
    <n v="1"/>
    <n v="0"/>
    <n v="0"/>
    <n v="0"/>
    <n v="0"/>
    <n v="0"/>
    <n v="0"/>
    <x v="1"/>
    <s v=""/>
    <n v="1"/>
    <n v="1"/>
    <s v=""/>
    <n v="1"/>
    <s v=""/>
    <s v=""/>
    <s v=""/>
    <s v=""/>
    <s v=""/>
    <n v="1"/>
    <s v=""/>
  </r>
  <r>
    <x v="1"/>
    <m/>
    <m/>
    <m/>
    <m/>
    <s v="CORTLAND REGIONAL MEDICAL CENTER, INC."/>
    <m/>
    <m/>
    <m/>
    <m/>
    <s v="CORTLAND REG MED CTR"/>
    <s v="134 HOMER AVE"/>
    <s v="CORTLAND"/>
    <s v="NY"/>
    <s v="13045-1206"/>
    <s v="MULTI-TYPE"/>
    <s v="M"/>
    <s v="No"/>
    <s v="MMIS"/>
    <s v="NorthRPU"/>
    <s v="P"/>
    <m/>
    <m/>
    <m/>
    <s v=""/>
    <s v="E0271157"/>
    <n v="1"/>
    <n v="1"/>
    <n v="1"/>
    <n v="0"/>
    <n v="1"/>
    <n v="0"/>
    <n v="0"/>
    <n v="0"/>
    <n v="0"/>
    <n v="0"/>
    <n v="0"/>
    <x v="1"/>
    <s v=""/>
    <n v="1"/>
    <n v="1"/>
    <s v=""/>
    <n v="1"/>
    <s v=""/>
    <s v=""/>
    <s v=""/>
    <s v=""/>
    <s v=""/>
    <n v="1"/>
    <s v=""/>
  </r>
  <r>
    <x v="1"/>
    <m/>
    <m/>
    <m/>
    <m/>
    <s v="CORTLAND REGIONAL MEDICAL CENTER INC"/>
    <m/>
    <m/>
    <m/>
    <m/>
    <s v="CORTLAND REGIONAL MEDICAL CENTER"/>
    <s v="134 HOMER AVE"/>
    <s v="CORTLAND"/>
    <s v="NY"/>
    <s v="13045-1206"/>
    <s v="HOSPITAL"/>
    <s v="M"/>
    <s v="No"/>
    <s v="MMIS"/>
    <s v="NorthRPU"/>
    <s v="P"/>
    <m/>
    <m/>
    <m/>
    <s v=""/>
    <s v="E0271157"/>
    <n v="1"/>
    <n v="1"/>
    <n v="1"/>
    <n v="0"/>
    <n v="1"/>
    <n v="0"/>
    <n v="0"/>
    <n v="0"/>
    <n v="0"/>
    <n v="0"/>
    <n v="0"/>
    <x v="1"/>
    <s v=""/>
    <n v="1"/>
    <n v="1"/>
    <s v=""/>
    <n v="1"/>
    <s v=""/>
    <s v=""/>
    <s v=""/>
    <s v=""/>
    <s v=""/>
    <n v="1"/>
    <s v=""/>
  </r>
  <r>
    <x v="1"/>
    <m/>
    <m/>
    <m/>
    <m/>
    <s v="CORTLAND REGIONAL MEDICAL CENTER, INC"/>
    <m/>
    <m/>
    <m/>
    <m/>
    <s v="CORTLAND REGIONAL NURSING &amp; REH CTR"/>
    <s v="134 HOMER AVE"/>
    <s v="CORTLAND"/>
    <s v="NY"/>
    <s v="13045-1206"/>
    <s v="HOSPITAL"/>
    <s v="M"/>
    <s v="No"/>
    <s v="MMIS"/>
    <s v="NorthRPU"/>
    <s v="P"/>
    <m/>
    <m/>
    <m/>
    <s v=""/>
    <s v="E0155504"/>
    <n v="1"/>
    <n v="1"/>
    <n v="1"/>
    <n v="0"/>
    <n v="1"/>
    <n v="0"/>
    <n v="0"/>
    <n v="0"/>
    <n v="0"/>
    <n v="0"/>
    <n v="0"/>
    <x v="1"/>
    <s v=""/>
    <s v=""/>
    <s v=""/>
    <s v=""/>
    <s v=""/>
    <s v=""/>
    <n v="1"/>
    <s v=""/>
    <s v=""/>
    <s v=""/>
    <n v="1"/>
    <s v=""/>
  </r>
  <r>
    <x v="0"/>
    <m/>
    <m/>
    <m/>
    <m/>
    <s v="CORTLAND REGIONAL MEDICAL CENTER, INC."/>
    <m/>
    <m/>
    <m/>
    <m/>
    <s v="CORTLAND REGIONAL MEDICAL CENTER"/>
    <s v="134 HOMER AVE"/>
    <s v="CORTLAND"/>
    <s v="NY"/>
    <s v="13045-1206"/>
    <s v="HOSPITAL"/>
    <s v="M"/>
    <s v="No"/>
    <s v="MMIS"/>
    <s v="NorthRPU"/>
    <s v="P"/>
    <m/>
    <m/>
    <m/>
    <s v=""/>
    <s v="E0155502"/>
    <n v="1"/>
    <n v="1"/>
    <n v="1"/>
    <n v="0"/>
    <n v="1"/>
    <n v="0"/>
    <n v="0"/>
    <n v="0"/>
    <n v="0"/>
    <n v="0"/>
    <n v="0"/>
    <x v="1"/>
    <s v=""/>
    <s v=""/>
    <s v=""/>
    <s v=""/>
    <s v=""/>
    <s v=""/>
    <s v=""/>
    <s v=""/>
    <s v=""/>
    <s v=""/>
    <n v="1"/>
    <s v=""/>
  </r>
  <r>
    <x v="1"/>
    <m/>
    <m/>
    <m/>
    <m/>
    <s v="COUNCIL ON ALCOHOL AND SUBSTANCE ABUSE OF LIVINGSTON COUNTY, INC."/>
    <m/>
    <m/>
    <m/>
    <m/>
    <s v="COUNCIL ALCOHOL SUB ABUSE LIVINGSTN"/>
    <s v="4612 MILLENNIUM DR WING B"/>
    <s v="GENESEO"/>
    <s v="NY"/>
    <s v="14454-1197"/>
    <s v="DIAGNOSTIC AND TREATMENT CENTER"/>
    <s v="M"/>
    <s v="No"/>
    <s v="MMIS"/>
    <s v="WestRPU"/>
    <s v="P"/>
    <m/>
    <m/>
    <m/>
    <s v=""/>
    <s v="E0230733"/>
    <n v="1"/>
    <n v="0"/>
    <n v="0"/>
    <n v="1"/>
    <n v="1"/>
    <n v="0"/>
    <n v="0"/>
    <n v="0"/>
    <n v="0"/>
    <n v="0"/>
    <n v="0"/>
    <x v="1"/>
    <s v=""/>
    <s v=""/>
    <s v=""/>
    <s v=""/>
    <s v=""/>
    <n v="1"/>
    <s v=""/>
    <s v=""/>
    <s v=""/>
    <s v=""/>
    <n v="1"/>
    <s v=""/>
  </r>
  <r>
    <x v="1"/>
    <m/>
    <m/>
    <m/>
    <m/>
    <s v="COUNTY OF STEUBEN"/>
    <m/>
    <m/>
    <m/>
    <m/>
    <s v="STEUBEN CNTY COMM SVCS BRD"/>
    <s v="115 LIBERTY ST"/>
    <s v="BATH"/>
    <s v="NY"/>
    <s v="14810-1508"/>
    <s v="MULTI-TYPE"/>
    <s v="M"/>
    <s v="No"/>
    <s v="MMIS"/>
    <s v="WestRPU"/>
    <s v="P"/>
    <m/>
    <m/>
    <m/>
    <s v=""/>
    <s v="E0263466"/>
    <n v="0"/>
    <n v="0"/>
    <n v="0"/>
    <n v="0"/>
    <n v="0"/>
    <n v="0"/>
    <n v="0"/>
    <n v="0"/>
    <n v="0"/>
    <n v="0"/>
    <n v="0"/>
    <x v="1"/>
    <s v=""/>
    <s v=""/>
    <s v=""/>
    <s v=""/>
    <n v="1"/>
    <s v=""/>
    <s v=""/>
    <s v=""/>
    <s v=""/>
    <s v=""/>
    <n v="1"/>
    <s v=""/>
  </r>
  <r>
    <x v="0"/>
    <m/>
    <m/>
    <m/>
    <m/>
    <s v="COX CAITLIN"/>
    <m/>
    <m/>
    <m/>
    <m/>
    <s v="COX CAITLIN S"/>
    <s v="415 HOOPER RD"/>
    <s v="ENDWELL"/>
    <s v="NY"/>
    <s v="13760-3646"/>
    <s v="PHYSICIAN"/>
    <s v="M"/>
    <s v="No"/>
    <s v="MMIS"/>
    <s v="SouthRPU"/>
    <s v="P"/>
    <m/>
    <m/>
    <m/>
    <s v="COX CAITLIN"/>
    <s v="E0386438"/>
    <s v="No"/>
    <s v="No"/>
    <s v="No"/>
    <s v="No"/>
    <s v="No"/>
    <s v="No"/>
    <s v="No"/>
    <s v="No"/>
    <n v="0"/>
    <s v="No"/>
    <s v="No"/>
    <x v="2"/>
    <n v="1"/>
    <s v=""/>
    <s v=""/>
    <s v=""/>
    <s v=""/>
    <s v=""/>
    <s v=""/>
    <s v=""/>
    <s v=""/>
    <s v=""/>
    <n v="1"/>
    <s v=""/>
  </r>
  <r>
    <x v="0"/>
    <m/>
    <m/>
    <m/>
    <m/>
    <s v="CRANDELL PATRICK"/>
    <m/>
    <m/>
    <m/>
    <m/>
    <s v="CRANDELL PATRICK L"/>
    <s v="33-57 HARRISON ST"/>
    <s v="JOHNSON CITY"/>
    <s v="NY"/>
    <s v="13790-2107"/>
    <s v="PHYSICIAN"/>
    <s v="M"/>
    <s v="No"/>
    <s v="MMIS"/>
    <s v="SouthRPU"/>
    <s v="P"/>
    <m/>
    <m/>
    <m/>
    <s v="CRANDELL PATRICK"/>
    <s v="E0358980"/>
    <s v="No"/>
    <s v="No"/>
    <s v="No"/>
    <s v="No"/>
    <s v="No"/>
    <s v="No"/>
    <s v="No"/>
    <s v="No"/>
    <n v="0"/>
    <s v="No"/>
    <s v="No"/>
    <x v="1"/>
    <n v="1"/>
    <s v=""/>
    <s v=""/>
    <s v=""/>
    <s v=""/>
    <s v=""/>
    <s v=""/>
    <s v=""/>
    <s v=""/>
    <s v=""/>
    <s v=""/>
    <s v=""/>
  </r>
  <r>
    <x v="1"/>
    <m/>
    <m/>
    <m/>
    <m/>
    <s v="CREGAN KATHLEEN"/>
    <m/>
    <m/>
    <m/>
    <m/>
    <s v="CREGAN KATHLEEN ANN"/>
    <s v="601 RIVERSIDE DR"/>
    <s v="JOHNSON CITY"/>
    <s v="NY"/>
    <s v="13790-2544"/>
    <s v="PHYSICIAN"/>
    <s v="M"/>
    <s v="No"/>
    <s v="MMIS"/>
    <s v="SouthRPU"/>
    <s v="P"/>
    <m/>
    <m/>
    <m/>
    <s v=""/>
    <s v="E0297930"/>
    <n v="0"/>
    <n v="0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CREPET RUTH DR."/>
    <m/>
    <m/>
    <m/>
    <m/>
    <s v="CREPET RUTH  MD"/>
    <s v="GUTHRIE MEDICAL GRP"/>
    <s v="ITHACA"/>
    <s v="NY"/>
    <s v="14850-9105"/>
    <s v="PHYSICIAN"/>
    <s v="M"/>
    <s v="No"/>
    <s v="MMIS"/>
    <s v="NorthRPU"/>
    <s v="P"/>
    <m/>
    <m/>
    <m/>
    <s v=""/>
    <s v="E0182555"/>
    <n v="1"/>
    <n v="1"/>
    <n v="0"/>
    <n v="0"/>
    <n v="0"/>
    <n v="0"/>
    <n v="0"/>
    <n v="1"/>
    <n v="1"/>
    <n v="1"/>
    <n v="0"/>
    <x v="2"/>
    <s v=""/>
    <s v=""/>
    <s v=""/>
    <s v=""/>
    <s v=""/>
    <s v=""/>
    <s v=""/>
    <s v=""/>
    <s v=""/>
    <s v=""/>
    <n v="1"/>
    <s v=""/>
  </r>
  <r>
    <x v="0"/>
    <m/>
    <m/>
    <m/>
    <m/>
    <s v="CRISPELL CAROLYN"/>
    <m/>
    <m/>
    <m/>
    <m/>
    <s v="CRISPELL CAROLYN D.O."/>
    <s v="33-57 HARRISON ST"/>
    <s v="JOHNSON CITY"/>
    <s v="NY"/>
    <s v="13790-2107"/>
    <s v="PHYSICIAN"/>
    <s v="M"/>
    <s v="No"/>
    <s v="MMIS"/>
    <s v="SouthRPU"/>
    <s v="P"/>
    <m/>
    <m/>
    <m/>
    <s v=""/>
    <s v="E0011542"/>
    <n v="1"/>
    <n v="1"/>
    <n v="0"/>
    <n v="1"/>
    <n v="1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CRISPELL JANE MRS."/>
    <m/>
    <m/>
    <m/>
    <m/>
    <s v="CRISPELL JANE KATHRYN"/>
    <s v="903 HANSHAW RD"/>
    <s v="ITHACA"/>
    <s v="NY"/>
    <s v="14850-1530"/>
    <s v="CLINICAL SOCIAL WORKER (CSW)"/>
    <s v="M"/>
    <s v="No"/>
    <s v="MMIS"/>
    <s v="NorthRPU"/>
    <s v="P"/>
    <m/>
    <m/>
    <m/>
    <s v=""/>
    <s v="E0020849"/>
    <n v="0"/>
    <n v="0"/>
    <n v="0"/>
    <n v="0"/>
    <n v="0"/>
    <n v="0"/>
    <n v="0"/>
    <n v="0"/>
    <n v="0"/>
    <n v="0"/>
    <n v="0"/>
    <x v="1"/>
    <n v="1"/>
    <s v=""/>
    <s v=""/>
    <s v=""/>
    <n v="1"/>
    <s v=""/>
    <s v=""/>
    <s v=""/>
    <s v=""/>
    <s v=""/>
    <s v=""/>
    <s v=""/>
  </r>
  <r>
    <x v="1"/>
    <m/>
    <m/>
    <m/>
    <m/>
    <s v="CRNC LLC"/>
    <m/>
    <m/>
    <m/>
    <m/>
    <s v="CRNC, LLC"/>
    <s v="193 CLINTON AVE"/>
    <s v="CORTLAND"/>
    <s v="NY"/>
    <s v="13045-1420"/>
    <s v="LONG TERM CARE FACILITY"/>
    <s v="M"/>
    <s v="No"/>
    <s v="MMIS"/>
    <s v="NorthRPU"/>
    <s v="P"/>
    <m/>
    <m/>
    <m/>
    <s v=""/>
    <s v="E0330384"/>
    <n v="1"/>
    <n v="0"/>
    <n v="1"/>
    <n v="0"/>
    <n v="0"/>
    <n v="0"/>
    <n v="0"/>
    <n v="0"/>
    <n v="0"/>
    <n v="0"/>
    <n v="0"/>
    <x v="1"/>
    <s v=""/>
    <s v=""/>
    <s v=""/>
    <s v=""/>
    <s v=""/>
    <s v=""/>
    <n v="1"/>
    <s v=""/>
    <s v=""/>
    <s v=""/>
    <n v="1"/>
    <s v=""/>
  </r>
  <r>
    <x v="0"/>
    <m/>
    <m/>
    <m/>
    <m/>
    <s v="CRON AMY"/>
    <m/>
    <m/>
    <m/>
    <m/>
    <s v="CRON AMY ESTHER"/>
    <s v="10-42 MITCHELL AVE"/>
    <s v="BINGHAMTON"/>
    <s v="NY"/>
    <s v="13903-1617"/>
    <s v="PHYSICIAN"/>
    <s v="M"/>
    <s v="No"/>
    <s v="MMIS"/>
    <s v="SouthRPU"/>
    <s v="P"/>
    <m/>
    <m/>
    <m/>
    <s v=""/>
    <s v="E0332172"/>
    <n v="0"/>
    <n v="0"/>
    <n v="0"/>
    <n v="0"/>
    <n v="0"/>
    <n v="0"/>
    <n v="0"/>
    <n v="0"/>
    <n v="0"/>
    <n v="0"/>
    <n v="0"/>
    <x v="1"/>
    <n v="1"/>
    <s v=""/>
    <s v=""/>
    <s v=""/>
    <n v="1"/>
    <s v=""/>
    <s v=""/>
    <s v=""/>
    <s v=""/>
    <s v=""/>
    <s v=""/>
    <s v=""/>
  </r>
  <r>
    <x v="0"/>
    <m/>
    <m/>
    <m/>
    <m/>
    <s v="CROSBY JAMES"/>
    <m/>
    <m/>
    <m/>
    <m/>
    <s v="CROSBY JAMES THEO MD"/>
    <s v="67 BROAD ST"/>
    <s v="JOHNSON CITY"/>
    <s v="NY"/>
    <s v="13790-2105"/>
    <s v="PHYSICIAN"/>
    <s v="M"/>
    <s v="No"/>
    <s v="MMIS"/>
    <s v="SouthRPU"/>
    <s v="P"/>
    <m/>
    <m/>
    <m/>
    <s v=""/>
    <s v="E0166578"/>
    <n v="1"/>
    <n v="1"/>
    <n v="0"/>
    <n v="1"/>
    <n v="1"/>
    <n v="1"/>
    <n v="0"/>
    <n v="0"/>
    <n v="1"/>
    <n v="0"/>
    <n v="0"/>
    <x v="2"/>
    <s v=""/>
    <s v=""/>
    <s v=""/>
    <s v=""/>
    <s v=""/>
    <s v=""/>
    <s v=""/>
    <s v=""/>
    <s v=""/>
    <s v=""/>
    <n v="1"/>
    <s v=""/>
  </r>
  <r>
    <x v="1"/>
    <m/>
    <m/>
    <m/>
    <m/>
    <s v="CORTLAND OPERATING CO LLC"/>
    <m/>
    <m/>
    <m/>
    <m/>
    <s v="CROWN CENTER NURSING &amp; REHAB"/>
    <s v="28 KELLOGG RD"/>
    <s v="CORTLAND"/>
    <s v="NY"/>
    <s v="13045-3113"/>
    <s v="LONG TERM CARE FACILITY"/>
    <s v="M"/>
    <s v="No"/>
    <s v="MMIS"/>
    <s v="NorthRPU"/>
    <s v="P"/>
    <m/>
    <m/>
    <m/>
    <s v=""/>
    <s v="E0319702"/>
    <n v="1"/>
    <n v="0"/>
    <n v="1"/>
    <n v="0"/>
    <n v="0"/>
    <n v="0"/>
    <n v="0"/>
    <n v="0"/>
    <n v="0"/>
    <n v="0"/>
    <n v="0"/>
    <x v="1"/>
    <s v=""/>
    <s v=""/>
    <s v=""/>
    <s v=""/>
    <s v=""/>
    <s v=""/>
    <n v="1"/>
    <s v=""/>
    <s v=""/>
    <s v=""/>
    <s v=""/>
    <s v=""/>
  </r>
  <r>
    <x v="0"/>
    <m/>
    <m/>
    <m/>
    <m/>
    <s v="CRUM KIMBERLY"/>
    <m/>
    <m/>
    <m/>
    <m/>
    <s v="CRUM KIMBERLY ANN DO"/>
    <s v="CAYUGA MED CTR"/>
    <s v="ITHACA"/>
    <s v="NY"/>
    <s v="14850-1383"/>
    <s v="PHYSICIAN"/>
    <s v="M"/>
    <s v="No"/>
    <s v="MMIS"/>
    <s v="SouthRPU"/>
    <s v="P"/>
    <m/>
    <m/>
    <m/>
    <s v="CRUM KIMBERLY"/>
    <s v="E0083909"/>
    <s v="No"/>
    <s v="No"/>
    <s v="No"/>
    <s v="No"/>
    <s v="No"/>
    <s v="No"/>
    <s v="No"/>
    <s v="No"/>
    <n v="0"/>
    <s v="No"/>
    <s v="No"/>
    <x v="2"/>
    <s v=""/>
    <s v=""/>
    <s v=""/>
    <s v=""/>
    <s v=""/>
    <s v=""/>
    <s v=""/>
    <s v=""/>
    <s v=""/>
    <s v=""/>
    <s v=""/>
    <s v=""/>
  </r>
  <r>
    <x v="0"/>
    <m/>
    <m/>
    <m/>
    <m/>
    <s v="CRUZ JOHN DR."/>
    <m/>
    <m/>
    <m/>
    <m/>
    <s v="CRUZ JOHN NORBERT MD"/>
    <s v="24 CONKEY AVE"/>
    <s v="NORWICH"/>
    <s v="NY"/>
    <s v="13815-1777"/>
    <s v="PHYSICIAN"/>
    <s v="M"/>
    <s v="No"/>
    <s v="MMIS"/>
    <s v="EastRPU"/>
    <s v="P"/>
    <m/>
    <m/>
    <m/>
    <s v=""/>
    <s v="E0189324"/>
    <n v="0"/>
    <n v="0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JONES CYNTHIA"/>
    <m/>
    <m/>
    <m/>
    <m/>
    <s v="JONES CYNTHIA BLAIR MD"/>
    <s v="EMP OF CORTL CNTY LL"/>
    <s v="CORTLAND"/>
    <s v="NY"/>
    <s v="13045-1206"/>
    <s v="PHYSICIAN"/>
    <s v="M"/>
    <s v="No"/>
    <s v="MMIS"/>
    <s v="NorthRPU"/>
    <s v="P"/>
    <m/>
    <m/>
    <m/>
    <s v=""/>
    <s v="E0096056"/>
    <n v="0"/>
    <n v="0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DANGELO ASPEN"/>
    <m/>
    <m/>
    <m/>
    <m/>
    <s v="D'ANGELO ASPEN LEE RPA"/>
    <s v="100 PLAZA DR"/>
    <s v="VESTAL"/>
    <s v="NY"/>
    <s v="13850-3641"/>
    <s v="PHYSICIAN"/>
    <s v="M"/>
    <s v="No"/>
    <s v="MMIS"/>
    <s v="SouthRPU"/>
    <s v="P"/>
    <m/>
    <m/>
    <m/>
    <s v=""/>
    <s v="E0033531"/>
    <n v="1"/>
    <n v="1"/>
    <n v="0"/>
    <n v="1"/>
    <n v="1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1"/>
    <m/>
    <m/>
    <m/>
    <m/>
    <s v="CHIN DANIEL"/>
    <m/>
    <m/>
    <m/>
    <m/>
    <s v="CHIN DANIEL"/>
    <s v="33 MITCHELL AVE STE 102"/>
    <s v="BINGHAMTON"/>
    <s v="NY"/>
    <s v="13903-1642"/>
    <s v="PHYSICIAN"/>
    <s v="M"/>
    <s v="No"/>
    <s v="MMIS"/>
    <s v="SouthRPU"/>
    <s v="P"/>
    <m/>
    <m/>
    <m/>
    <s v="Daniel Chin, MD"/>
    <s v="E0362288"/>
    <s v="No"/>
    <s v="No"/>
    <s v="No"/>
    <s v="No"/>
    <s v="No"/>
    <s v="No"/>
    <s v="No"/>
    <s v="No"/>
    <n v="0"/>
    <s v="No"/>
    <s v="No"/>
    <x v="2"/>
    <s v=""/>
    <s v=""/>
    <s v=""/>
    <s v=""/>
    <s v=""/>
    <s v=""/>
    <s v=""/>
    <s v=""/>
    <s v=""/>
    <s v=""/>
    <n v="1"/>
    <s v=""/>
  </r>
  <r>
    <x v="0"/>
    <m/>
    <m/>
    <m/>
    <m/>
    <s v="SUDILOVSKY DANIEL DR."/>
    <m/>
    <m/>
    <m/>
    <m/>
    <s v="SUDILOVSKY DANIEL"/>
    <s v="101 DATES DR"/>
    <s v="ITHACA"/>
    <s v="NY"/>
    <s v="14850-1342"/>
    <s v="PHYSICIAN"/>
    <s v="M"/>
    <s v="No"/>
    <s v="MMIS"/>
    <s v="NorthRPU"/>
    <s v="P"/>
    <m/>
    <m/>
    <m/>
    <s v=""/>
    <s v="E0042642"/>
    <n v="1"/>
    <n v="1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KAPPEL DANIELLE"/>
    <m/>
    <m/>
    <m/>
    <m/>
    <s v="KAPPEL DANIELLE TCHIR"/>
    <s v="33-57 HARRISON ST"/>
    <s v="JOHNSON CITY"/>
    <s v="NY"/>
    <s v="13790-2107"/>
    <s v="PHYSICIAN"/>
    <s v="M"/>
    <s v="No"/>
    <s v="MMIS"/>
    <s v="SouthRPU"/>
    <s v="P"/>
    <m/>
    <m/>
    <m/>
    <s v=""/>
    <s v="E0339731"/>
    <n v="1"/>
    <n v="1"/>
    <n v="0"/>
    <n v="1"/>
    <n v="1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1"/>
    <m/>
    <m/>
    <m/>
    <m/>
    <s v="DARLING MICHAEL DR."/>
    <m/>
    <m/>
    <m/>
    <m/>
    <s v="DARLING MICHAEL JAMES DDM"/>
    <s v="1423 BUTTERNUT ST"/>
    <s v="SYRACUSE"/>
    <s v="NY"/>
    <s v="13208-2353"/>
    <s v="DENTIST"/>
    <s v="M"/>
    <s v="No"/>
    <s v="MMIS"/>
    <s v="NorthRPU"/>
    <s v="P"/>
    <m/>
    <m/>
    <m/>
    <s v=""/>
    <s v="E0083386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DAS SUJATA DR."/>
    <m/>
    <m/>
    <m/>
    <m/>
    <s v="DAS SUJATA"/>
    <s v="1011 N ELMER AVE"/>
    <s v="SAYRE"/>
    <s v="PA"/>
    <s v="18840-1832"/>
    <s v="PHYSICIAN"/>
    <s v="M"/>
    <s v="No"/>
    <s v="MMIS"/>
    <s v="SouthRPU"/>
    <s v="P"/>
    <m/>
    <m/>
    <m/>
    <s v=""/>
    <s v="E0361785"/>
    <n v="1"/>
    <n v="1"/>
    <n v="0"/>
    <n v="0"/>
    <n v="0"/>
    <n v="0"/>
    <n v="0"/>
    <n v="1"/>
    <n v="1"/>
    <n v="1"/>
    <n v="0"/>
    <x v="2"/>
    <s v=""/>
    <s v=""/>
    <s v=""/>
    <s v=""/>
    <s v=""/>
    <s v=""/>
    <s v=""/>
    <s v=""/>
    <s v=""/>
    <s v=""/>
    <n v="1"/>
    <s v=""/>
  </r>
  <r>
    <x v="0"/>
    <m/>
    <m/>
    <m/>
    <m/>
    <s v="DAVE RAJESH DR."/>
    <m/>
    <m/>
    <m/>
    <m/>
    <s v="DAVE RAJESH J              MD"/>
    <m/>
    <s v="JOHNSON CITY"/>
    <s v="NY"/>
    <s v="13790-2107"/>
    <s v="PHYSICIAN"/>
    <s v="M"/>
    <s v="No"/>
    <s v="MMIS"/>
    <s v="SouthRPU"/>
    <s v="P"/>
    <m/>
    <m/>
    <m/>
    <s v=""/>
    <s v="E0237086"/>
    <n v="1"/>
    <n v="1"/>
    <n v="0"/>
    <n v="1"/>
    <n v="1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FELDSHUH DAVID"/>
    <m/>
    <m/>
    <m/>
    <m/>
    <s v="FELDSHUH DAVID MARK MD"/>
    <m/>
    <s v="ELMIRA"/>
    <s v="NY"/>
    <s v="14901-3256"/>
    <s v="PHYSICIAN"/>
    <s v="M"/>
    <s v="No"/>
    <s v="MMIS"/>
    <s v="WestRPU"/>
    <s v="P"/>
    <m/>
    <m/>
    <m/>
    <s v=""/>
    <s v="E0198402"/>
    <n v="1"/>
    <n v="1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FELLOWS DAVID DR."/>
    <m/>
    <m/>
    <m/>
    <m/>
    <s v="FELLOWS DAVID G MD"/>
    <s v="HOUSE GOOD SAMARITAN"/>
    <s v="WATERTOWN"/>
    <s v="NY"/>
    <s v="13601-4034"/>
    <s v="PHYSICIAN"/>
    <s v="M"/>
    <s v="No"/>
    <s v="MMIS"/>
    <s v="NorthRPU"/>
    <s v="P"/>
    <m/>
    <m/>
    <m/>
    <s v=""/>
    <s v="E0166053"/>
    <n v="1"/>
    <n v="1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LANDSBERG DAVID"/>
    <m/>
    <m/>
    <m/>
    <m/>
    <s v="LANDSBERG DAVID MITCHELL"/>
    <s v="EMERGENCY PP"/>
    <s v="FLUSHING"/>
    <s v="NY"/>
    <s v="11355-5045"/>
    <s v="PHYSICIAN"/>
    <s v="M"/>
    <s v="No"/>
    <s v="MMIS"/>
    <s v="NorthRPU"/>
    <s v="P"/>
    <m/>
    <m/>
    <m/>
    <s v=""/>
    <s v="E0064114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MONACELLI DAVID DR."/>
    <m/>
    <m/>
    <m/>
    <m/>
    <s v="MONACELLI DAVID M MD"/>
    <s v="STE B"/>
    <s v="ITHACA"/>
    <s v="NY"/>
    <s v="14850-1857"/>
    <s v="PHYSICIAN"/>
    <s v="M"/>
    <s v="No"/>
    <s v="MMIS"/>
    <s v="NorthRPU"/>
    <s v="P"/>
    <m/>
    <m/>
    <m/>
    <s v=""/>
    <s v="E0151196"/>
    <n v="1"/>
    <n v="1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ROBINSON DAVID"/>
    <m/>
    <m/>
    <m/>
    <m/>
    <s v="ROBINSON DAVID"/>
    <s v="33-57 HARRISON ST"/>
    <s v="JOHNSON CITY"/>
    <s v="NY"/>
    <s v="13790-2107"/>
    <s v="PHYSICIAN"/>
    <s v="M"/>
    <s v="No"/>
    <s v="MMIS"/>
    <s v="SouthRPU"/>
    <s v="P"/>
    <m/>
    <m/>
    <m/>
    <s v=""/>
    <s v="E0315314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SCHWED DAVID DR."/>
    <m/>
    <m/>
    <m/>
    <m/>
    <s v="SCHWED DAVID A MD"/>
    <s v="1301 TRUMANSBURG RD STE E"/>
    <s v="ITHACA"/>
    <s v="NY"/>
    <s v="14850-1397"/>
    <s v="PHYSICIAN"/>
    <s v="M"/>
    <s v="No"/>
    <s v="MMIS"/>
    <s v="NorthRPU"/>
    <s v="P"/>
    <m/>
    <m/>
    <m/>
    <s v=""/>
    <s v="E0166287"/>
    <n v="1"/>
    <n v="1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SHENKER DAVID DR."/>
    <m/>
    <m/>
    <m/>
    <m/>
    <s v="SHENKER DAVID MD"/>
    <s v="759 CHESTNUT ST"/>
    <s v="SPRINGFIELD"/>
    <s v="MA"/>
    <s v="01199-1001"/>
    <s v="PHYSICIAN"/>
    <s v="M"/>
    <s v="No"/>
    <s v="MMIS"/>
    <s v="NorthRPU"/>
    <s v="P"/>
    <m/>
    <m/>
    <m/>
    <s v=""/>
    <s v="E0198212"/>
    <n v="1"/>
    <n v="1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WILLIAMS DAVID DR."/>
    <m/>
    <m/>
    <m/>
    <m/>
    <s v="WILLIAMS DAVID DEA MD"/>
    <s v="460 ANDES RD"/>
    <s v="DELHI"/>
    <s v="NY"/>
    <s v="13753-7443"/>
    <s v="PHYSICIAN"/>
    <s v="M"/>
    <s v="No"/>
    <s v="MMIS"/>
    <s v="EastRPU"/>
    <s v="P"/>
    <m/>
    <m/>
    <m/>
    <s v=""/>
    <s v="E0101235"/>
    <n v="1"/>
    <n v="1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1"/>
    <m/>
    <m/>
    <m/>
    <m/>
    <s v="DAVYDOV VADIM"/>
    <m/>
    <m/>
    <m/>
    <m/>
    <s v="DAVYDOV VADIM MD"/>
    <s v="2511 AVENUE I"/>
    <s v="BROOKLYN"/>
    <s v="NY"/>
    <s v="11210-2800"/>
    <s v="PHYSICIAN"/>
    <s v="M"/>
    <s v="No"/>
    <s v="MMIS"/>
    <s v="EastRPU"/>
    <s v="P"/>
    <m/>
    <m/>
    <m/>
    <s v=""/>
    <s v="E0051152"/>
    <n v="1"/>
    <n v="1"/>
    <n v="0"/>
    <n v="1"/>
    <n v="1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1"/>
    <m/>
    <m/>
    <m/>
    <m/>
    <s v="DAVYDOV VALENTINA"/>
    <m/>
    <m/>
    <m/>
    <m/>
    <s v="DAVYDOV VALENTINA DO"/>
    <s v="100 CLINTON ST"/>
    <s v="BROOKLYN"/>
    <s v="NY"/>
    <s v="11201-4227"/>
    <s v="PHYSICIAN"/>
    <s v="M"/>
    <s v="No"/>
    <s v="MMIS"/>
    <s v="EastRPU"/>
    <s v="P"/>
    <m/>
    <m/>
    <m/>
    <s v=""/>
    <s v="E0078404"/>
    <n v="1"/>
    <n v="1"/>
    <n v="0"/>
    <n v="1"/>
    <n v="1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DEAN GARY DR."/>
    <m/>
    <m/>
    <m/>
    <m/>
    <s v="DEAN GARY D                MD"/>
    <s v="HARRISON STREET"/>
    <s v="JOHNSON CITY"/>
    <s v="NY"/>
    <s v="13790"/>
    <s v="PHYSICIAN"/>
    <s v="M"/>
    <s v="No"/>
    <s v="MMIS"/>
    <s v="SouthRPU"/>
    <s v="P"/>
    <m/>
    <m/>
    <m/>
    <s v=""/>
    <s v="E0213459"/>
    <n v="1"/>
    <n v="1"/>
    <n v="0"/>
    <n v="1"/>
    <n v="1"/>
    <n v="0"/>
    <n v="0"/>
    <n v="1"/>
    <n v="0"/>
    <n v="0"/>
    <n v="1"/>
    <x v="2"/>
    <s v=""/>
    <s v=""/>
    <s v=""/>
    <s v=""/>
    <s v=""/>
    <s v=""/>
    <s v=""/>
    <s v=""/>
    <s v=""/>
    <s v=""/>
    <n v="1"/>
    <s v=""/>
  </r>
  <r>
    <x v="0"/>
    <m/>
    <m/>
    <m/>
    <m/>
    <s v="HOY DEBRA"/>
    <m/>
    <m/>
    <m/>
    <m/>
    <s v="HOY DEBRA A"/>
    <s v="STE 250"/>
    <s v="JOHNSON CITY"/>
    <s v="NY"/>
    <s v="13790-2176"/>
    <s v="PHYSICIAN"/>
    <s v="M"/>
    <s v="No"/>
    <s v="MMIS"/>
    <s v="SouthRPU"/>
    <s v="P"/>
    <m/>
    <m/>
    <m/>
    <s v="Debra A. Hoy, FNP"/>
    <s v="E0049779"/>
    <s v="No"/>
    <s v="No"/>
    <s v="No"/>
    <s v="No"/>
    <s v="No"/>
    <s v="No"/>
    <s v="No"/>
    <s v="No"/>
    <n v="0"/>
    <s v="No"/>
    <s v="No"/>
    <x v="1"/>
    <n v="1"/>
    <s v=""/>
    <s v=""/>
    <s v=""/>
    <s v=""/>
    <s v=""/>
    <s v=""/>
    <s v=""/>
    <s v=""/>
    <s v=""/>
    <s v=""/>
    <s v=""/>
  </r>
  <r>
    <x v="0"/>
    <m/>
    <m/>
    <m/>
    <m/>
    <s v="DECKER KEVIN DR."/>
    <m/>
    <m/>
    <m/>
    <m/>
    <s v="DECKER KEVIN"/>
    <s v="32 CONKEY AVE"/>
    <s v="NORWICH"/>
    <s v="NY"/>
    <s v="13815-1762"/>
    <s v="DENTIST"/>
    <s v="M"/>
    <s v="No"/>
    <s v="MMIS"/>
    <s v="EastRPU"/>
    <s v="P"/>
    <m/>
    <m/>
    <m/>
    <s v=""/>
    <s v="E0323164"/>
    <n v="1"/>
    <n v="1"/>
    <n v="0"/>
    <n v="1"/>
    <n v="1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1"/>
    <m/>
    <m/>
    <m/>
    <m/>
    <s v="DEGUARDI MARY"/>
    <m/>
    <m/>
    <m/>
    <m/>
    <s v="DEGUARDI MARY C MD"/>
    <s v="UNITED HLTH SVS HOSP"/>
    <s v="BINGHAMTON"/>
    <s v="NY"/>
    <s v="13903-1617"/>
    <s v="PHYSICIAN"/>
    <s v="M"/>
    <s v="No"/>
    <s v="MMIS"/>
    <s v="SouthRPU"/>
    <s v="P"/>
    <m/>
    <m/>
    <m/>
    <s v=""/>
    <s v="E0095484"/>
    <n v="1"/>
    <n v="1"/>
    <n v="0"/>
    <n v="1"/>
    <n v="1"/>
    <n v="0"/>
    <n v="0"/>
    <n v="0"/>
    <n v="1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BLAKE DEIDRE DR."/>
    <m/>
    <m/>
    <m/>
    <m/>
    <s v="BLAKE DEIDRE M"/>
    <s v="1301 TRUMANSBURG RD STE R"/>
    <s v="ITHACA"/>
    <s v="NY"/>
    <s v="14850-1397"/>
    <s v="PHYSICIAN"/>
    <s v="M"/>
    <s v="No"/>
    <s v="MMIS"/>
    <s v="NorthRPU"/>
    <s v="P"/>
    <m/>
    <m/>
    <m/>
    <s v=""/>
    <s v="E0359178"/>
    <n v="1"/>
    <n v="1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1"/>
    <m/>
    <m/>
    <m/>
    <m/>
    <s v="DEJONG ALIDA"/>
    <m/>
    <m/>
    <m/>
    <m/>
    <s v="DE JONG ALIDA ANNE"/>
    <s v="17 MAIN ST"/>
    <s v="CORTLAND"/>
    <s v="NY"/>
    <s v="13045-6606"/>
    <s v="PHYSICIAN"/>
    <s v="M"/>
    <s v="No"/>
    <s v="MMIS"/>
    <s v="NorthRPU"/>
    <s v="P"/>
    <m/>
    <m/>
    <m/>
    <s v=""/>
    <s v="E0037239"/>
    <n v="0"/>
    <n v="0"/>
    <n v="0"/>
    <n v="0"/>
    <n v="0"/>
    <n v="0"/>
    <n v="0"/>
    <n v="0"/>
    <n v="0"/>
    <n v="0"/>
    <n v="0"/>
    <x v="2"/>
    <n v="1"/>
    <s v=""/>
    <s v=""/>
    <s v=""/>
    <s v=""/>
    <s v=""/>
    <s v=""/>
    <s v=""/>
    <s v=""/>
    <s v=""/>
    <n v="1"/>
    <s v=""/>
  </r>
  <r>
    <x v="1"/>
    <m/>
    <m/>
    <m/>
    <m/>
    <m/>
    <m/>
    <m/>
    <m/>
    <m/>
    <s v="DELAWARE CO CHAP NYSARC DAY"/>
    <s v="GROUP DAY HAB"/>
    <s v="WALTON"/>
    <s v="NY"/>
    <s v="13856"/>
    <s v="HOME HEALTH AGENCY"/>
    <s v="M"/>
    <s v="No"/>
    <s v="MMIS"/>
    <s v="EastRPU"/>
    <s v="P"/>
    <m/>
    <m/>
    <m/>
    <s v="DELAWARE CO CHAP NYSARC DAY"/>
    <s v="E0030338"/>
    <s v="No"/>
    <s v="No"/>
    <s v="No"/>
    <s v="No"/>
    <s v="No"/>
    <s v="No"/>
    <s v="No"/>
    <s v="No"/>
    <n v="0"/>
    <s v="No"/>
    <s v="No"/>
    <x v="1"/>
    <s v=""/>
    <s v=""/>
    <s v=""/>
    <s v=""/>
    <s v=""/>
    <s v=""/>
    <s v=""/>
    <s v=""/>
    <s v=""/>
    <s v=""/>
    <n v="1"/>
    <s v=""/>
  </r>
  <r>
    <x v="1"/>
    <m/>
    <m/>
    <m/>
    <m/>
    <m/>
    <m/>
    <m/>
    <m/>
    <m/>
    <s v="DELAWARE CO CHAP NYSARC RSP"/>
    <s v="34570 STATE HIGHWAY 10"/>
    <s v="WALTON"/>
    <s v="NY"/>
    <s v="13856-4142"/>
    <s v="HOME HEALTH AGENCY"/>
    <s v="M"/>
    <s v="No"/>
    <s v="MMIS"/>
    <s v="EastRPU"/>
    <s v="P"/>
    <m/>
    <m/>
    <m/>
    <s v="DELAWARE CO CHAP NYSARC RSP"/>
    <s v="E0040967"/>
    <s v="No"/>
    <s v="No"/>
    <s v="No"/>
    <s v="No"/>
    <s v="No"/>
    <s v="No"/>
    <s v="No"/>
    <s v="No"/>
    <n v="0"/>
    <s v="No"/>
    <s v="No"/>
    <x v="1"/>
    <s v=""/>
    <s v=""/>
    <s v=""/>
    <s v=""/>
    <s v=""/>
    <s v=""/>
    <s v=""/>
    <s v=""/>
    <s v=""/>
    <s v=""/>
    <n v="1"/>
    <s v=""/>
  </r>
  <r>
    <x v="1"/>
    <m/>
    <m/>
    <m/>
    <m/>
    <m/>
    <m/>
    <m/>
    <m/>
    <m/>
    <s v="DELAWARE CO CHAP NYSARC SPT"/>
    <s v="SUPPORTIVE"/>
    <s v="SIDNEY"/>
    <s v="NY"/>
    <s v="13838-1257"/>
    <s v="HOME HEALTH AGENCY"/>
    <s v="M"/>
    <s v="No"/>
    <s v="MMIS"/>
    <s v="EastRPU"/>
    <s v="P"/>
    <m/>
    <m/>
    <m/>
    <s v="DELAWARE CO CHAP NYSARC SPT"/>
    <s v="E0060858"/>
    <s v="No"/>
    <s v="No"/>
    <s v="No"/>
    <s v="No"/>
    <s v="No"/>
    <s v="No"/>
    <s v="No"/>
    <s v="No"/>
    <n v="0"/>
    <s v="No"/>
    <s v="No"/>
    <x v="1"/>
    <s v=""/>
    <s v=""/>
    <s v=""/>
    <s v=""/>
    <s v=""/>
    <s v=""/>
    <s v=""/>
    <s v=""/>
    <s v=""/>
    <s v=""/>
    <n v="1"/>
    <s v=""/>
  </r>
  <r>
    <x v="1"/>
    <m/>
    <m/>
    <m/>
    <m/>
    <m/>
    <m/>
    <m/>
    <m/>
    <m/>
    <s v="DELAWARE CO CHAP NYSARC SPV"/>
    <s v="SUPERVISED"/>
    <s v="WALTON"/>
    <s v="NY"/>
    <s v="13856-9999"/>
    <s v="HOME HEALTH AGENCY"/>
    <s v="M"/>
    <s v="No"/>
    <s v="MMIS"/>
    <s v="EastRPU"/>
    <s v="P"/>
    <m/>
    <m/>
    <m/>
    <s v="DELAWARE CO CHAP NYSARC SPV"/>
    <s v="E0040173"/>
    <s v="No"/>
    <s v="No"/>
    <s v="No"/>
    <s v="No"/>
    <s v="No"/>
    <s v="No"/>
    <s v="No"/>
    <s v="No"/>
    <n v="0"/>
    <s v="No"/>
    <s v="No"/>
    <x v="1"/>
    <s v=""/>
    <s v=""/>
    <s v=""/>
    <s v=""/>
    <s v=""/>
    <s v=""/>
    <s v=""/>
    <s v=""/>
    <s v=""/>
    <s v=""/>
    <n v="1"/>
    <s v=""/>
  </r>
  <r>
    <x v="1"/>
    <m/>
    <m/>
    <m/>
    <m/>
    <m/>
    <m/>
    <m/>
    <m/>
    <m/>
    <s v="DELAWARE CO CHAPTR NYSARC SMP"/>
    <s v="34570 STATE HIGHWAY 10"/>
    <s v="WALTON"/>
    <s v="NY"/>
    <s v="13856-4142"/>
    <s v="HOME HEALTH AGENCY"/>
    <s v="M"/>
    <s v="No"/>
    <s v="MMIS"/>
    <s v="EastRPU"/>
    <s v="P"/>
    <m/>
    <m/>
    <m/>
    <s v=""/>
    <s v="E0083236"/>
    <n v="0"/>
    <n v="0"/>
    <n v="0"/>
    <n v="0"/>
    <n v="0"/>
    <n v="0"/>
    <n v="0"/>
    <n v="0"/>
    <n v="0"/>
    <n v="0"/>
    <n v="0"/>
    <x v="1"/>
    <s v=""/>
    <s v=""/>
    <s v=""/>
    <s v=""/>
    <s v=""/>
    <s v=""/>
    <s v=""/>
    <s v=""/>
    <s v=""/>
    <s v=""/>
    <n v="1"/>
    <s v=""/>
  </r>
  <r>
    <x v="1"/>
    <m/>
    <m/>
    <m/>
    <m/>
    <s v="DELAWARE COUNTY"/>
    <m/>
    <m/>
    <m/>
    <m/>
    <s v="DELAWARE CNTY COMM SVC BOARD"/>
    <s v="MH CL OMH"/>
    <s v="WALTON"/>
    <s v="NY"/>
    <s v="13856-1454"/>
    <s v="DIAGNOSTIC AND TREATMENT CENTER"/>
    <s v="M"/>
    <s v="No"/>
    <s v="MMIS"/>
    <s v="EastRPU"/>
    <s v="P"/>
    <m/>
    <m/>
    <m/>
    <s v=""/>
    <s v="E0241753"/>
    <n v="1"/>
    <n v="0"/>
    <n v="0"/>
    <n v="0"/>
    <n v="1"/>
    <n v="1"/>
    <n v="0"/>
    <n v="0"/>
    <n v="0"/>
    <n v="0"/>
    <n v="0"/>
    <x v="1"/>
    <s v=""/>
    <s v=""/>
    <s v=""/>
    <s v=""/>
    <n v="1"/>
    <n v="1"/>
    <s v=""/>
    <s v=""/>
    <s v=""/>
    <s v=""/>
    <n v="1"/>
    <s v=""/>
  </r>
  <r>
    <x v="1"/>
    <m/>
    <m/>
    <m/>
    <m/>
    <s v="DELAWARE COUNTY COMMUNITY SERVICES"/>
    <m/>
    <m/>
    <m/>
    <m/>
    <s v="DELAWARE CNTY COMM SVC BRD CD"/>
    <s v="34570 STATE HIGHWAY 10 STE 5"/>
    <s v="HAMDEN"/>
    <s v="NY"/>
    <s v="13782-1120"/>
    <s v="DIAGNOSTIC AND TREATMENT CENTER"/>
    <s v="M"/>
    <s v="No"/>
    <s v="MMIS"/>
    <s v="EastRPU"/>
    <s v="P"/>
    <m/>
    <m/>
    <m/>
    <s v=""/>
    <s v="E0241753"/>
    <n v="1"/>
    <n v="0"/>
    <n v="0"/>
    <n v="0"/>
    <n v="1"/>
    <n v="1"/>
    <n v="0"/>
    <n v="0"/>
    <n v="0"/>
    <n v="0"/>
    <n v="0"/>
    <x v="1"/>
    <s v=""/>
    <s v=""/>
    <s v=""/>
    <s v=""/>
    <n v="1"/>
    <n v="1"/>
    <s v=""/>
    <s v=""/>
    <s v=""/>
    <s v=""/>
    <n v="1"/>
    <s v=""/>
  </r>
  <r>
    <x v="0"/>
    <m/>
    <m/>
    <m/>
    <m/>
    <s v="DELAWARE COUNTY OFFICE FOR THE AGING"/>
    <s v="6 COURT ST"/>
    <s v="DELHI"/>
    <s v="NY"/>
    <s v="137531002"/>
    <m/>
    <m/>
    <m/>
    <m/>
    <m/>
    <m/>
    <s v="M"/>
    <s v="No"/>
    <s v="NPI only"/>
    <s v="EastRPU"/>
    <s v="P"/>
    <m/>
    <m/>
    <m/>
    <s v="DELAWARE COUNTY OFFICE FOR THE AGING"/>
    <m/>
    <s v="No"/>
    <s v="No"/>
    <s v="No"/>
    <s v="No"/>
    <s v="No"/>
    <s v="No"/>
    <s v="No"/>
    <s v="No"/>
    <n v="0"/>
    <s v="No"/>
    <s v="No"/>
    <x v="1"/>
    <s v=""/>
    <s v=""/>
    <s v=""/>
    <s v=""/>
    <s v=""/>
    <s v=""/>
    <s v=""/>
    <s v=""/>
    <s v=""/>
    <s v=""/>
    <s v=""/>
    <n v="1"/>
  </r>
  <r>
    <x v="1"/>
    <m/>
    <m/>
    <m/>
    <m/>
    <s v="DELAWARE COUNTY PUBLIC HEALTH SERVICES"/>
    <m/>
    <m/>
    <m/>
    <m/>
    <s v="DELAWARE CTY PUBLIC HLTH NURS"/>
    <s v="99 MAIN ST"/>
    <s v="DELHI"/>
    <s v="NY"/>
    <s v="13753-1221"/>
    <s v="DIAGNOSTIC AND TREATMENT CENTER"/>
    <s v="M"/>
    <s v="No"/>
    <s v="MMIS"/>
    <s v="EastRPU"/>
    <s v="P"/>
    <m/>
    <m/>
    <m/>
    <s v=""/>
    <s v="E0252198"/>
    <n v="0"/>
    <n v="0"/>
    <n v="0"/>
    <n v="0"/>
    <n v="0"/>
    <n v="0"/>
    <n v="0"/>
    <n v="0"/>
    <n v="0"/>
    <n v="0"/>
    <n v="0"/>
    <x v="1"/>
    <s v=""/>
    <s v=""/>
    <n v="1"/>
    <s v=""/>
    <s v=""/>
    <s v=""/>
    <s v=""/>
    <s v=""/>
    <s v=""/>
    <s v=""/>
    <n v="1"/>
    <s v=""/>
  </r>
  <r>
    <x v="0"/>
    <m/>
    <m/>
    <m/>
    <m/>
    <s v="DELAWARE COUNTY"/>
    <s v="99 MAIN ST"/>
    <s v="DELHI"/>
    <s v="NY"/>
    <s v="137531221"/>
    <m/>
    <m/>
    <m/>
    <m/>
    <m/>
    <m/>
    <s v="M"/>
    <s v="No"/>
    <s v="NPI only"/>
    <s v="EastRPU"/>
    <s v="P"/>
    <m/>
    <m/>
    <m/>
    <s v="Delaware County Public Health Services"/>
    <m/>
    <s v="No"/>
    <s v="No"/>
    <s v="No"/>
    <s v="No"/>
    <s v="No"/>
    <s v="No"/>
    <s v="No"/>
    <s v="No"/>
    <n v="0"/>
    <s v="No"/>
    <s v="No"/>
    <x v="1"/>
    <s v=""/>
    <s v=""/>
    <s v=""/>
    <s v=""/>
    <s v=""/>
    <s v=""/>
    <s v=""/>
    <s v=""/>
    <s v=""/>
    <s v=""/>
    <s v=""/>
    <n v="1"/>
  </r>
  <r>
    <x v="1"/>
    <m/>
    <m/>
    <m/>
    <m/>
    <s v="DELAWARE VALLEY HOSPITAL, INC"/>
    <m/>
    <m/>
    <m/>
    <m/>
    <s v="DELAWARE VALLEY HOSPITAL  INC"/>
    <s v="1 TITUS PL"/>
    <s v="WALTON"/>
    <s v="NY"/>
    <s v="13856-1457"/>
    <s v="HOSPITAL"/>
    <s v="M"/>
    <s v="No"/>
    <s v="MMIS"/>
    <s v="EastRPU"/>
    <s v="P"/>
    <m/>
    <m/>
    <m/>
    <s v=""/>
    <s v="E0264409"/>
    <n v="1"/>
    <n v="1"/>
    <n v="0"/>
    <n v="0"/>
    <n v="1"/>
    <n v="0"/>
    <n v="0"/>
    <n v="1"/>
    <n v="0"/>
    <n v="0"/>
    <n v="0"/>
    <x v="1"/>
    <s v=""/>
    <n v="1"/>
    <n v="1"/>
    <s v=""/>
    <s v=""/>
    <n v="1"/>
    <s v=""/>
    <s v=""/>
    <s v=""/>
    <s v=""/>
    <n v="1"/>
    <s v=""/>
  </r>
  <r>
    <x v="1"/>
    <m/>
    <m/>
    <m/>
    <m/>
    <s v="DENZIEN DARLENE DR."/>
    <m/>
    <m/>
    <m/>
    <m/>
    <s v="DENZIEN DARLENE C"/>
    <s v="SUSQUEHANNA MED AFF"/>
    <s v="BINGHAMTON"/>
    <s v="NY"/>
    <s v="13905-2746"/>
    <s v="PHYSICIAN"/>
    <s v="M"/>
    <s v="No"/>
    <s v="MMIS"/>
    <s v="SouthRPU"/>
    <s v="P"/>
    <m/>
    <m/>
    <m/>
    <s v="DENZIEN DARLENE DR."/>
    <s v="E0190399"/>
    <s v="No"/>
    <s v="No"/>
    <s v="No"/>
    <s v="No"/>
    <s v="No"/>
    <s v="No"/>
    <s v="No"/>
    <s v="No"/>
    <n v="0"/>
    <s v="No"/>
    <s v="No"/>
    <x v="2"/>
    <s v=""/>
    <s v=""/>
    <s v=""/>
    <s v=""/>
    <s v=""/>
    <s v=""/>
    <s v=""/>
    <s v=""/>
    <s v=""/>
    <s v=""/>
    <n v="1"/>
    <s v=""/>
  </r>
  <r>
    <x v="0"/>
    <m/>
    <m/>
    <m/>
    <m/>
    <s v="DEPERSIS MELISSA"/>
    <m/>
    <m/>
    <m/>
    <m/>
    <s v="DEPERSIS MELISSA LYNN"/>
    <m/>
    <m/>
    <m/>
    <m/>
    <s v="PHYSICIAN"/>
    <s v="M"/>
    <s v="No"/>
    <s v="MMIS"/>
    <s v="SouthRPU"/>
    <s v="P"/>
    <m/>
    <m/>
    <m/>
    <s v="DePersis Melissa"/>
    <s v="E0442836"/>
    <s v="No"/>
    <s v="No"/>
    <s v="No"/>
    <s v="No"/>
    <s v="No"/>
    <s v="No"/>
    <s v="No"/>
    <s v="No"/>
    <n v="1"/>
    <s v="No"/>
    <s v="No"/>
    <x v="2"/>
    <s v=""/>
    <s v=""/>
    <s v=""/>
    <s v=""/>
    <s v=""/>
    <s v=""/>
    <s v=""/>
    <s v=""/>
    <s v=""/>
    <s v=""/>
    <n v="1"/>
    <s v=""/>
  </r>
  <r>
    <x v="0"/>
    <m/>
    <m/>
    <m/>
    <m/>
    <s v="HOOVER DERRICK"/>
    <m/>
    <m/>
    <m/>
    <m/>
    <s v="DERRICK JOHN HOOVER"/>
    <s v="68 FENNER AVE"/>
    <s v="TROY"/>
    <s v="PA"/>
    <s v="16947-1501"/>
    <s v="PHYSICIAN"/>
    <s v="M"/>
    <s v="No"/>
    <s v="MMIS"/>
    <s v="SouthRPU"/>
    <s v="P"/>
    <m/>
    <m/>
    <m/>
    <s v=""/>
    <s v="E0339646"/>
    <n v="0"/>
    <n v="0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DESANTIS KIMBERLY"/>
    <m/>
    <m/>
    <m/>
    <m/>
    <s v="DESANTIS KIMBERLY METZ"/>
    <s v="415 HOOPER RD"/>
    <s v="ENDWELL"/>
    <s v="NY"/>
    <s v="13760-3646"/>
    <s v="PHYSICIAN"/>
    <s v="M"/>
    <s v="No"/>
    <s v="MMIS"/>
    <s v="SouthRPU"/>
    <s v="P"/>
    <m/>
    <m/>
    <m/>
    <s v="DESANTIS KIMBERLY"/>
    <s v="E0105681"/>
    <s v="No"/>
    <s v="No"/>
    <s v="No"/>
    <s v="No"/>
    <s v="No"/>
    <s v="No"/>
    <s v="No"/>
    <s v="No"/>
    <n v="0"/>
    <s v="No"/>
    <s v="No"/>
    <x v="2"/>
    <s v=""/>
    <s v=""/>
    <s v=""/>
    <s v=""/>
    <s v=""/>
    <s v=""/>
    <s v=""/>
    <s v=""/>
    <s v=""/>
    <s v=""/>
    <n v="1"/>
    <s v=""/>
  </r>
  <r>
    <x v="0"/>
    <m/>
    <m/>
    <m/>
    <m/>
    <s v="DESHMUKH PRAMOD DR."/>
    <m/>
    <m/>
    <m/>
    <m/>
    <s v="DESHMUKH PRAMOD  MD"/>
    <s v="GUTHRIE CLINIC LTD"/>
    <s v="SAYRE"/>
    <s v="PA"/>
    <s v="18840"/>
    <s v="PHYSICIAN"/>
    <s v="M"/>
    <s v="No"/>
    <s v="MMIS"/>
    <s v="SouthRPU"/>
    <s v="P"/>
    <m/>
    <m/>
    <m/>
    <s v=""/>
    <s v="E0179220"/>
    <n v="1"/>
    <n v="1"/>
    <n v="0"/>
    <n v="0"/>
    <n v="0"/>
    <n v="0"/>
    <n v="0"/>
    <n v="0"/>
    <n v="0"/>
    <n v="1"/>
    <n v="0"/>
    <x v="1"/>
    <n v="1"/>
    <s v=""/>
    <s v=""/>
    <s v=""/>
    <s v=""/>
    <s v=""/>
    <s v=""/>
    <s v=""/>
    <s v=""/>
    <s v=""/>
    <n v="1"/>
    <s v=""/>
  </r>
  <r>
    <x v="0"/>
    <m/>
    <m/>
    <m/>
    <m/>
    <s v="DESMANGLES JEAN-CLAUDE"/>
    <m/>
    <m/>
    <m/>
    <m/>
    <s v="DESMANGLES JEAN-CLAUDE GEORGE"/>
    <s v="169 RIVERSIDE DR"/>
    <s v="BINGHAMTON"/>
    <s v="NY"/>
    <s v="13905-4246"/>
    <s v="PHYSICIAN"/>
    <s v="M"/>
    <s v="No"/>
    <s v="MMIS"/>
    <s v="SouthRPU"/>
    <s v="P"/>
    <m/>
    <m/>
    <m/>
    <s v="DESMANGLES JEAN-CLAUDE"/>
    <s v="E0383212"/>
    <s v="No"/>
    <s v="No"/>
    <s v="No"/>
    <s v="No"/>
    <s v="No"/>
    <s v="No"/>
    <s v="No"/>
    <s v="No"/>
    <n v="0"/>
    <s v="No"/>
    <s v="No"/>
    <x v="1"/>
    <n v="1"/>
    <s v=""/>
    <s v=""/>
    <s v=""/>
    <s v=""/>
    <s v=""/>
    <s v=""/>
    <s v=""/>
    <s v=""/>
    <s v=""/>
    <n v="1"/>
    <s v=""/>
  </r>
  <r>
    <x v="0"/>
    <m/>
    <m/>
    <m/>
    <m/>
    <s v="DEUTCSH FREDERICK"/>
    <m/>
    <m/>
    <m/>
    <m/>
    <s v="DEUTSCH FREDERICK"/>
    <s v="4 NEWTON AVE"/>
    <s v="NORWICH"/>
    <s v="NY"/>
    <s v="13815-1153"/>
    <s v="PHYSICIAN"/>
    <s v="M"/>
    <s v="No"/>
    <s v="MMIS"/>
    <s v="EastRPU"/>
    <s v="P"/>
    <m/>
    <m/>
    <m/>
    <s v=""/>
    <s v="E0122221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DEVINE SEAN DR."/>
    <m/>
    <m/>
    <m/>
    <m/>
    <s v="DEVINE SEAN THOMAS"/>
    <s v="1 GUTHRIE SQ"/>
    <s v="SAYRE"/>
    <s v="PA"/>
    <s v="18840-1625"/>
    <s v="PHYSICIAN"/>
    <s v="M"/>
    <s v="No"/>
    <s v="MMIS"/>
    <s v="SouthRPU"/>
    <s v="P"/>
    <m/>
    <m/>
    <m/>
    <s v=""/>
    <s v="E0315249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DEVINE TERRENCE DR."/>
    <m/>
    <m/>
    <m/>
    <m/>
    <s v="DEVINE TERENCE M           MD"/>
    <s v="GUTHRIE CLINIC LTD"/>
    <s v="SAYRE"/>
    <s v="PA"/>
    <s v="18840"/>
    <s v="PHYSICIAN"/>
    <s v="M"/>
    <s v="No"/>
    <s v="MMIS"/>
    <s v="SouthRPU"/>
    <s v="P"/>
    <m/>
    <m/>
    <m/>
    <s v=""/>
    <s v="E0236906"/>
    <n v="1"/>
    <n v="1"/>
    <n v="0"/>
    <n v="0"/>
    <n v="0"/>
    <n v="0"/>
    <n v="0"/>
    <n v="0"/>
    <n v="0"/>
    <n v="1"/>
    <n v="0"/>
    <x v="1"/>
    <n v="1"/>
    <s v=""/>
    <s v=""/>
    <s v=""/>
    <s v=""/>
    <s v=""/>
    <s v=""/>
    <s v=""/>
    <s v=""/>
    <s v=""/>
    <n v="1"/>
    <s v=""/>
  </r>
  <r>
    <x v="0"/>
    <m/>
    <m/>
    <m/>
    <m/>
    <s v="DIAB WADIH"/>
    <m/>
    <m/>
    <m/>
    <m/>
    <s v="DIAB WADIH                 MD"/>
    <s v="40 ARCH ST"/>
    <s v="JOHNSON CITY"/>
    <s v="NY"/>
    <s v="13790-2102"/>
    <s v="PHYSICIAN"/>
    <s v="M"/>
    <s v="No"/>
    <s v="MMIS"/>
    <s v="SouthRPU"/>
    <s v="P"/>
    <m/>
    <m/>
    <m/>
    <s v=""/>
    <s v="E0235133"/>
    <n v="1"/>
    <n v="1"/>
    <n v="0"/>
    <n v="1"/>
    <n v="1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1"/>
    <m/>
    <m/>
    <m/>
    <m/>
    <s v="DICK VAN DYKE ADDICTION TREATMENT CENTER"/>
    <m/>
    <m/>
    <m/>
    <m/>
    <s v="DICK VAN DYKE A T C"/>
    <s v="7116 COUNTY RD 132"/>
    <s v="WILLIARD"/>
    <s v="NY"/>
    <s v="14588-0039"/>
    <s v="HOSPITAL"/>
    <s v="M"/>
    <s v="No"/>
    <s v="MMIS"/>
    <s v="NorthRPU"/>
    <s v="P"/>
    <m/>
    <m/>
    <m/>
    <s v=""/>
    <s v="E0156742"/>
    <n v="0"/>
    <n v="0"/>
    <n v="0"/>
    <n v="0"/>
    <n v="0"/>
    <n v="0"/>
    <n v="0"/>
    <n v="0"/>
    <n v="0"/>
    <n v="0"/>
    <n v="0"/>
    <x v="1"/>
    <s v=""/>
    <s v=""/>
    <s v=""/>
    <s v=""/>
    <s v=""/>
    <n v="1"/>
    <s v=""/>
    <s v=""/>
    <s v=""/>
    <s v=""/>
    <s v=""/>
    <s v=""/>
  </r>
  <r>
    <x v="0"/>
    <m/>
    <m/>
    <m/>
    <m/>
    <s v="FARRELL DINA"/>
    <m/>
    <m/>
    <m/>
    <m/>
    <s v="FARRELL DINA"/>
    <s v="BINGHAMTON GENERAL"/>
    <s v="BINGHAMTON"/>
    <s v="NY"/>
    <s v="13903"/>
    <s v="PHYSICIAN"/>
    <s v="M"/>
    <s v="No"/>
    <s v="MMIS"/>
    <s v="SouthRPU"/>
    <s v="P"/>
    <m/>
    <m/>
    <m/>
    <s v=""/>
    <s v="E0133455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DUGAN DIRK"/>
    <m/>
    <m/>
    <m/>
    <m/>
    <s v="DUGAN DIRK H MD"/>
    <s v="ORTHO SUR SPORT MED"/>
    <s v="ITHACA"/>
    <s v="NY"/>
    <s v="14850-1345"/>
    <s v="PHYSICIAN"/>
    <s v="M"/>
    <s v="No"/>
    <s v="MMIS"/>
    <s v="NorthRPU"/>
    <s v="P"/>
    <m/>
    <m/>
    <m/>
    <s v=""/>
    <s v="E0227427"/>
    <n v="1"/>
    <n v="1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1"/>
    <m/>
    <m/>
    <m/>
    <m/>
    <s v="DODDS JEANNINE"/>
    <m/>
    <m/>
    <m/>
    <m/>
    <s v="DODDS JEANNINE MISUTKA"/>
    <s v="22 E MAIN ST # 24"/>
    <s v="MARATHON"/>
    <s v="NY"/>
    <s v="13803-3208"/>
    <s v="PHYSICIAN"/>
    <s v="M"/>
    <s v="No"/>
    <s v="MMIS"/>
    <s v="NorthRPU"/>
    <s v="P"/>
    <m/>
    <m/>
    <m/>
    <s v=""/>
    <s v="E0330703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DONAHUE MINDI MS."/>
    <m/>
    <m/>
    <m/>
    <m/>
    <s v="DONAHUE MINDI ANNE RPA"/>
    <s v="240 RIVERSIDE DR"/>
    <s v="JOHNSON CITY"/>
    <s v="NY"/>
    <s v="13790-2732"/>
    <s v="PHYSICIAN"/>
    <s v="M"/>
    <s v="No"/>
    <s v="MMIS"/>
    <s v="SouthRPU"/>
    <s v="P"/>
    <m/>
    <m/>
    <m/>
    <s v=""/>
    <s v="E0288676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BLUH DONALD DR."/>
    <m/>
    <m/>
    <m/>
    <m/>
    <s v="BLUH DONALD G              MD"/>
    <s v="CAYUGA MED CTR ITHAC"/>
    <s v="ITHACA"/>
    <s v="NY"/>
    <s v="14850-1383"/>
    <s v="PHYSICIAN"/>
    <s v="M"/>
    <s v="No"/>
    <s v="MMIS"/>
    <s v="NorthRPU"/>
    <s v="P"/>
    <m/>
    <m/>
    <m/>
    <s v=""/>
    <s v="E0221575"/>
    <n v="1"/>
    <n v="1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SESSION DONALD MR."/>
    <m/>
    <m/>
    <m/>
    <m/>
    <s v="SESSION DONALD"/>
    <s v="2138 W SENECA ST"/>
    <s v="OVID"/>
    <s v="NY"/>
    <s v="14521-9701"/>
    <s v="PHYSICIAN"/>
    <s v="M"/>
    <s v="No"/>
    <s v="MMIS"/>
    <s v="NorthRPU"/>
    <s v="P"/>
    <m/>
    <m/>
    <m/>
    <s v=""/>
    <s v="E0329623"/>
    <n v="1"/>
    <n v="1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LOFASO PETER"/>
    <m/>
    <m/>
    <m/>
    <m/>
    <s v="LOFASO PETER JOSEPH JR MD"/>
    <m/>
    <s v="JOHNSON CITY"/>
    <s v="NY"/>
    <s v="13790-2597"/>
    <s v="PHYSICIAN"/>
    <s v="M"/>
    <s v="No"/>
    <s v="MMIS"/>
    <s v="SouthRPU"/>
    <s v="P"/>
    <m/>
    <m/>
    <m/>
    <s v=""/>
    <s v="E0203126"/>
    <n v="0"/>
    <n v="0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1"/>
    <m/>
    <m/>
    <m/>
    <m/>
    <s v="DEVINE DONNA MS."/>
    <m/>
    <m/>
    <m/>
    <m/>
    <s v="DEVINE DONNA REBECCA"/>
    <s v="5100 W TAFT RD"/>
    <s v="LIVERPOOL"/>
    <s v="NY"/>
    <s v="13088-3807"/>
    <s v="PHYSICIAN"/>
    <s v="M"/>
    <s v="No"/>
    <s v="MMIS"/>
    <s v="NorthRPU"/>
    <s v="P"/>
    <m/>
    <m/>
    <m/>
    <s v=""/>
    <s v="E0386405"/>
    <n v="0"/>
    <n v="0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DOROGHAZI PAUL"/>
    <m/>
    <m/>
    <m/>
    <m/>
    <s v="DOROGHAZI PAUL M MD"/>
    <s v="179 N BROAD ST"/>
    <s v="NORWICH"/>
    <s v="NY"/>
    <s v="13815-1019"/>
    <s v="PHYSICIAN"/>
    <s v="M"/>
    <s v="No"/>
    <s v="MMIS"/>
    <s v="EastRPU"/>
    <s v="P"/>
    <m/>
    <m/>
    <m/>
    <s v=""/>
    <s v="E0173781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DOTY JOHN DR."/>
    <m/>
    <m/>
    <m/>
    <m/>
    <s v="DOTY JOHN PATRICK"/>
    <m/>
    <s v="WELLSBORO"/>
    <s v="PA"/>
    <s v="16901-1136"/>
    <s v="PHYSICIAN"/>
    <s v="M"/>
    <s v="No"/>
    <s v="MMIS"/>
    <s v="WestRPU"/>
    <s v="P"/>
    <m/>
    <m/>
    <m/>
    <s v=""/>
    <s v="E0091027"/>
    <n v="1"/>
    <n v="1"/>
    <n v="0"/>
    <n v="0"/>
    <n v="0"/>
    <n v="0"/>
    <n v="0"/>
    <n v="1"/>
    <n v="1"/>
    <n v="1"/>
    <n v="0"/>
    <x v="2"/>
    <s v=""/>
    <s v=""/>
    <s v=""/>
    <s v=""/>
    <s v=""/>
    <s v=""/>
    <s v=""/>
    <s v=""/>
    <s v=""/>
    <s v=""/>
    <n v="1"/>
    <s v=""/>
  </r>
  <r>
    <x v="0"/>
    <m/>
    <m/>
    <m/>
    <m/>
    <s v="MACQUEEN DOUGLAS DR."/>
    <m/>
    <m/>
    <m/>
    <m/>
    <s v="MACQUEEN DOUGLAS D"/>
    <s v="16 BRENTWOOD DR"/>
    <s v="ITHACA"/>
    <s v="NY"/>
    <s v="14850-1863"/>
    <s v="PHYSICIAN"/>
    <s v="M"/>
    <s v="No"/>
    <s v="MMIS"/>
    <s v="NorthRPU"/>
    <s v="P"/>
    <m/>
    <m/>
    <m/>
    <s v=""/>
    <s v="E0334845"/>
    <n v="1"/>
    <n v="1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TABER DOUGLAS"/>
    <m/>
    <m/>
    <m/>
    <m/>
    <s v="TABER DOUGLAS JAY"/>
    <s v="65 PENNSYLVANIA AVE"/>
    <s v="BINGHAMTON"/>
    <s v="NY"/>
    <s v="13903-1651"/>
    <s v="CHIROPRACTOR/PORT-XRAY-SVC  - QMB SERVICES"/>
    <s v="M"/>
    <s v="No"/>
    <s v="MMIS"/>
    <s v="SouthRPU"/>
    <s v="P"/>
    <m/>
    <m/>
    <m/>
    <s v=""/>
    <s v="E0319393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1"/>
    <m/>
    <m/>
    <m/>
    <m/>
    <s v="ZANG DOUGLAS"/>
    <m/>
    <m/>
    <m/>
    <m/>
    <s v="ZANG DOUGLAS MICHAEL"/>
    <s v="PO BOX 150"/>
    <s v="COCHITI PUEBLO"/>
    <s v="NM"/>
    <s v="87072-0150"/>
    <s v="PHYSICIAN"/>
    <s v="M"/>
    <s v="No"/>
    <s v="MMIS"/>
    <s v="NorthRPU"/>
    <s v="P"/>
    <m/>
    <m/>
    <m/>
    <s v=""/>
    <s v="E0338104"/>
    <n v="0"/>
    <n v="0"/>
    <n v="0"/>
    <n v="0"/>
    <n v="0"/>
    <n v="0"/>
    <n v="0"/>
    <n v="0"/>
    <n v="0"/>
    <n v="0"/>
    <n v="0"/>
    <x v="2"/>
    <n v="1"/>
    <s v=""/>
    <s v=""/>
    <s v=""/>
    <s v=""/>
    <s v=""/>
    <s v=""/>
    <s v=""/>
    <s v=""/>
    <s v=""/>
    <n v="1"/>
    <s v=""/>
  </r>
  <r>
    <x v="0"/>
    <m/>
    <m/>
    <m/>
    <m/>
    <s v="DOWD SHARON"/>
    <m/>
    <m/>
    <m/>
    <m/>
    <s v="DOWD SHARON A"/>
    <s v="736 IRVING AVE"/>
    <s v="SYRACUSE"/>
    <s v="NY"/>
    <s v="13210-1687"/>
    <s v="PHYSICIAN"/>
    <s v="M"/>
    <s v="No"/>
    <s v="MMIS"/>
    <s v="NorthRPU"/>
    <s v="P"/>
    <m/>
    <m/>
    <m/>
    <s v="DOWD SHARON"/>
    <s v="E0125401"/>
    <s v="No"/>
    <s v="No"/>
    <s v="No"/>
    <s v="No"/>
    <s v="No"/>
    <s v="No"/>
    <s v="No"/>
    <s v="No"/>
    <n v="0"/>
    <s v="No"/>
    <s v="No"/>
    <x v="1"/>
    <s v=""/>
    <s v=""/>
    <s v=""/>
    <s v=""/>
    <s v=""/>
    <s v=""/>
    <s v=""/>
    <s v=""/>
    <s v=""/>
    <s v=""/>
    <s v=""/>
    <n v="1"/>
  </r>
  <r>
    <x v="0"/>
    <m/>
    <m/>
    <m/>
    <m/>
    <s v="DOWNS DANIEL"/>
    <m/>
    <m/>
    <m/>
    <m/>
    <s v="DOWNS DANIEL MARK"/>
    <s v="179 N BROAD ST"/>
    <s v="NORWICH"/>
    <s v="NY"/>
    <s v="13815-1019"/>
    <s v="PHYSICIAN"/>
    <s v="M"/>
    <s v="No"/>
    <s v="MMIS"/>
    <s v="EastRPU"/>
    <s v="P"/>
    <m/>
    <m/>
    <m/>
    <s v=""/>
    <s v="E0041153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DOWNTON PAUL"/>
    <m/>
    <m/>
    <m/>
    <m/>
    <s v="DOWNTON PAUL W"/>
    <s v="1 TITUS PL"/>
    <s v="WALTON"/>
    <s v="NY"/>
    <s v="13856-1457"/>
    <s v="PHYSICIAN"/>
    <s v="M"/>
    <s v="No"/>
    <s v="MMIS"/>
    <s v="EastRPU"/>
    <s v="P"/>
    <m/>
    <m/>
    <m/>
    <s v=""/>
    <s v="E0372873"/>
    <n v="1"/>
    <n v="1"/>
    <n v="0"/>
    <n v="1"/>
    <n v="1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s v="425 Robinson Street"/>
    <s v="Binghamton"/>
    <s v="NY"/>
    <s v="13904"/>
    <m/>
    <m/>
    <m/>
    <m/>
    <m/>
    <m/>
    <m/>
    <m/>
    <m/>
    <m/>
    <m/>
    <s v="M"/>
    <s v="No"/>
    <s v="No NPI or MMIS"/>
    <s v="SouthRPU"/>
    <s v="P"/>
    <m/>
    <m/>
    <m/>
    <s v="Dr. Garabed A. Fattal Community Free Clinic"/>
    <m/>
    <s v="No"/>
    <s v="No"/>
    <s v="No"/>
    <s v="No"/>
    <s v="No"/>
    <s v="No"/>
    <s v="No"/>
    <s v="No"/>
    <n v="0"/>
    <s v="No"/>
    <s v="No"/>
    <x v="1"/>
    <s v=""/>
    <s v=""/>
    <s v=""/>
    <s v=""/>
    <s v=""/>
    <s v=""/>
    <s v=""/>
    <s v=""/>
    <s v=""/>
    <n v="1"/>
    <s v=""/>
    <s v=""/>
  </r>
  <r>
    <x v="0"/>
    <m/>
    <m/>
    <m/>
    <m/>
    <s v="KOCH DREW"/>
    <m/>
    <m/>
    <m/>
    <m/>
    <s v="KOCH DREW A DO"/>
    <s v="10 ARROWOOD DR"/>
    <s v="ITHACA"/>
    <s v="NY"/>
    <s v="14850-1857"/>
    <s v="PHYSICIAN"/>
    <s v="M"/>
    <s v="No"/>
    <s v="MMIS"/>
    <s v="NorthRPU"/>
    <s v="P"/>
    <m/>
    <m/>
    <m/>
    <s v=""/>
    <s v="E0001882"/>
    <n v="1"/>
    <n v="1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1"/>
    <m/>
    <m/>
    <m/>
    <m/>
    <s v="DRILON MICHELLE"/>
    <m/>
    <m/>
    <m/>
    <m/>
    <s v="DRILON MICHELLE ANN"/>
    <s v="161 RIVERSIDE DR STE 206"/>
    <s v="BINGHAMTON"/>
    <s v="NY"/>
    <s v="13905-4178"/>
    <s v="PHYSICIAN"/>
    <s v="M"/>
    <s v="No"/>
    <s v="MMIS"/>
    <s v="SouthRPU"/>
    <s v="P"/>
    <m/>
    <m/>
    <m/>
    <s v=""/>
    <s v="E0325100"/>
    <n v="0"/>
    <n v="0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DRISCOLL DANIEL DR."/>
    <m/>
    <m/>
    <m/>
    <m/>
    <s v="DRISCOLL DANIEL J MD"/>
    <s v="66 JOHNSON HILL RD"/>
    <s v="LISLE"/>
    <s v="NY"/>
    <s v="13797-1403"/>
    <s v="PHYSICIAN"/>
    <s v="M"/>
    <s v="No"/>
    <s v="MMIS"/>
    <s v="SouthRPU"/>
    <s v="P"/>
    <m/>
    <m/>
    <m/>
    <s v=""/>
    <s v="E0250510"/>
    <n v="0"/>
    <n v="0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s v="5 Evergreen Street"/>
    <s v="Dryden"/>
    <s v="NY"/>
    <s v="13053"/>
    <m/>
    <m/>
    <m/>
    <m/>
    <m/>
    <m/>
    <m/>
    <m/>
    <m/>
    <m/>
    <m/>
    <s v="M"/>
    <s v="No"/>
    <s v="No NPI or MMIS"/>
    <s v="NorthRPU"/>
    <s v="P"/>
    <m/>
    <m/>
    <m/>
    <s v=""/>
    <m/>
    <n v="1"/>
    <s v="No"/>
    <s v="No"/>
    <s v="No"/>
    <s v="No"/>
    <s v="No"/>
    <s v="No"/>
    <s v="No"/>
    <n v="0"/>
    <s v="No"/>
    <s v="No"/>
    <x v="1"/>
    <s v=""/>
    <s v=""/>
    <s v=""/>
    <s v=""/>
    <s v=""/>
    <s v=""/>
    <s v=""/>
    <s v=""/>
    <s v=""/>
    <n v="1"/>
    <s v=""/>
    <s v=""/>
  </r>
  <r>
    <x v="0"/>
    <m/>
    <m/>
    <m/>
    <m/>
    <s v="DRYDEN FAMILY MEDICINE"/>
    <m/>
    <m/>
    <m/>
    <m/>
    <s v="DRYDEN FAMILY MEDICINE"/>
    <s v="5 EVERGREEN ST"/>
    <s v="DRYDEN"/>
    <s v="NY"/>
    <s v="13053-0008"/>
    <s v="PHYSICIANS GROUP"/>
    <s v="M"/>
    <s v="No"/>
    <s v="MMIS"/>
    <s v="NorthRPU"/>
    <s v="P"/>
    <m/>
    <m/>
    <m/>
    <s v="DRYDEN FAMILY MEDICINE"/>
    <s v="E0378482"/>
    <s v="No"/>
    <s v="No"/>
    <s v="No"/>
    <s v="No"/>
    <s v="No"/>
    <s v="No"/>
    <s v="No"/>
    <s v="No"/>
    <n v="0"/>
    <s v="No"/>
    <s v="No"/>
    <x v="1"/>
    <s v=""/>
    <s v=""/>
    <s v=""/>
    <s v=""/>
    <s v=""/>
    <s v=""/>
    <s v=""/>
    <s v=""/>
    <s v=""/>
    <s v=""/>
    <n v="1"/>
    <s v=""/>
  </r>
  <r>
    <x v="0"/>
    <m/>
    <m/>
    <m/>
    <m/>
    <s v="DUDDEN ASHLEY MS."/>
    <m/>
    <m/>
    <m/>
    <m/>
    <s v="DUDDEN ASHLEY ROSE"/>
    <s v="4417 VESTAL PKWY E"/>
    <s v="VESTAL"/>
    <s v="NY"/>
    <s v="13850-3556"/>
    <s v="PHYSICIAN"/>
    <s v="M"/>
    <s v="No"/>
    <s v="MMIS"/>
    <s v="SouthRPU"/>
    <s v="P"/>
    <m/>
    <m/>
    <m/>
    <s v="DUDDEN ASHLEY MS."/>
    <s v="E0364944"/>
    <s v="No"/>
    <s v="No"/>
    <s v="No"/>
    <s v="No"/>
    <s v="No"/>
    <s v="No"/>
    <s v="No"/>
    <s v="No"/>
    <n v="1"/>
    <s v="No"/>
    <s v="No"/>
    <x v="2"/>
    <s v=""/>
    <s v=""/>
    <s v=""/>
    <s v=""/>
    <s v=""/>
    <s v=""/>
    <s v=""/>
    <s v=""/>
    <s v=""/>
    <s v=""/>
    <n v="1"/>
    <s v=""/>
  </r>
  <r>
    <x v="0"/>
    <m/>
    <m/>
    <m/>
    <m/>
    <s v="DUNN JUNIUS JOSEPHINE"/>
    <m/>
    <m/>
    <m/>
    <m/>
    <s v="DUNN JUNIUS JOSEPHINE MARTINA"/>
    <s v="1302 E MAIN ST"/>
    <s v="ENDICOTT"/>
    <s v="NY"/>
    <s v="13760-5430"/>
    <s v="PHYSICIAN"/>
    <s v="M"/>
    <s v="No"/>
    <s v="MMIS"/>
    <s v="SouthRPU"/>
    <s v="P"/>
    <m/>
    <m/>
    <m/>
    <s v=""/>
    <s v="E0332089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DURA PAUL"/>
    <m/>
    <m/>
    <m/>
    <m/>
    <s v="DURA PAUL ANDREW MD"/>
    <s v="161 RIVERSIDE DR"/>
    <s v="BINGHAMTON"/>
    <s v="NY"/>
    <s v="13905-4197"/>
    <s v="PHYSICIAN"/>
    <s v="M"/>
    <s v="No"/>
    <s v="MMIS"/>
    <s v="SouthRPU"/>
    <s v="P"/>
    <m/>
    <m/>
    <m/>
    <s v="DURA PAUL"/>
    <s v="E0148356"/>
    <s v="No"/>
    <s v="No"/>
    <s v="No"/>
    <s v="No"/>
    <s v="No"/>
    <s v="No"/>
    <s v="No"/>
    <s v="No"/>
    <n v="0"/>
    <s v="No"/>
    <s v="No"/>
    <x v="1"/>
    <n v="1"/>
    <s v=""/>
    <s v=""/>
    <s v=""/>
    <s v=""/>
    <s v=""/>
    <s v=""/>
    <s v=""/>
    <s v=""/>
    <s v=""/>
    <n v="1"/>
    <s v=""/>
  </r>
  <r>
    <x v="0"/>
    <m/>
    <m/>
    <m/>
    <m/>
    <s v="MILNER DVORAH"/>
    <m/>
    <m/>
    <m/>
    <m/>
    <s v="MILNER DVORAH  MD"/>
    <s v="DEPT OB/GYN LIJMC"/>
    <s v="NEW HYDE PARK"/>
    <s v="NY"/>
    <s v="11040-1402"/>
    <s v="PHYSICIAN"/>
    <s v="M"/>
    <s v="No"/>
    <s v="MMIS"/>
    <s v="NorthRPU"/>
    <s v="P"/>
    <m/>
    <m/>
    <m/>
    <s v=""/>
    <s v="E0085009"/>
    <n v="1"/>
    <n v="1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DZMITRYIEU ALIAKSANDR"/>
    <m/>
    <m/>
    <m/>
    <m/>
    <s v="DZMITRYIEU ALIAKSANDR"/>
    <s v="179 N BROAD ST"/>
    <s v="NORWICH"/>
    <s v="NY"/>
    <s v="13815-1019"/>
    <s v="PHYSICIAN"/>
    <s v="M"/>
    <s v="No"/>
    <s v="MMIS"/>
    <s v="EastRPU"/>
    <s v="P"/>
    <m/>
    <m/>
    <m/>
    <s v=""/>
    <s v="E0322713"/>
    <n v="0"/>
    <n v="0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s v=""/>
    <s v=""/>
  </r>
  <r>
    <x v="0"/>
    <m/>
    <m/>
    <m/>
    <m/>
    <s v="EDER FRANK"/>
    <m/>
    <m/>
    <m/>
    <m/>
    <s v="EDER FRANK STEVEN MD"/>
    <s v="BINGHAMTON GENERAL"/>
    <s v="BINGHAMTON"/>
    <s v="NY"/>
    <s v="13903"/>
    <s v="PHYSICIAN"/>
    <s v="M"/>
    <s v="No"/>
    <s v="MMIS"/>
    <s v="SouthRPU"/>
    <s v="P"/>
    <m/>
    <m/>
    <m/>
    <s v=""/>
    <s v="E0140663"/>
    <n v="1"/>
    <n v="1"/>
    <n v="0"/>
    <n v="1"/>
    <n v="1"/>
    <n v="0"/>
    <n v="0"/>
    <n v="0"/>
    <n v="1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EDMUNDSON LAUREL DR."/>
    <m/>
    <m/>
    <m/>
    <m/>
    <s v="EDMUNDSON LAUREL DUPHINEY"/>
    <s v="11 ALVENA AVE"/>
    <s v="CORTLAND"/>
    <s v="NY"/>
    <s v="13045-1150"/>
    <s v="PHYSICIAN"/>
    <s v="M"/>
    <s v="No"/>
    <s v="MMIS"/>
    <s v="NorthRPU"/>
    <s v="P"/>
    <m/>
    <m/>
    <m/>
    <s v=""/>
    <s v="E0311001"/>
    <n v="0"/>
    <n v="0"/>
    <n v="0"/>
    <n v="0"/>
    <n v="0"/>
    <n v="0"/>
    <n v="0"/>
    <n v="0"/>
    <n v="0"/>
    <n v="0"/>
    <n v="0"/>
    <x v="2"/>
    <n v="1"/>
    <s v=""/>
    <s v=""/>
    <s v=""/>
    <s v=""/>
    <s v=""/>
    <s v=""/>
    <s v=""/>
    <s v=""/>
    <s v=""/>
    <n v="1"/>
    <s v=""/>
  </r>
  <r>
    <x v="0"/>
    <m/>
    <m/>
    <m/>
    <m/>
    <s v="EHRETS VICKI"/>
    <m/>
    <m/>
    <m/>
    <m/>
    <s v="EHRETS VICKI"/>
    <s v="10-42 MITCHELL AVE"/>
    <s v="BINGHAMTON"/>
    <s v="NY"/>
    <s v="13903-1617"/>
    <s v="CLINICAL SOCIAL WORKER (CSW)"/>
    <s v="M"/>
    <s v="No"/>
    <s v="MMIS"/>
    <s v="SouthRPU"/>
    <s v="P"/>
    <m/>
    <m/>
    <m/>
    <s v=""/>
    <s v="E0296300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EISENBERG SPENCER"/>
    <m/>
    <m/>
    <m/>
    <m/>
    <s v="EISENBERG SPENCER M"/>
    <s v="507 MAIN STREET"/>
    <s v="JOHNSON CITY"/>
    <s v="NY"/>
    <s v="13790-1810"/>
    <s v="PHYSICIAN"/>
    <s v="M"/>
    <s v="No"/>
    <s v="MMIS"/>
    <s v="SouthRPU"/>
    <s v="P"/>
    <m/>
    <m/>
    <m/>
    <s v="EISENBERG SPENCER"/>
    <s v="E0402667"/>
    <s v="No"/>
    <s v="No"/>
    <s v="No"/>
    <s v="No"/>
    <s v="No"/>
    <s v="No"/>
    <s v="No"/>
    <s v="No"/>
    <n v="0"/>
    <s v="No"/>
    <s v="No"/>
    <x v="1"/>
    <n v="1"/>
    <s v=""/>
    <s v=""/>
    <s v=""/>
    <s v=""/>
    <s v=""/>
    <s v=""/>
    <s v=""/>
    <s v=""/>
    <s v=""/>
    <s v=""/>
    <s v=""/>
  </r>
  <r>
    <x v="0"/>
    <m/>
    <m/>
    <m/>
    <m/>
    <s v="REEVES ELAINE"/>
    <m/>
    <m/>
    <m/>
    <m/>
    <s v="REEVES ELAINE M"/>
    <s v="4900 BROAD RD"/>
    <s v="SYRACUSE"/>
    <s v="NY"/>
    <s v="13215-2265"/>
    <s v="PHYSICIAN"/>
    <s v="M"/>
    <s v="No"/>
    <s v="MMIS"/>
    <s v="SouthRPU"/>
    <s v="P"/>
    <m/>
    <m/>
    <m/>
    <s v="Elaine Reeves, FNP-C"/>
    <s v="E0313475"/>
    <s v="No"/>
    <s v="No"/>
    <s v="No"/>
    <s v="No"/>
    <s v="No"/>
    <s v="No"/>
    <s v="No"/>
    <s v="No"/>
    <n v="0"/>
    <s v="No"/>
    <s v="No"/>
    <x v="1"/>
    <n v="1"/>
    <s v=""/>
    <s v=""/>
    <s v=""/>
    <s v=""/>
    <s v=""/>
    <s v=""/>
    <s v=""/>
    <s v=""/>
    <s v=""/>
    <s v=""/>
    <s v=""/>
  </r>
  <r>
    <x v="0"/>
    <m/>
    <m/>
    <m/>
    <m/>
    <s v="EINAV ELDAD"/>
    <m/>
    <m/>
    <m/>
    <m/>
    <s v="EINAV ELDAD URI"/>
    <s v="161 RIVERSIDE DR STE 205"/>
    <s v="BINGHAMTON"/>
    <s v="NY"/>
    <s v="13905-4178"/>
    <s v="PHYSICIAN"/>
    <s v="M"/>
    <s v="No"/>
    <s v="MMIS"/>
    <s v="SouthRPU"/>
    <s v="P"/>
    <m/>
    <m/>
    <m/>
    <s v="Eldad U. Einav, MD"/>
    <s v="E0369465"/>
    <s v="No"/>
    <s v="No"/>
    <s v="No"/>
    <s v="No"/>
    <s v="No"/>
    <s v="No"/>
    <s v="No"/>
    <s v="No"/>
    <n v="0"/>
    <s v="No"/>
    <s v="No"/>
    <x v="1"/>
    <n v="1"/>
    <s v=""/>
    <s v=""/>
    <s v=""/>
    <s v=""/>
    <s v=""/>
    <s v=""/>
    <s v=""/>
    <s v=""/>
    <s v=""/>
    <n v="1"/>
    <s v=""/>
  </r>
  <r>
    <x v="1"/>
    <m/>
    <m/>
    <m/>
    <m/>
    <m/>
    <m/>
    <m/>
    <m/>
    <m/>
    <s v="ELDER CHOICE INC NHTD"/>
    <s v="89 YORK ST"/>
    <s v="AUBURN"/>
    <s v="NY"/>
    <s v="13021-1135"/>
    <s v="HOME HEALTH AGENCY"/>
    <s v="M"/>
    <s v="No"/>
    <s v="MMIS"/>
    <s v="NorthRPU"/>
    <s v="P"/>
    <m/>
    <m/>
    <m/>
    <s v=""/>
    <s v="E0316633"/>
    <n v="1"/>
    <n v="1"/>
    <n v="0"/>
    <n v="0"/>
    <n v="1"/>
    <n v="0"/>
    <n v="0"/>
    <n v="0"/>
    <n v="0"/>
    <n v="0"/>
    <n v="0"/>
    <x v="1"/>
    <s v=""/>
    <s v=""/>
    <s v=""/>
    <s v=""/>
    <s v=""/>
    <s v=""/>
    <s v=""/>
    <s v=""/>
    <s v=""/>
    <s v=""/>
    <n v="1"/>
    <s v=""/>
  </r>
  <r>
    <x v="0"/>
    <m/>
    <m/>
    <m/>
    <m/>
    <m/>
    <m/>
    <m/>
    <m/>
    <m/>
    <s v="ELDERCHOICE INC TBI"/>
    <s v="208 W MAIN ST"/>
    <s v="ELBRIDGE"/>
    <s v="NY"/>
    <s v="13060-9518"/>
    <s v="HOME HEALTH AGENCY"/>
    <s v="M"/>
    <s v="No"/>
    <s v="MMIS"/>
    <s v="NorthRPU"/>
    <s v="P"/>
    <m/>
    <m/>
    <m/>
    <s v=""/>
    <s v="E0110762"/>
    <n v="1"/>
    <n v="1"/>
    <n v="0"/>
    <n v="0"/>
    <n v="1"/>
    <n v="0"/>
    <n v="0"/>
    <n v="0"/>
    <n v="0"/>
    <n v="0"/>
    <n v="0"/>
    <x v="1"/>
    <s v=""/>
    <s v=""/>
    <s v=""/>
    <s v=""/>
    <s v=""/>
    <s v=""/>
    <s v=""/>
    <s v=""/>
    <s v=""/>
    <s v=""/>
    <n v="1"/>
    <s v=""/>
  </r>
  <r>
    <x v="0"/>
    <m/>
    <m/>
    <m/>
    <m/>
    <s v="ELDERCHOICE INC."/>
    <s v="208 WEST MAIN ST"/>
    <s v="ELBRIDGE"/>
    <s v="NY"/>
    <s v="13060"/>
    <m/>
    <m/>
    <m/>
    <m/>
    <m/>
    <m/>
    <s v="M"/>
    <s v="No"/>
    <s v="NPI only"/>
    <s v="NorthRPU"/>
    <s v="P"/>
    <m/>
    <m/>
    <m/>
    <s v=""/>
    <s v="E0316633"/>
    <n v="1"/>
    <n v="1"/>
    <m/>
    <m/>
    <n v="1"/>
    <s v="No"/>
    <s v="No"/>
    <s v="No"/>
    <n v="0"/>
    <s v="No"/>
    <s v="No"/>
    <x v="1"/>
    <s v=""/>
    <s v=""/>
    <s v=""/>
    <s v=""/>
    <s v=""/>
    <s v=""/>
    <s v=""/>
    <s v=""/>
    <s v=""/>
    <s v=""/>
    <s v=""/>
    <n v="1"/>
  </r>
  <r>
    <x v="1"/>
    <m/>
    <m/>
    <m/>
    <m/>
    <s v="37 NORTH CHEMUNG STREET OPERATING COMPANY LLC"/>
    <m/>
    <m/>
    <m/>
    <m/>
    <s v="37 NORTH CHEMUNG STREET OPERATING C"/>
    <s v="37 N CHEMUNG ST"/>
    <s v="WAVERLY"/>
    <s v="NY"/>
    <s v="14892-1211"/>
    <s v="HOSPITAL"/>
    <s v="M"/>
    <s v="No"/>
    <s v="MMIS"/>
    <s v="SouthRPU"/>
    <s v="P"/>
    <m/>
    <m/>
    <m/>
    <s v=""/>
    <s v="E0396595"/>
    <n v="1"/>
    <n v="0"/>
    <n v="1"/>
    <n v="0"/>
    <n v="0"/>
    <n v="0"/>
    <n v="0"/>
    <n v="0"/>
    <n v="0"/>
    <n v="0"/>
    <n v="0"/>
    <x v="1"/>
    <s v=""/>
    <s v=""/>
    <s v=""/>
    <s v=""/>
    <s v=""/>
    <s v=""/>
    <s v=""/>
    <s v=""/>
    <s v=""/>
    <s v=""/>
    <n v="1"/>
    <s v=""/>
  </r>
  <r>
    <x v="0"/>
    <m/>
    <m/>
    <m/>
    <m/>
    <s v="TIOGA NURSING HOME"/>
    <s v="37 N CHEMUNG ST"/>
    <s v="WAVERLY"/>
    <s v="NY"/>
    <s v="148921211"/>
    <m/>
    <m/>
    <m/>
    <m/>
    <m/>
    <m/>
    <s v="M"/>
    <s v="No"/>
    <s v="NPI only"/>
    <s v="SouthRPU"/>
    <s v="P"/>
    <m/>
    <m/>
    <m/>
    <s v="ELDERWOOD HEALTH CARE AT TIOGA"/>
    <m/>
    <s v="No"/>
    <s v="No"/>
    <s v="No"/>
    <s v="No"/>
    <s v="No"/>
    <s v="No"/>
    <s v="No"/>
    <s v="No"/>
    <n v="0"/>
    <s v="No"/>
    <s v="No"/>
    <x v="1"/>
    <s v=""/>
    <s v=""/>
    <s v=""/>
    <s v=""/>
    <s v=""/>
    <s v=""/>
    <s v=""/>
    <s v=""/>
    <s v=""/>
    <s v=""/>
    <s v=""/>
    <n v="1"/>
  </r>
  <r>
    <x v="0"/>
    <m/>
    <m/>
    <m/>
    <m/>
    <s v="COTTON ELISABETH DR."/>
    <m/>
    <m/>
    <m/>
    <m/>
    <s v="COTTON ELISABETH"/>
    <s v="16 BRENTWOOD DR"/>
    <s v="ITHACA"/>
    <s v="NY"/>
    <s v="14850-1863"/>
    <s v="PHYSICIAN"/>
    <s v="M"/>
    <s v="No"/>
    <s v="MMIS"/>
    <s v="NorthRPU"/>
    <s v="P"/>
    <m/>
    <m/>
    <m/>
    <s v=""/>
    <s v="E0297689"/>
    <n v="1"/>
    <n v="1"/>
    <n v="0"/>
    <n v="0"/>
    <n v="0"/>
    <n v="0"/>
    <n v="0"/>
    <n v="0"/>
    <n v="1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ELIZABETH DOROTHY"/>
    <m/>
    <m/>
    <m/>
    <m/>
    <s v="ELIZABETH DOROTHY S"/>
    <m/>
    <m/>
    <m/>
    <m/>
    <s v="PHYSICIAN"/>
    <s v="M"/>
    <s v="No"/>
    <s v="MMIS"/>
    <s v="NorthRPU"/>
    <s v="P"/>
    <m/>
    <m/>
    <m/>
    <s v="Elizabeth Dorothy"/>
    <s v="E0455364"/>
    <s v="No"/>
    <s v="No"/>
    <s v="No"/>
    <s v="No"/>
    <s v="No"/>
    <s v="No"/>
    <s v="No"/>
    <s v="No"/>
    <n v="0"/>
    <s v="No"/>
    <s v="No"/>
    <x v="1"/>
    <n v="1"/>
    <s v=""/>
    <s v=""/>
    <s v=""/>
    <s v=""/>
    <s v=""/>
    <s v=""/>
    <s v=""/>
    <s v=""/>
    <s v=""/>
    <s v=""/>
    <s v=""/>
  </r>
  <r>
    <x v="0"/>
    <m/>
    <m/>
    <m/>
    <m/>
    <s v="PLOCHARCZYK ELIZABETH DR."/>
    <m/>
    <m/>
    <m/>
    <m/>
    <s v="PLOCHARCZYK ELIZABETH FRANCES"/>
    <s v="101 DATES DR"/>
    <s v="ITHACA"/>
    <s v="NY"/>
    <s v="14850-1342"/>
    <s v="PHYSICIAN"/>
    <s v="M"/>
    <s v="No"/>
    <s v="MMIS"/>
    <s v="NorthRPU"/>
    <s v="P"/>
    <m/>
    <m/>
    <m/>
    <s v=""/>
    <s v="E0347589"/>
    <n v="1"/>
    <n v="1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EL-KASSIS LILIANE"/>
    <m/>
    <m/>
    <m/>
    <m/>
    <s v="EL-KASSIS LILIANE S MD"/>
    <s v="33-57 HARRISON ST"/>
    <s v="JOHNSON CITY"/>
    <s v="NY"/>
    <s v="13790-2107"/>
    <s v="PHYSICIAN"/>
    <s v="M"/>
    <s v="No"/>
    <s v="MMIS"/>
    <s v="SouthRPU"/>
    <s v="P"/>
    <m/>
    <m/>
    <m/>
    <s v=""/>
    <s v="E0017339"/>
    <n v="1"/>
    <n v="1"/>
    <n v="0"/>
    <n v="1"/>
    <n v="1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RUBINSTEIN ELLIOT DR."/>
    <m/>
    <m/>
    <m/>
    <m/>
    <s v="RUBINSTEIN ELLIOT"/>
    <s v="840 HANSHAW RD"/>
    <s v="ITHACA"/>
    <s v="NY"/>
    <s v="14850-1589"/>
    <s v="PHYSICIAN"/>
    <s v="M"/>
    <s v="No"/>
    <s v="MMIS"/>
    <s v="NorthRPU"/>
    <s v="P"/>
    <m/>
    <m/>
    <m/>
    <s v=""/>
    <s v="E0244223"/>
    <n v="1"/>
    <n v="1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ELLIS GEORGE"/>
    <m/>
    <m/>
    <m/>
    <m/>
    <s v="ELLIS GEORGE LEROY"/>
    <s v="1 GUTHRIE SQUARE"/>
    <s v="SAYRE"/>
    <s v="PA"/>
    <s v="18840-1698"/>
    <s v="PHYSICIAN"/>
    <s v="M"/>
    <s v="No"/>
    <s v="MMIS"/>
    <s v="SouthRPU"/>
    <s v="P"/>
    <m/>
    <m/>
    <m/>
    <s v=""/>
    <s v="E0158936"/>
    <n v="1"/>
    <n v="1"/>
    <n v="0"/>
    <n v="0"/>
    <n v="0"/>
    <n v="0"/>
    <n v="0"/>
    <n v="0"/>
    <n v="0"/>
    <n v="1"/>
    <n v="0"/>
    <x v="1"/>
    <n v="1"/>
    <s v=""/>
    <s v=""/>
    <s v=""/>
    <s v=""/>
    <s v=""/>
    <s v=""/>
    <s v=""/>
    <s v=""/>
    <s v=""/>
    <s v=""/>
    <s v=""/>
  </r>
  <r>
    <x v="0"/>
    <m/>
    <m/>
    <m/>
    <m/>
    <s v="ELSISI AMR DR."/>
    <m/>
    <m/>
    <m/>
    <m/>
    <s v="ELSISI AMR M MD"/>
    <s v="GUTHRIE CLINIC"/>
    <s v="HORSEHEADS"/>
    <s v="NY"/>
    <s v="14845"/>
    <s v="PHYSICIAN"/>
    <s v="M"/>
    <s v="No"/>
    <s v="MMIS"/>
    <s v="WestRPU"/>
    <s v="P"/>
    <m/>
    <m/>
    <m/>
    <s v=""/>
    <s v="E0065003"/>
    <n v="1"/>
    <n v="1"/>
    <n v="0"/>
    <n v="0"/>
    <n v="0"/>
    <n v="0"/>
    <n v="0"/>
    <n v="1"/>
    <n v="1"/>
    <n v="1"/>
    <n v="0"/>
    <x v="2"/>
    <s v=""/>
    <s v=""/>
    <s v=""/>
    <s v=""/>
    <s v=""/>
    <s v=""/>
    <s v=""/>
    <s v=""/>
    <s v=""/>
    <s v=""/>
    <n v="1"/>
    <s v=""/>
  </r>
  <r>
    <x v="0"/>
    <m/>
    <m/>
    <m/>
    <m/>
    <s v="CROUSE EMILY"/>
    <m/>
    <m/>
    <m/>
    <m/>
    <s v="CROUSE EMILY ANNE DOUGHTY"/>
    <m/>
    <m/>
    <m/>
    <m/>
    <s v="PHYSICIAN"/>
    <s v="M"/>
    <s v="No"/>
    <s v="MMIS"/>
    <s v="SouthRPU"/>
    <s v="P"/>
    <m/>
    <m/>
    <m/>
    <s v="Emily A. Crouse, NP"/>
    <s v="E0448816"/>
    <s v="No"/>
    <s v="No"/>
    <s v="No"/>
    <s v="No"/>
    <s v="No"/>
    <s v="No"/>
    <s v="No"/>
    <s v="No"/>
    <n v="0"/>
    <s v="No"/>
    <s v="No"/>
    <x v="1"/>
    <n v="1"/>
    <s v=""/>
    <s v=""/>
    <s v=""/>
    <s v=""/>
    <s v=""/>
    <s v=""/>
    <s v=""/>
    <s v=""/>
    <s v=""/>
    <s v=""/>
    <s v=""/>
  </r>
  <r>
    <x v="0"/>
    <m/>
    <m/>
    <m/>
    <m/>
    <s v="GUIZANO EMMANUEL"/>
    <m/>
    <m/>
    <m/>
    <m/>
    <s v="GUIZANO EMMANUEL M MD"/>
    <s v="UNITED HLTH SVCS HSP"/>
    <s v="BINGHAMTON"/>
    <s v="NY"/>
    <s v="13903-1617"/>
    <s v="PHYSICIAN"/>
    <s v="M"/>
    <s v="No"/>
    <s v="MMIS"/>
    <s v="SouthRPU"/>
    <s v="P"/>
    <m/>
    <m/>
    <m/>
    <s v=""/>
    <s v="E0111908"/>
    <n v="1"/>
    <n v="1"/>
    <n v="0"/>
    <n v="1"/>
    <n v="1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ENDERS GARY"/>
    <m/>
    <m/>
    <m/>
    <m/>
    <s v="ENDERS GARY CARL"/>
    <s v="351 E 2ND ST"/>
    <s v="CORNING"/>
    <s v="NY"/>
    <s v="14830-3342"/>
    <s v="PHYSICIAN"/>
    <s v="M"/>
    <s v="No"/>
    <s v="MMIS"/>
    <s v="WestRPU"/>
    <s v="P"/>
    <m/>
    <m/>
    <m/>
    <s v=""/>
    <s v="E0222558"/>
    <n v="1"/>
    <n v="1"/>
    <n v="0"/>
    <n v="0"/>
    <n v="0"/>
    <n v="0"/>
    <n v="0"/>
    <n v="1"/>
    <n v="1"/>
    <n v="1"/>
    <n v="0"/>
    <x v="2"/>
    <s v=""/>
    <s v=""/>
    <s v=""/>
    <s v=""/>
    <s v=""/>
    <s v=""/>
    <s v=""/>
    <s v=""/>
    <s v=""/>
    <s v=""/>
    <n v="1"/>
    <s v=""/>
  </r>
  <r>
    <x v="0"/>
    <m/>
    <m/>
    <m/>
    <m/>
    <s v="ENDWELL FAMILY PHYSICIANS LLP"/>
    <m/>
    <m/>
    <m/>
    <m/>
    <s v="ENDWELL FAMILY PHYSICIANS LLP"/>
    <s v="415 HOOPER RD"/>
    <s v="ENDWELL"/>
    <s v="NY"/>
    <s v="13760-3646"/>
    <s v="PHYSICIANS GROUP"/>
    <s v="M"/>
    <s v="No"/>
    <s v="MMIS"/>
    <s v="SouthRPU"/>
    <s v="P"/>
    <m/>
    <m/>
    <m/>
    <s v=""/>
    <s v="E0243912"/>
    <n v="1"/>
    <n v="0"/>
    <n v="0"/>
    <n v="0"/>
    <n v="0"/>
    <n v="0"/>
    <n v="0"/>
    <n v="0"/>
    <n v="0"/>
    <n v="0"/>
    <n v="0"/>
    <x v="1"/>
    <s v=""/>
    <s v=""/>
    <s v=""/>
    <s v=""/>
    <s v=""/>
    <s v=""/>
    <s v=""/>
    <s v=""/>
    <s v=""/>
    <s v=""/>
    <n v="1"/>
    <s v=""/>
  </r>
  <r>
    <x v="0"/>
    <m/>
    <m/>
    <m/>
    <m/>
    <s v="CHANKO ERIC DR."/>
    <m/>
    <m/>
    <m/>
    <m/>
    <s v="CHANKO ERIC H"/>
    <s v="101 DATES DR"/>
    <s v="ITHACA"/>
    <s v="NY"/>
    <s v="14850-1342"/>
    <s v="PHYSICIAN"/>
    <s v="M"/>
    <s v="No"/>
    <s v="MMIS"/>
    <s v="NorthRPU"/>
    <s v="P"/>
    <m/>
    <m/>
    <m/>
    <s v=""/>
    <s v="E0296701"/>
    <n v="1"/>
    <n v="1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LESSINGER ERIC"/>
    <m/>
    <m/>
    <m/>
    <m/>
    <s v="LESSINGER ERIC             MD"/>
    <s v="4435 SENECA RD"/>
    <s v="TRUMANSBURG"/>
    <s v="NY"/>
    <s v="14886-9201"/>
    <s v="PHYSICIAN"/>
    <s v="M"/>
    <s v="No"/>
    <s v="MMIS"/>
    <s v="NorthRPU"/>
    <s v="P"/>
    <m/>
    <m/>
    <m/>
    <s v=""/>
    <s v="E0256334"/>
    <n v="0"/>
    <n v="0"/>
    <n v="0"/>
    <n v="0"/>
    <n v="0"/>
    <n v="0"/>
    <n v="0"/>
    <n v="0"/>
    <n v="0"/>
    <n v="0"/>
    <n v="0"/>
    <x v="2"/>
    <n v="1"/>
    <s v=""/>
    <s v=""/>
    <s v=""/>
    <s v=""/>
    <s v=""/>
    <s v=""/>
    <s v=""/>
    <s v=""/>
    <s v=""/>
    <s v=""/>
    <s v=""/>
  </r>
  <r>
    <x v="0"/>
    <m/>
    <m/>
    <m/>
    <m/>
    <s v="HILL ERICA"/>
    <m/>
    <m/>
    <m/>
    <m/>
    <s v="HILL ERICA LEIGH"/>
    <s v="33 MITCHELL AVE"/>
    <s v="BINGHAMTON"/>
    <s v="NY"/>
    <s v="13903-1642"/>
    <s v="PHYSICIAN"/>
    <s v="M"/>
    <s v="No"/>
    <s v="MMIS"/>
    <s v="SouthRPU"/>
    <s v="P"/>
    <m/>
    <m/>
    <m/>
    <s v="Erica Hill, PA"/>
    <s v="E0421531"/>
    <s v="No"/>
    <s v="No"/>
    <s v="No"/>
    <s v="No"/>
    <s v="No"/>
    <s v="No"/>
    <s v="No"/>
    <s v="No"/>
    <n v="0"/>
    <s v="No"/>
    <s v="No"/>
    <x v="1"/>
    <n v="1"/>
    <s v=""/>
    <s v=""/>
    <s v=""/>
    <n v="1"/>
    <s v=""/>
    <s v=""/>
    <s v=""/>
    <s v=""/>
    <s v=""/>
    <s v=""/>
    <s v=""/>
  </r>
  <r>
    <x v="0"/>
    <m/>
    <m/>
    <m/>
    <m/>
    <s v="DUFF ERIN"/>
    <m/>
    <m/>
    <m/>
    <m/>
    <s v="DUFF ERIN ANN"/>
    <s v="303 MAIN ST"/>
    <s v="BINGHAMTON"/>
    <s v="NY"/>
    <s v="13905-2539"/>
    <s v="PHYSICIAN"/>
    <s v="M"/>
    <s v="No"/>
    <s v="MMIS"/>
    <s v="SouthRPU"/>
    <s v="P"/>
    <m/>
    <m/>
    <m/>
    <s v="Erin A. Duff, FNP"/>
    <s v="E0340352"/>
    <s v="No"/>
    <s v="No"/>
    <s v="No"/>
    <s v="No"/>
    <s v="No"/>
    <s v="No"/>
    <s v="No"/>
    <s v="No"/>
    <n v="0"/>
    <s v="No"/>
    <s v="No"/>
    <x v="2"/>
    <s v=""/>
    <s v=""/>
    <s v=""/>
    <s v=""/>
    <s v=""/>
    <s v=""/>
    <s v=""/>
    <s v=""/>
    <s v=""/>
    <s v=""/>
    <n v="1"/>
    <s v=""/>
  </r>
  <r>
    <x v="0"/>
    <m/>
    <m/>
    <m/>
    <m/>
    <s v="LEVY ERNESTO"/>
    <m/>
    <m/>
    <m/>
    <m/>
    <s v="LEVY ERNESTO N"/>
    <s v="16 BRENTWOOD DR"/>
    <s v="ITHACA"/>
    <s v="NY"/>
    <s v="14850-1863"/>
    <s v="PHYSICIAN"/>
    <s v="M"/>
    <s v="No"/>
    <s v="MMIS"/>
    <s v="NorthRPU"/>
    <s v="P"/>
    <m/>
    <m/>
    <m/>
    <s v=""/>
    <s v="E0340928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ERNEY STANLEY"/>
    <m/>
    <m/>
    <m/>
    <m/>
    <s v="ERNEY STANLEY L MD"/>
    <s v="67 BROAD ST"/>
    <s v="JOHNSON CITY"/>
    <s v="NY"/>
    <s v="13790-2105"/>
    <s v="PHYSICIAN"/>
    <s v="M"/>
    <s v="No"/>
    <s v="MMIS"/>
    <s v="SouthRPU"/>
    <s v="P"/>
    <m/>
    <m/>
    <m/>
    <s v=""/>
    <s v="E0166575"/>
    <n v="0"/>
    <n v="0"/>
    <n v="0"/>
    <n v="0"/>
    <n v="0"/>
    <n v="0"/>
    <n v="0"/>
    <n v="0"/>
    <n v="0"/>
    <n v="0"/>
    <n v="0"/>
    <x v="2"/>
    <n v="1"/>
    <s v=""/>
    <s v=""/>
    <s v=""/>
    <s v=""/>
    <s v=""/>
    <s v=""/>
    <s v=""/>
    <s v=""/>
    <s v=""/>
    <s v=""/>
    <s v=""/>
  </r>
  <r>
    <x v="0"/>
    <m/>
    <m/>
    <m/>
    <m/>
    <s v="ESTILL MATTHEW DR."/>
    <m/>
    <m/>
    <m/>
    <m/>
    <s v="ESTILL MATTHEW REILLY MD"/>
    <m/>
    <s v="ITHACA"/>
    <s v="NY"/>
    <s v="14850-2017"/>
    <s v="PHYSICIAN"/>
    <s v="M"/>
    <s v="No"/>
    <s v="MMIS"/>
    <s v="NorthRPU"/>
    <s v="P"/>
    <m/>
    <m/>
    <m/>
    <s v=""/>
    <s v="E0136363"/>
    <n v="1"/>
    <n v="1"/>
    <n v="0"/>
    <n v="0"/>
    <n v="0"/>
    <n v="0"/>
    <n v="0"/>
    <n v="1"/>
    <n v="1"/>
    <n v="1"/>
    <n v="0"/>
    <x v="2"/>
    <s v=""/>
    <s v=""/>
    <s v=""/>
    <s v=""/>
    <s v=""/>
    <s v=""/>
    <s v=""/>
    <s v=""/>
    <s v=""/>
    <s v=""/>
    <n v="1"/>
    <s v=""/>
  </r>
  <r>
    <x v="0"/>
    <m/>
    <m/>
    <m/>
    <m/>
    <s v="ESTRIN YONIT DR."/>
    <m/>
    <m/>
    <m/>
    <m/>
    <s v="ESTRIN YONIT TORAH"/>
    <s v="10 GRAHAM RD W"/>
    <s v="ITHACA"/>
    <s v="NY"/>
    <s v="14850-1055"/>
    <s v="PHYSICIAN"/>
    <s v="M"/>
    <s v="No"/>
    <s v="MMIS"/>
    <s v="NorthRPU"/>
    <s v="P"/>
    <m/>
    <m/>
    <m/>
    <s v="Estrin Ynit"/>
    <s v="E0423275"/>
    <s v="No"/>
    <s v="No"/>
    <s v="No"/>
    <s v="No"/>
    <s v="No"/>
    <s v="No"/>
    <s v="No"/>
    <s v="No"/>
    <n v="0"/>
    <s v="No"/>
    <s v="No"/>
    <x v="2"/>
    <s v=""/>
    <s v=""/>
    <s v=""/>
    <s v=""/>
    <s v=""/>
    <s v=""/>
    <s v=""/>
    <s v=""/>
    <s v=""/>
    <s v=""/>
    <n v="1"/>
    <s v=""/>
  </r>
  <r>
    <x v="0"/>
    <m/>
    <m/>
    <m/>
    <m/>
    <s v="EVERTSEN NICHOLAS DR."/>
    <m/>
    <m/>
    <m/>
    <m/>
    <s v="EVERTSEN NICHOLAS JAMES"/>
    <s v="1 GUTHRIE SQ"/>
    <s v="SAYRE"/>
    <s v="PA"/>
    <s v="18840-1625"/>
    <s v="PHYSICIAN"/>
    <s v="M"/>
    <s v="No"/>
    <s v="MMIS"/>
    <s v="SouthRPU"/>
    <s v="P"/>
    <m/>
    <m/>
    <m/>
    <s v=""/>
    <s v="E0309886"/>
    <n v="1"/>
    <n v="1"/>
    <n v="0"/>
    <n v="0"/>
    <n v="0"/>
    <n v="0"/>
    <n v="0"/>
    <n v="0"/>
    <n v="0"/>
    <n v="1"/>
    <n v="0"/>
    <x v="1"/>
    <n v="1"/>
    <s v=""/>
    <s v=""/>
    <s v=""/>
    <s v=""/>
    <s v=""/>
    <s v=""/>
    <s v=""/>
    <s v=""/>
    <s v=""/>
    <s v=""/>
    <s v=""/>
  </r>
  <r>
    <x v="0"/>
    <m/>
    <m/>
    <m/>
    <m/>
    <s v="FACTOUROVICH ALEXANDER"/>
    <m/>
    <m/>
    <m/>
    <m/>
    <s v="FACTOUROVICH ALEXANDER MD"/>
    <s v="10 MITCHELL AVE # 24"/>
    <s v="BINGHAMTON"/>
    <s v="NY"/>
    <s v="13903-1617"/>
    <s v="PHYSICIAN"/>
    <s v="M"/>
    <s v="No"/>
    <s v="MMIS"/>
    <s v="SouthRPU"/>
    <s v="P"/>
    <m/>
    <m/>
    <m/>
    <s v=""/>
    <s v="E0039994"/>
    <n v="1"/>
    <n v="1"/>
    <n v="0"/>
    <n v="1"/>
    <n v="1"/>
    <n v="0"/>
    <n v="0"/>
    <n v="0"/>
    <n v="0"/>
    <n v="0"/>
    <n v="0"/>
    <x v="1"/>
    <n v="1"/>
    <s v=""/>
    <s v=""/>
    <s v=""/>
    <n v="1"/>
    <s v=""/>
    <s v=""/>
    <s v=""/>
    <s v=""/>
    <s v=""/>
    <s v=""/>
    <s v=""/>
  </r>
  <r>
    <x v="0"/>
    <m/>
    <m/>
    <m/>
    <m/>
    <s v="FACTOUROVICH INNA"/>
    <m/>
    <m/>
    <m/>
    <m/>
    <s v="FACTOUROVICH INNA MD"/>
    <s v="10-42 MITCHELL AVE"/>
    <s v="BINGHAMTON"/>
    <s v="NY"/>
    <s v="13903-1617"/>
    <s v="PHYSICIAN"/>
    <s v="M"/>
    <s v="No"/>
    <s v="MMIS"/>
    <s v="SouthRPU"/>
    <s v="P"/>
    <m/>
    <m/>
    <m/>
    <s v=""/>
    <s v="E0038910"/>
    <n v="1"/>
    <n v="1"/>
    <n v="0"/>
    <n v="1"/>
    <n v="1"/>
    <n v="0"/>
    <n v="0"/>
    <n v="0"/>
    <n v="0"/>
    <n v="0"/>
    <n v="0"/>
    <x v="1"/>
    <n v="1"/>
    <s v=""/>
    <s v=""/>
    <s v=""/>
    <n v="1"/>
    <s v=""/>
    <s v=""/>
    <s v=""/>
    <s v=""/>
    <s v=""/>
    <s v=""/>
    <s v=""/>
  </r>
  <r>
    <x v="0"/>
    <m/>
    <m/>
    <m/>
    <m/>
    <s v="FAIRVIEW RECOVERY SERVICES, INC"/>
    <m/>
    <m/>
    <m/>
    <m/>
    <s v="FAIRVIEW RECOVERY SERVICES INC"/>
    <s v="247 COURT ST"/>
    <s v="BINGHAMTON"/>
    <s v="NY"/>
    <s v="13901-3602"/>
    <s v="MULTI-TYPE"/>
    <s v="M"/>
    <s v="No"/>
    <s v="MMIS"/>
    <s v="SouthRPU"/>
    <s v="P"/>
    <m/>
    <m/>
    <m/>
    <s v="FAIRVIEW RECOVERY SERVICES, INC"/>
    <s v="E0410098"/>
    <s v="No"/>
    <s v="No"/>
    <s v="No"/>
    <s v="No"/>
    <s v="No"/>
    <s v="No"/>
    <s v="No"/>
    <s v="No"/>
    <n v="0"/>
    <s v="No"/>
    <s v="No"/>
    <x v="1"/>
    <s v=""/>
    <s v=""/>
    <s v=""/>
    <s v=""/>
    <s v=""/>
    <s v=""/>
    <s v=""/>
    <s v=""/>
    <s v=""/>
    <s v=""/>
    <s v=""/>
    <n v="1"/>
  </r>
  <r>
    <x v="1"/>
    <s v="5 Merrick Street"/>
    <s v="Binghamton"/>
    <s v="NY"/>
    <s v="13904"/>
    <m/>
    <m/>
    <m/>
    <m/>
    <m/>
    <m/>
    <m/>
    <m/>
    <m/>
    <m/>
    <m/>
    <s v="M"/>
    <s v="No"/>
    <s v="No NPI or MMIS"/>
    <s v="SouthRPU"/>
    <s v="P"/>
    <m/>
    <m/>
    <m/>
    <s v="Fairview Recovery Services, Inc."/>
    <m/>
    <s v="No"/>
    <s v="No"/>
    <s v="No"/>
    <s v="No"/>
    <s v="No"/>
    <s v="No"/>
    <s v="No"/>
    <s v="No"/>
    <n v="0"/>
    <s v="No"/>
    <s v="No"/>
    <x v="1"/>
    <s v=""/>
    <s v=""/>
    <s v=""/>
    <s v=""/>
    <s v=""/>
    <s v=""/>
    <s v=""/>
    <s v=""/>
    <s v=""/>
    <s v=""/>
    <s v=""/>
    <s v=""/>
  </r>
  <r>
    <x v="1"/>
    <m/>
    <m/>
    <m/>
    <m/>
    <s v="FAMILY &amp; CHILDREN'S SERVICE OF ITHACA INC"/>
    <m/>
    <m/>
    <m/>
    <m/>
    <s v="FAMILY &amp; CHILD SRV OF ITHACA"/>
    <s v="127 W STATE ST"/>
    <s v="ITHACA"/>
    <s v="NY"/>
    <s v="14850-5427"/>
    <s v="DIAGNOSTIC AND TREATMENT CENTER"/>
    <s v="M"/>
    <s v="No"/>
    <s v="MMIS"/>
    <s v="NorthRPU"/>
    <s v="P"/>
    <m/>
    <m/>
    <m/>
    <s v=""/>
    <s v="E0215391"/>
    <n v="0"/>
    <n v="0"/>
    <n v="0"/>
    <n v="0"/>
    <n v="0"/>
    <n v="0"/>
    <n v="0"/>
    <n v="0"/>
    <n v="0"/>
    <n v="0"/>
    <n v="0"/>
    <x v="1"/>
    <s v=""/>
    <s v=""/>
    <s v=""/>
    <s v=""/>
    <n v="1"/>
    <s v=""/>
    <s v=""/>
    <s v=""/>
    <s v=""/>
    <s v=""/>
    <n v="1"/>
    <s v=""/>
  </r>
  <r>
    <x v="1"/>
    <m/>
    <m/>
    <m/>
    <m/>
    <s v="FAMILY COUNSELING SERVICES OF CORTLAND COUNTY, INC."/>
    <m/>
    <m/>
    <m/>
    <m/>
    <s v="FAMILY COUNSELING SERVICES OF CORTL"/>
    <s v="10 N MAIN ST"/>
    <s v="CORTLAND"/>
    <s v="NY"/>
    <s v="13045-2171"/>
    <s v="DIAGNOSTIC AND TREATMENT CENTER"/>
    <s v="M"/>
    <s v="No"/>
    <s v="MMIS"/>
    <s v="NorthRPU"/>
    <s v="P"/>
    <m/>
    <m/>
    <m/>
    <s v=""/>
    <s v="E0191945"/>
    <n v="1"/>
    <n v="0"/>
    <n v="0"/>
    <n v="0"/>
    <n v="0"/>
    <n v="1"/>
    <n v="0"/>
    <n v="0"/>
    <n v="0"/>
    <n v="0"/>
    <n v="0"/>
    <x v="1"/>
    <s v=""/>
    <s v=""/>
    <s v=""/>
    <s v=""/>
    <n v="1"/>
    <n v="1"/>
    <s v=""/>
    <s v=""/>
    <s v=""/>
    <s v=""/>
    <n v="1"/>
    <s v=""/>
  </r>
  <r>
    <x v="0"/>
    <s v="24 Cherry Street"/>
    <s v="Johnson City"/>
    <s v="NY"/>
    <s v="13790-0997"/>
    <m/>
    <m/>
    <m/>
    <m/>
    <m/>
    <m/>
    <m/>
    <m/>
    <m/>
    <m/>
    <m/>
    <s v="M"/>
    <s v="No"/>
    <s v="No NPI or MMIS"/>
    <s v="SouthRPU"/>
    <s v="P"/>
    <m/>
    <m/>
    <m/>
    <s v=""/>
    <s v="Family Enrichment Network"/>
    <n v="1"/>
    <m/>
    <m/>
    <n v="1"/>
    <n v="1"/>
    <s v="No"/>
    <s v="No"/>
    <s v="No"/>
    <n v="0"/>
    <s v="No"/>
    <s v="No"/>
    <x v="1"/>
    <s v=""/>
    <s v=""/>
    <s v=""/>
    <s v=""/>
    <s v=""/>
    <s v=""/>
    <s v=""/>
    <s v=""/>
    <s v=""/>
    <n v="1"/>
    <s v=""/>
    <s v=""/>
  </r>
  <r>
    <x v="1"/>
    <m/>
    <m/>
    <m/>
    <m/>
    <s v="FAMILY HEALTH NETWORK OF CENTRAL NEW YORK, INC."/>
    <m/>
    <m/>
    <m/>
    <m/>
    <s v="FAMILY HLTH NETWRK CENTRAL NY"/>
    <s v="22-24 MAIN ST"/>
    <s v="MARATHON"/>
    <s v="NY"/>
    <s v="13803-0448"/>
    <s v="DIAGNOSTIC AND TREATMENT CENTER"/>
    <s v="M"/>
    <s v="No"/>
    <s v="MMIS"/>
    <s v="NorthRPU"/>
    <s v="P"/>
    <m/>
    <m/>
    <m/>
    <s v=""/>
    <s v="E0252106"/>
    <n v="1"/>
    <n v="0"/>
    <n v="0"/>
    <n v="1"/>
    <n v="1"/>
    <n v="1"/>
    <n v="0"/>
    <n v="0"/>
    <n v="0"/>
    <n v="0"/>
    <n v="0"/>
    <x v="1"/>
    <s v=""/>
    <s v=""/>
    <n v="1"/>
    <s v=""/>
    <s v=""/>
    <s v=""/>
    <s v=""/>
    <s v=""/>
    <s v=""/>
    <s v=""/>
    <n v="1"/>
    <s v=""/>
  </r>
  <r>
    <x v="0"/>
    <s v="8 Brentwood Drive"/>
    <s v="Ithaca"/>
    <s v="NY"/>
    <s v="14850"/>
    <m/>
    <m/>
    <m/>
    <m/>
    <m/>
    <m/>
    <m/>
    <m/>
    <m/>
    <m/>
    <m/>
    <s v="M"/>
    <s v="No"/>
    <s v="No NPI or MMIS"/>
    <s v="NorthRPU"/>
    <s v="P"/>
    <m/>
    <m/>
    <m/>
    <s v=""/>
    <s v="Family Medicine Associates of Ithaca"/>
    <n v="1"/>
    <m/>
    <m/>
    <n v="1"/>
    <m/>
    <m/>
    <m/>
    <m/>
    <n v="0"/>
    <n v="1"/>
    <s v="No"/>
    <x v="1"/>
    <s v=""/>
    <s v=""/>
    <s v=""/>
    <s v=""/>
    <s v=""/>
    <s v=""/>
    <s v=""/>
    <s v=""/>
    <s v=""/>
    <n v="1"/>
    <s v=""/>
    <s v=""/>
  </r>
  <r>
    <x v="0"/>
    <m/>
    <m/>
    <m/>
    <m/>
    <s v="FAMILY MEDICINE ASSOCIATES OF ITHACA LLP"/>
    <m/>
    <m/>
    <m/>
    <m/>
    <s v="FAMILY MEDICINE ASSOC ITHACA"/>
    <s v="209 W STATE ST"/>
    <s v="ITHACA"/>
    <s v="NY"/>
    <s v="14850-5429"/>
    <s v="PHYSICIANS GROUP"/>
    <s v="M"/>
    <s v="No"/>
    <s v="MMIS"/>
    <s v="NorthRPU"/>
    <s v="P"/>
    <m/>
    <m/>
    <m/>
    <s v="FAMILY MEDICINE ASSOCIATES OF ITHACA LLP"/>
    <s v="E0259627"/>
    <s v="No"/>
    <s v="No"/>
    <s v="No"/>
    <s v="No"/>
    <s v="No"/>
    <s v="No"/>
    <s v="No"/>
    <s v="No"/>
    <n v="0"/>
    <s v="No"/>
    <s v="No"/>
    <x v="1"/>
    <s v=""/>
    <s v=""/>
    <s v=""/>
    <s v=""/>
    <s v=""/>
    <s v=""/>
    <s v=""/>
    <s v=""/>
    <s v=""/>
    <s v=""/>
    <n v="1"/>
    <s v=""/>
  </r>
  <r>
    <x v="1"/>
    <m/>
    <m/>
    <m/>
    <m/>
    <s v="FAMILY PLANNING OF SOUTH CENTRAL NEW YORK, INC."/>
    <m/>
    <m/>
    <m/>
    <m/>
    <s v="FAMILY PLANNING OF SOUTH CENTRAL NY"/>
    <s v="37 DIETZ ST"/>
    <s v="ONEONTA"/>
    <s v="NY"/>
    <s v="13820-1882"/>
    <s v="DIAGNOSTIC AND TREATMENT CENTER"/>
    <s v="M"/>
    <s v="No"/>
    <s v="MMIS"/>
    <s v="EastRPU"/>
    <s v="P"/>
    <m/>
    <m/>
    <m/>
    <s v=""/>
    <s v="E0252630"/>
    <n v="1"/>
    <n v="0"/>
    <n v="0"/>
    <n v="0"/>
    <n v="1"/>
    <n v="0"/>
    <n v="0"/>
    <n v="0"/>
    <n v="0"/>
    <n v="0"/>
    <n v="0"/>
    <x v="1"/>
    <s v=""/>
    <s v=""/>
    <n v="1"/>
    <s v=""/>
    <s v=""/>
    <s v=""/>
    <s v=""/>
    <s v=""/>
    <s v=""/>
    <s v=""/>
    <n v="1"/>
    <s v=""/>
  </r>
  <r>
    <x v="1"/>
    <m/>
    <m/>
    <m/>
    <m/>
    <s v="FAMILY SERVICES OF CHEMUNG COUNTY, INC."/>
    <m/>
    <m/>
    <m/>
    <m/>
    <s v="FAMILY SVCS OF CHEMUNG CNTY"/>
    <m/>
    <s v="ELMIRA"/>
    <s v="NY"/>
    <s v="14901-3332"/>
    <s v="MULTI-TYPE"/>
    <s v="M"/>
    <s v="No"/>
    <s v="MMIS"/>
    <s v="WestRPU"/>
    <s v="P"/>
    <m/>
    <m/>
    <m/>
    <s v=""/>
    <s v="E0086000"/>
    <n v="1"/>
    <n v="0"/>
    <n v="0"/>
    <n v="0"/>
    <n v="0"/>
    <n v="0"/>
    <n v="1"/>
    <n v="0"/>
    <n v="0"/>
    <n v="0"/>
    <n v="0"/>
    <x v="1"/>
    <s v=""/>
    <s v=""/>
    <s v=""/>
    <n v="1"/>
    <n v="1"/>
    <s v=""/>
    <s v=""/>
    <s v=""/>
    <s v=""/>
    <s v=""/>
    <n v="1"/>
    <s v=""/>
  </r>
  <r>
    <x v="0"/>
    <m/>
    <m/>
    <m/>
    <m/>
    <s v="FARRELL MICHAEL"/>
    <m/>
    <m/>
    <m/>
    <m/>
    <s v="FARRELL MICHAEL JOSEPH MD"/>
    <s v="30 HARRISON ST"/>
    <s v="JOHNSON CITY"/>
    <s v="NY"/>
    <s v="13790-2161"/>
    <s v="PHYSICIAN"/>
    <s v="M"/>
    <s v="No"/>
    <s v="MMIS"/>
    <s v="SouthRPU"/>
    <s v="P"/>
    <m/>
    <m/>
    <m/>
    <s v=""/>
    <s v="E0133187"/>
    <n v="1"/>
    <n v="1"/>
    <n v="0"/>
    <n v="1"/>
    <n v="1"/>
    <n v="0"/>
    <n v="0"/>
    <n v="1"/>
    <n v="0"/>
    <n v="0"/>
    <n v="1"/>
    <x v="1"/>
    <n v="1"/>
    <s v=""/>
    <s v=""/>
    <s v=""/>
    <s v=""/>
    <s v=""/>
    <s v=""/>
    <s v=""/>
    <s v=""/>
    <s v=""/>
    <n v="1"/>
    <s v=""/>
  </r>
  <r>
    <x v="0"/>
    <m/>
    <m/>
    <m/>
    <m/>
    <s v="SARMAST FARZAD DR."/>
    <m/>
    <m/>
    <m/>
    <m/>
    <s v="SARMAST FARZAD MD"/>
    <s v="1129 COMMONS AVE"/>
    <s v="CORTLAND"/>
    <s v="NY"/>
    <s v="13045-1651"/>
    <s v="PHYSICIAN"/>
    <s v="M"/>
    <s v="No"/>
    <s v="MMIS"/>
    <s v="NorthRPU"/>
    <s v="P"/>
    <m/>
    <m/>
    <m/>
    <s v=""/>
    <s v="E0004224"/>
    <n v="1"/>
    <n v="1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SEEMAB FARZANA"/>
    <m/>
    <m/>
    <m/>
    <m/>
    <s v="SEEMAB FARZANA"/>
    <s v="800 HOOPER RD"/>
    <s v="ENDWELL"/>
    <s v="NY"/>
    <s v="13760-1560"/>
    <s v="PHYSICIAN"/>
    <s v="M"/>
    <s v="No"/>
    <s v="MMIS"/>
    <s v="SouthRPU"/>
    <s v="P"/>
    <m/>
    <m/>
    <m/>
    <s v="Farzana Seemab, MD"/>
    <s v="E0368170"/>
    <s v="No"/>
    <s v="No"/>
    <s v="No"/>
    <s v="No"/>
    <s v="No"/>
    <s v="No"/>
    <s v="No"/>
    <s v="No"/>
    <n v="0"/>
    <s v="No"/>
    <s v="No"/>
    <x v="2"/>
    <s v=""/>
    <s v=""/>
    <s v=""/>
    <s v=""/>
    <s v=""/>
    <s v=""/>
    <s v=""/>
    <s v=""/>
    <s v=""/>
    <s v=""/>
    <n v="1"/>
    <s v=""/>
  </r>
  <r>
    <x v="0"/>
    <m/>
    <m/>
    <m/>
    <m/>
    <s v="FATHALLA MAHMOUD"/>
    <m/>
    <m/>
    <m/>
    <m/>
    <s v="FATHALLA MAHMOUD F MD"/>
    <s v="NORWICH EXT CLINIC"/>
    <s v="NORWICH"/>
    <s v="NY"/>
    <s v="13815"/>
    <s v="PHYSICIAN"/>
    <s v="M"/>
    <s v="No"/>
    <s v="MMIS"/>
    <s v="EastRPU"/>
    <s v="P"/>
    <m/>
    <m/>
    <m/>
    <s v=""/>
    <s v="E0140644"/>
    <n v="0"/>
    <n v="0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FAWZY AHMED"/>
    <m/>
    <m/>
    <m/>
    <m/>
    <s v="FAWZY AHMED MD"/>
    <s v="1 GUTHRIE SQ"/>
    <s v="SAYRE"/>
    <s v="PA"/>
    <s v="18840-1625"/>
    <s v="PHYSICIAN"/>
    <s v="M"/>
    <s v="No"/>
    <s v="MMIS"/>
    <s v="SouthRPU"/>
    <s v="P"/>
    <m/>
    <m/>
    <m/>
    <s v=""/>
    <s v="E0302013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FEDCZUK BOHDAN"/>
    <m/>
    <m/>
    <m/>
    <m/>
    <s v="FEDCZUK BOHDAN P MD"/>
    <s v="PLASTIC SURG SO TIER"/>
    <s v="BINGHAMTON"/>
    <s v="NY"/>
    <s v="13903-1605"/>
    <s v="PHYSICIAN"/>
    <s v="M"/>
    <s v="No"/>
    <s v="MMIS"/>
    <s v="SouthRPU"/>
    <s v="P"/>
    <m/>
    <m/>
    <m/>
    <s v=""/>
    <s v="E0180751"/>
    <n v="1"/>
    <n v="1"/>
    <n v="0"/>
    <n v="1"/>
    <n v="1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FEDERICO MICHAEL DR."/>
    <m/>
    <m/>
    <m/>
    <m/>
    <s v="FEDERICO MICHAEL TODD"/>
    <s v="415 HOOPER RD"/>
    <s v="ENDWELL"/>
    <s v="NY"/>
    <s v="13760-3646"/>
    <s v="PHYSICIAN"/>
    <s v="M"/>
    <s v="No"/>
    <s v="MMIS"/>
    <s v="SouthRPU"/>
    <s v="P"/>
    <m/>
    <m/>
    <m/>
    <s v="FEDERICO MICHAEL DR."/>
    <s v="E0393574"/>
    <s v="No"/>
    <s v="No"/>
    <s v="No"/>
    <s v="No"/>
    <s v="No"/>
    <s v="No"/>
    <s v="No"/>
    <s v="No"/>
    <n v="0"/>
    <s v="No"/>
    <s v="No"/>
    <x v="2"/>
    <s v=""/>
    <s v=""/>
    <s v=""/>
    <s v=""/>
    <s v=""/>
    <s v=""/>
    <s v=""/>
    <s v=""/>
    <s v=""/>
    <s v=""/>
    <n v="1"/>
    <s v=""/>
  </r>
  <r>
    <x v="0"/>
    <m/>
    <m/>
    <m/>
    <m/>
    <s v="FEENEY MICHAEL"/>
    <m/>
    <m/>
    <m/>
    <m/>
    <s v="FEENEY MICHAEL J"/>
    <m/>
    <s v="BINGHAMTON"/>
    <s v="NY"/>
    <s v="13903-1699"/>
    <s v="PHYSICIAN"/>
    <s v="M"/>
    <s v="No"/>
    <s v="MMIS"/>
    <s v="SouthRPU"/>
    <s v="P"/>
    <m/>
    <m/>
    <m/>
    <s v="FEENEY MICHAEL"/>
    <s v="E0146841"/>
    <s v="No"/>
    <s v="No"/>
    <s v="No"/>
    <s v="No"/>
    <s v="No"/>
    <s v="No"/>
    <s v="No"/>
    <s v="No"/>
    <n v="1"/>
    <s v="No"/>
    <s v="No"/>
    <x v="2"/>
    <s v=""/>
    <s v=""/>
    <s v=""/>
    <s v=""/>
    <s v=""/>
    <s v=""/>
    <s v=""/>
    <s v=""/>
    <s v=""/>
    <s v=""/>
    <n v="1"/>
    <s v=""/>
  </r>
  <r>
    <x v="1"/>
    <m/>
    <m/>
    <m/>
    <m/>
    <s v="FINGER LAKES ADDICTION COUNSELING AND REFERRAL AGENCY"/>
    <m/>
    <m/>
    <m/>
    <m/>
    <s v="F L A C R A"/>
    <s v="DAA HCFA"/>
    <s v="CLIFTON SPRINGS"/>
    <s v="NY"/>
    <s v="14432-1231"/>
    <s v="DIAGNOSTIC AND TREATMENT CENTER"/>
    <s v="M"/>
    <s v="No"/>
    <s v="MMIS"/>
    <s v="NorthRPU"/>
    <s v="P"/>
    <m/>
    <m/>
    <m/>
    <s v=""/>
    <s v="E0240643"/>
    <n v="1"/>
    <n v="0"/>
    <n v="0"/>
    <n v="1"/>
    <n v="1"/>
    <n v="0"/>
    <n v="0"/>
    <n v="0"/>
    <n v="0"/>
    <n v="0"/>
    <n v="0"/>
    <x v="1"/>
    <s v=""/>
    <s v=""/>
    <s v=""/>
    <s v=""/>
    <s v=""/>
    <n v="1"/>
    <s v=""/>
    <s v=""/>
    <s v=""/>
    <s v=""/>
    <n v="1"/>
    <s v=""/>
  </r>
  <r>
    <x v="1"/>
    <m/>
    <m/>
    <m/>
    <m/>
    <s v="FINGER LAKES MIGRANT HEALTH CARE PROJECT, INC."/>
    <m/>
    <m/>
    <m/>
    <m/>
    <s v="FINGER LAKES MIGRANT HEALTH CARE PR"/>
    <s v="7150 MAIN ST"/>
    <s v="OVID"/>
    <s v="NY"/>
    <s v="14521-9998"/>
    <s v="DIAGNOSTIC AND TREATMENT CENTER"/>
    <s v="M"/>
    <s v="No"/>
    <s v="MMIS"/>
    <s v="NorthRPU"/>
    <s v="P"/>
    <m/>
    <m/>
    <m/>
    <s v=""/>
    <s v="E0038170"/>
    <n v="0"/>
    <n v="0"/>
    <n v="0"/>
    <n v="0"/>
    <n v="0"/>
    <n v="0"/>
    <n v="0"/>
    <n v="0"/>
    <n v="0"/>
    <n v="0"/>
    <n v="0"/>
    <x v="1"/>
    <s v=""/>
    <s v=""/>
    <n v="1"/>
    <s v=""/>
    <s v=""/>
    <s v=""/>
    <s v=""/>
    <s v=""/>
    <s v=""/>
    <s v=""/>
    <n v="1"/>
    <s v=""/>
  </r>
  <r>
    <x v="0"/>
    <m/>
    <m/>
    <m/>
    <m/>
    <s v="FINKELSTEIN ARTHUR"/>
    <m/>
    <m/>
    <m/>
    <m/>
    <s v="FINKELSTEIN ARTHUR J"/>
    <s v="601 RIVERSIDE DR"/>
    <s v="JOHNSON CITY"/>
    <s v="NY"/>
    <s v="13790-2544"/>
    <s v="THERAPIST"/>
    <s v="M"/>
    <s v="No"/>
    <s v="MMIS"/>
    <s v="SouthRPU"/>
    <s v="P"/>
    <m/>
    <m/>
    <m/>
    <s v=""/>
    <s v="E0049783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FISH ASHLEE MRS."/>
    <m/>
    <m/>
    <m/>
    <m/>
    <s v="FISH ASHLEE BROOKE"/>
    <s v="4417 VESTAL PKWY"/>
    <s v="VESTAL"/>
    <s v="NY"/>
    <s v="13850-3556"/>
    <s v="PHYSICIAN"/>
    <s v="M"/>
    <s v="No"/>
    <s v="MMIS"/>
    <s v="SouthRPU"/>
    <s v="P"/>
    <m/>
    <m/>
    <m/>
    <s v="FISH ASHLEE MRS."/>
    <s v="E0407351"/>
    <s v="No"/>
    <s v="No"/>
    <s v="No"/>
    <s v="No"/>
    <s v="No"/>
    <s v="No"/>
    <s v="No"/>
    <s v="No"/>
    <n v="0"/>
    <s v="No"/>
    <s v="No"/>
    <x v="1"/>
    <n v="1"/>
    <s v=""/>
    <s v=""/>
    <s v=""/>
    <s v=""/>
    <s v=""/>
    <s v=""/>
    <s v=""/>
    <s v=""/>
    <s v=""/>
    <s v=""/>
    <s v=""/>
  </r>
  <r>
    <x v="1"/>
    <m/>
    <m/>
    <m/>
    <m/>
    <s v="FITZGERALD KATHLEEN"/>
    <m/>
    <m/>
    <m/>
    <m/>
    <s v="FITZGERALD KATHLEEN J"/>
    <s v="4038 WEST RD"/>
    <s v="CORTLAND"/>
    <s v="NY"/>
    <s v="13045-1842"/>
    <s v="PHYSICIAN"/>
    <s v="M"/>
    <s v="No"/>
    <s v="MMIS"/>
    <s v="NorthRPU"/>
    <s v="P"/>
    <m/>
    <m/>
    <m/>
    <s v=""/>
    <s v="E0049687"/>
    <n v="0"/>
    <n v="0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s v=""/>
    <s v=""/>
  </r>
  <r>
    <x v="0"/>
    <m/>
    <m/>
    <m/>
    <m/>
    <s v="FLORINI MARITA"/>
    <m/>
    <m/>
    <m/>
    <m/>
    <s v="FLORINI MARITA A"/>
    <s v="STE 355"/>
    <s v="JOHNSON CITY"/>
    <s v="NY"/>
    <s v="13790-2162"/>
    <s v="PHYSICIAN"/>
    <s v="M"/>
    <s v="No"/>
    <s v="MMIS"/>
    <s v="SouthRPU"/>
    <s v="P"/>
    <m/>
    <m/>
    <m/>
    <s v=""/>
    <s v="E0085389"/>
    <n v="1"/>
    <n v="1"/>
    <n v="0"/>
    <n v="1"/>
    <n v="1"/>
    <n v="0"/>
    <n v="0"/>
    <n v="1"/>
    <n v="0"/>
    <n v="0"/>
    <n v="1"/>
    <x v="2"/>
    <s v=""/>
    <s v=""/>
    <s v=""/>
    <s v=""/>
    <s v=""/>
    <s v=""/>
    <s v=""/>
    <s v=""/>
    <s v=""/>
    <s v=""/>
    <n v="1"/>
    <s v=""/>
  </r>
  <r>
    <x v="0"/>
    <m/>
    <m/>
    <m/>
    <m/>
    <s v="FLOYD FRANK DR."/>
    <m/>
    <m/>
    <m/>
    <m/>
    <s v="FLOYD FRANK DANIEL MD"/>
    <m/>
    <s v="JOHNSON CITY"/>
    <s v="NY"/>
    <s v="13790-2597"/>
    <s v="PHYSICIAN"/>
    <s v="M"/>
    <s v="No"/>
    <s v="MMIS"/>
    <s v="SouthRPU"/>
    <s v="P"/>
    <m/>
    <m/>
    <m/>
    <s v=""/>
    <s v="E0194693"/>
    <n v="1"/>
    <n v="1"/>
    <n v="0"/>
    <n v="1"/>
    <n v="1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FOSTER RHIANNON"/>
    <m/>
    <m/>
    <m/>
    <m/>
    <s v="FOSTER RHIANNON B"/>
    <s v="800 HOOPER RD"/>
    <s v="ENDWELL"/>
    <s v="NY"/>
    <s v="13760-1560"/>
    <s v="PHYSICIAN"/>
    <s v="M"/>
    <s v="No"/>
    <s v="MMIS"/>
    <s v="SouthRPU"/>
    <s v="P"/>
    <m/>
    <m/>
    <m/>
    <s v="FOSTER RHIANNON"/>
    <s v="E0339530"/>
    <s v="No"/>
    <s v="No"/>
    <s v="No"/>
    <s v="No"/>
    <s v="No"/>
    <s v="No"/>
    <s v="No"/>
    <s v="No"/>
    <n v="1"/>
    <s v="No"/>
    <s v="No"/>
    <x v="2"/>
    <s v=""/>
    <s v=""/>
    <s v=""/>
    <s v=""/>
    <s v=""/>
    <s v=""/>
    <s v=""/>
    <s v=""/>
    <s v=""/>
    <s v=""/>
    <n v="1"/>
    <s v=""/>
  </r>
  <r>
    <x v="0"/>
    <m/>
    <m/>
    <m/>
    <m/>
    <s v="RAINONE FRANCINE"/>
    <m/>
    <m/>
    <m/>
    <m/>
    <s v="RAINONE FRANCINE MICHELLE MD"/>
    <s v="ASSOC IN URBAN FP"/>
    <s v="NEW YORK"/>
    <s v="NY"/>
    <s v="10003-3105"/>
    <s v="PHYSICIAN"/>
    <s v="M"/>
    <s v="No"/>
    <s v="MMIS"/>
    <s v="SouthRPU"/>
    <s v="P"/>
    <m/>
    <m/>
    <m/>
    <s v="Francine Rainone, DO"/>
    <s v="E0132724"/>
    <s v="No"/>
    <s v="No"/>
    <s v="No"/>
    <s v="No"/>
    <s v="No"/>
    <s v="No"/>
    <s v="No"/>
    <s v="No"/>
    <n v="0"/>
    <s v="No"/>
    <s v="No"/>
    <x v="2"/>
    <s v=""/>
    <s v=""/>
    <s v=""/>
    <s v=""/>
    <s v=""/>
    <s v=""/>
    <s v=""/>
    <s v=""/>
    <s v=""/>
    <s v=""/>
    <s v=""/>
    <s v=""/>
  </r>
  <r>
    <x v="0"/>
    <m/>
    <m/>
    <m/>
    <m/>
    <s v="MAGUIRE FRANCIS DR."/>
    <m/>
    <m/>
    <m/>
    <m/>
    <s v="MAGUIRE FRANCIS DO"/>
    <s v="736 IRVING AVE"/>
    <s v="SYRACUSE"/>
    <s v="NY"/>
    <s v="13210-1687"/>
    <s v="PHYSICIAN"/>
    <s v="M"/>
    <s v="No"/>
    <s v="MMIS"/>
    <s v="NorthRPU"/>
    <s v="P"/>
    <m/>
    <m/>
    <m/>
    <s v=""/>
    <s v="E0322907"/>
    <n v="1"/>
    <n v="1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FRANCK ZSOFIA"/>
    <m/>
    <m/>
    <m/>
    <m/>
    <s v="FRANCK ZSOFIA"/>
    <s v="16 BRENTWOOD DR"/>
    <s v="ITHACA"/>
    <s v="NY"/>
    <s v="14850-1863"/>
    <s v="PHYSICIAN"/>
    <s v="M"/>
    <s v="No"/>
    <s v="MMIS"/>
    <s v="NorthRPU"/>
    <s v="P"/>
    <m/>
    <m/>
    <m/>
    <s v="Franck Zsofia"/>
    <s v="E0342692"/>
    <s v="No"/>
    <s v="No"/>
    <s v="No"/>
    <s v="No"/>
    <s v="No"/>
    <s v="No"/>
    <s v="No"/>
    <s v="No"/>
    <n v="1"/>
    <s v="No"/>
    <s v="No"/>
    <x v="1"/>
    <n v="1"/>
    <s v=""/>
    <s v=""/>
    <s v=""/>
    <s v=""/>
    <s v=""/>
    <s v=""/>
    <s v=""/>
    <s v=""/>
    <s v=""/>
    <n v="1"/>
    <s v=""/>
  </r>
  <r>
    <x v="0"/>
    <m/>
    <m/>
    <m/>
    <m/>
    <s v="FRANTS REGINA"/>
    <m/>
    <m/>
    <m/>
    <m/>
    <s v="FRANTS REGINA MD"/>
    <s v="52 HARRISON ST"/>
    <s v="JOHNSON CITY"/>
    <s v="NY"/>
    <s v="13790-2120"/>
    <s v="PHYSICIAN"/>
    <s v="M"/>
    <s v="No"/>
    <s v="MMIS"/>
    <s v="SouthRPU"/>
    <s v="P"/>
    <m/>
    <m/>
    <m/>
    <s v="FRANTS REGINA"/>
    <s v="E0080110"/>
    <s v="No"/>
    <s v="No"/>
    <s v="No"/>
    <s v="No"/>
    <s v="No"/>
    <s v="No"/>
    <s v="No"/>
    <s v="No"/>
    <n v="0"/>
    <s v="No"/>
    <s v="No"/>
    <x v="1"/>
    <n v="1"/>
    <s v=""/>
    <s v=""/>
    <s v=""/>
    <s v=""/>
    <s v=""/>
    <s v=""/>
    <s v=""/>
    <s v=""/>
    <s v=""/>
    <s v=""/>
    <s v=""/>
  </r>
  <r>
    <x v="1"/>
    <m/>
    <m/>
    <m/>
    <m/>
    <s v="FRANZISKA RACKER CENTERS INC"/>
    <m/>
    <m/>
    <m/>
    <m/>
    <s v="FRANZISKA RACKER CENTERS"/>
    <s v="DOH/DAY TRT OMH"/>
    <s v="ITHACA"/>
    <s v="NY"/>
    <s v="14850-9568"/>
    <s v="MULTI-TYPE"/>
    <s v="M"/>
    <s v="No"/>
    <s v="MMIS"/>
    <s v="NorthRPU"/>
    <s v="P"/>
    <m/>
    <m/>
    <m/>
    <s v=""/>
    <s v="E0263570"/>
    <n v="0"/>
    <n v="0"/>
    <n v="0"/>
    <n v="0"/>
    <n v="0"/>
    <n v="0"/>
    <n v="0"/>
    <n v="0"/>
    <n v="0"/>
    <n v="0"/>
    <n v="0"/>
    <x v="1"/>
    <s v=""/>
    <s v=""/>
    <n v="1"/>
    <s v=""/>
    <n v="1"/>
    <s v=""/>
    <s v=""/>
    <s v=""/>
    <s v=""/>
    <s v=""/>
    <n v="1"/>
    <s v=""/>
  </r>
  <r>
    <x v="0"/>
    <m/>
    <m/>
    <m/>
    <m/>
    <m/>
    <m/>
    <m/>
    <m/>
    <m/>
    <s v="FRANZISKA RACKER CENTERS SPV"/>
    <s v="SUPERVISED"/>
    <s v="ITHACA"/>
    <s v="NY"/>
    <s v="14850-9568"/>
    <s v="HOME HEALTH AGENCY"/>
    <s v="M"/>
    <s v="No"/>
    <s v="MMIS"/>
    <s v="NorthRPU"/>
    <s v="P"/>
    <m/>
    <m/>
    <m/>
    <s v=""/>
    <s v="E0075398"/>
    <n v="0"/>
    <n v="0"/>
    <n v="0"/>
    <n v="0"/>
    <n v="0"/>
    <n v="0"/>
    <n v="0"/>
    <n v="0"/>
    <n v="0"/>
    <n v="0"/>
    <n v="0"/>
    <x v="1"/>
    <s v=""/>
    <s v=""/>
    <s v=""/>
    <s v=""/>
    <s v=""/>
    <s v=""/>
    <s v=""/>
    <s v=""/>
    <s v=""/>
    <s v=""/>
    <n v="1"/>
    <s v=""/>
  </r>
  <r>
    <x v="0"/>
    <m/>
    <m/>
    <m/>
    <m/>
    <m/>
    <m/>
    <m/>
    <m/>
    <m/>
    <s v="FRANZISKA RACKER CTR DAY"/>
    <s v="GROUP DAY HAB"/>
    <s v="ITHACA"/>
    <s v="NY"/>
    <s v="14850-9568"/>
    <s v="HOME HEALTH AGENCY"/>
    <s v="M"/>
    <s v="No"/>
    <s v="MMIS"/>
    <s v="NorthRPU"/>
    <s v="P"/>
    <m/>
    <m/>
    <m/>
    <s v=""/>
    <s v="E0030265"/>
    <n v="0"/>
    <n v="0"/>
    <n v="0"/>
    <n v="0"/>
    <n v="0"/>
    <n v="0"/>
    <n v="0"/>
    <n v="0"/>
    <n v="0"/>
    <n v="0"/>
    <n v="0"/>
    <x v="1"/>
    <s v=""/>
    <s v=""/>
    <s v=""/>
    <s v=""/>
    <s v=""/>
    <s v=""/>
    <s v=""/>
    <s v=""/>
    <s v=""/>
    <s v=""/>
    <n v="1"/>
    <s v=""/>
  </r>
  <r>
    <x v="0"/>
    <m/>
    <m/>
    <m/>
    <m/>
    <m/>
    <m/>
    <m/>
    <m/>
    <m/>
    <s v="FRANZISKA RACKER CTR INC HCB7"/>
    <s v="3226 WILKINS RD # SSL1207"/>
    <s v="ITHACA"/>
    <s v="NY"/>
    <s v="14850-9568"/>
    <s v="HOME HEALTH AGENCY"/>
    <s v="M"/>
    <s v="No"/>
    <s v="MMIS"/>
    <s v="NorthRPU"/>
    <s v="P"/>
    <m/>
    <m/>
    <m/>
    <s v=""/>
    <s v="E0094208"/>
    <n v="0"/>
    <n v="0"/>
    <n v="0"/>
    <n v="0"/>
    <n v="0"/>
    <n v="0"/>
    <n v="0"/>
    <n v="0"/>
    <n v="0"/>
    <n v="0"/>
    <n v="0"/>
    <x v="1"/>
    <s v=""/>
    <s v=""/>
    <s v=""/>
    <s v=""/>
    <s v=""/>
    <s v=""/>
    <s v=""/>
    <s v=""/>
    <s v=""/>
    <s v=""/>
    <n v="1"/>
    <s v=""/>
  </r>
  <r>
    <x v="0"/>
    <m/>
    <m/>
    <m/>
    <m/>
    <m/>
    <m/>
    <m/>
    <m/>
    <m/>
    <s v="FRANZISKA RACKER CTR RSP"/>
    <s v="3226 WILKINS RD"/>
    <s v="ITHACA"/>
    <s v="NY"/>
    <s v="14850-9568"/>
    <s v="HOME HEALTH AGENCY"/>
    <s v="M"/>
    <s v="No"/>
    <s v="MMIS"/>
    <s v="NorthRPU"/>
    <s v="P"/>
    <m/>
    <m/>
    <m/>
    <s v=""/>
    <s v="E0040158"/>
    <n v="0"/>
    <n v="0"/>
    <n v="0"/>
    <n v="0"/>
    <n v="0"/>
    <n v="0"/>
    <n v="0"/>
    <n v="0"/>
    <n v="0"/>
    <n v="0"/>
    <n v="0"/>
    <x v="1"/>
    <s v=""/>
    <s v=""/>
    <s v=""/>
    <s v=""/>
    <s v=""/>
    <s v=""/>
    <s v=""/>
    <s v=""/>
    <s v=""/>
    <s v=""/>
    <n v="1"/>
    <s v=""/>
  </r>
  <r>
    <x v="0"/>
    <m/>
    <m/>
    <m/>
    <m/>
    <s v="FRAS IVAN"/>
    <m/>
    <m/>
    <m/>
    <m/>
    <s v="FRAS IVAN"/>
    <s v="425 ROBINSON ST"/>
    <s v="BINGHAMTON"/>
    <s v="NY"/>
    <s v="13904-1735"/>
    <s v="PHYSICIAN"/>
    <s v="M"/>
    <s v="No"/>
    <s v="MMIS"/>
    <s v="SouthRPU"/>
    <s v="P"/>
    <m/>
    <m/>
    <m/>
    <s v=""/>
    <s v="E0240906"/>
    <n v="0"/>
    <n v="0"/>
    <n v="0"/>
    <n v="0"/>
    <n v="0"/>
    <n v="0"/>
    <n v="0"/>
    <n v="0"/>
    <n v="0"/>
    <n v="0"/>
    <n v="0"/>
    <x v="1"/>
    <n v="1"/>
    <s v=""/>
    <s v=""/>
    <s v=""/>
    <n v="1"/>
    <s v=""/>
    <s v=""/>
    <s v=""/>
    <s v=""/>
    <s v=""/>
    <s v=""/>
    <s v=""/>
  </r>
  <r>
    <x v="0"/>
    <m/>
    <m/>
    <m/>
    <m/>
    <s v="FRANKENBERG FRED DR."/>
    <m/>
    <m/>
    <m/>
    <m/>
    <s v="FRANKENBERG FRED WAYNE II"/>
    <s v="101 DATES DR"/>
    <s v="ITHACA"/>
    <s v="NY"/>
    <s v="14850-1342"/>
    <s v="PHYSICIAN"/>
    <s v="M"/>
    <s v="No"/>
    <s v="MMIS"/>
    <s v="NorthRPU"/>
    <s v="P"/>
    <m/>
    <m/>
    <m/>
    <s v=""/>
    <s v="E0341627"/>
    <n v="1"/>
    <n v="1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KARDON FREDRIC DR."/>
    <m/>
    <m/>
    <m/>
    <m/>
    <s v="KARDON FREDRIC M           MD"/>
    <s v="SUITE 106"/>
    <s v="ELMIRA"/>
    <s v="NY"/>
    <s v="14901"/>
    <s v="PHYSICIAN"/>
    <s v="M"/>
    <s v="No"/>
    <s v="MMIS"/>
    <s v="WestRPU"/>
    <s v="P"/>
    <m/>
    <m/>
    <m/>
    <s v=""/>
    <s v="E0226267"/>
    <n v="1"/>
    <n v="1"/>
    <n v="0"/>
    <n v="0"/>
    <n v="0"/>
    <n v="0"/>
    <n v="0"/>
    <n v="0"/>
    <n v="0"/>
    <n v="0"/>
    <n v="0"/>
    <x v="2"/>
    <n v="1"/>
    <s v=""/>
    <s v=""/>
    <s v=""/>
    <s v=""/>
    <s v=""/>
    <s v=""/>
    <s v=""/>
    <s v=""/>
    <s v=""/>
    <n v="1"/>
    <s v=""/>
  </r>
  <r>
    <x v="1"/>
    <m/>
    <m/>
    <m/>
    <m/>
    <s v="FREEMAN DENISE DR."/>
    <m/>
    <m/>
    <m/>
    <m/>
    <s v="FREEMAN DENISE ANN"/>
    <s v="DELAWARE VLY FAM HC"/>
    <s v="WALTON"/>
    <s v="NY"/>
    <s v="13856-1455"/>
    <s v="PHYSICIAN"/>
    <s v="M"/>
    <s v="No"/>
    <s v="MMIS"/>
    <s v="EastRPU"/>
    <s v="P"/>
    <m/>
    <m/>
    <m/>
    <s v=""/>
    <s v="E0113455"/>
    <n v="1"/>
    <n v="1"/>
    <n v="0"/>
    <n v="1"/>
    <n v="1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1"/>
    <m/>
    <m/>
    <m/>
    <m/>
    <s v="FREEMAN MICHAEL DR."/>
    <m/>
    <m/>
    <m/>
    <m/>
    <s v="FREEMAN MICHAEL JAY DO"/>
    <s v="2 TITUS PL"/>
    <s v="WALTON"/>
    <s v="NY"/>
    <s v="13856-1455"/>
    <s v="PHYSICIAN"/>
    <s v="M"/>
    <s v="No"/>
    <s v="MMIS"/>
    <s v="EastRPU"/>
    <s v="P"/>
    <m/>
    <m/>
    <m/>
    <s v=""/>
    <s v="E0117775"/>
    <n v="1"/>
    <n v="1"/>
    <n v="0"/>
    <n v="1"/>
    <n v="1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FRENCH ROBIN"/>
    <m/>
    <m/>
    <m/>
    <m/>
    <s v="FRENCH ROBIN RENEE"/>
    <s v="16 BRENTWOOD DR"/>
    <s v="ITHACA"/>
    <s v="NY"/>
    <s v="14850-1863"/>
    <s v="PHYSICIAN"/>
    <s v="M"/>
    <s v="No"/>
    <s v="MMIS"/>
    <s v="NorthRPU"/>
    <s v="P"/>
    <m/>
    <m/>
    <m/>
    <s v="French Robin"/>
    <s v="E0383392"/>
    <s v="No"/>
    <s v="No"/>
    <s v="No"/>
    <s v="No"/>
    <s v="No"/>
    <s v="No"/>
    <s v="No"/>
    <s v="No"/>
    <n v="1"/>
    <s v="No"/>
    <s v="No"/>
    <x v="2"/>
    <n v="1"/>
    <s v=""/>
    <s v=""/>
    <s v=""/>
    <s v=""/>
    <s v=""/>
    <s v=""/>
    <s v=""/>
    <s v=""/>
    <s v=""/>
    <n v="1"/>
    <s v=""/>
  </r>
  <r>
    <x v="0"/>
    <s v="22 Elm Street"/>
    <s v="Oneonta"/>
    <s v="NY"/>
    <s v="13820"/>
    <m/>
    <m/>
    <m/>
    <m/>
    <m/>
    <m/>
    <m/>
    <m/>
    <m/>
    <m/>
    <m/>
    <s v="M"/>
    <s v="No"/>
    <s v="No NPI or MMIS"/>
    <s v="EastRPU"/>
    <s v="P"/>
    <m/>
    <m/>
    <m/>
    <s v="Friends of Recovery Delaware and Otsego"/>
    <m/>
    <s v="No"/>
    <s v="No"/>
    <s v="No"/>
    <s v="No"/>
    <s v="No"/>
    <s v="No"/>
    <s v="No"/>
    <s v="No"/>
    <n v="0"/>
    <s v="No"/>
    <s v="No"/>
    <x v="1"/>
    <s v=""/>
    <s v=""/>
    <s v=""/>
    <s v=""/>
    <s v=""/>
    <s v=""/>
    <s v=""/>
    <s v=""/>
    <s v=""/>
    <n v="1"/>
    <s v=""/>
    <s v=""/>
  </r>
  <r>
    <x v="0"/>
    <m/>
    <m/>
    <m/>
    <m/>
    <s v="FUCITO CHRISTOPHER DR."/>
    <m/>
    <m/>
    <m/>
    <m/>
    <s v="FUCITO CHRISTOPHER D DO"/>
    <s v="123 CONHOCTON ST"/>
    <s v="CORNING"/>
    <s v="NY"/>
    <s v="14830-2911"/>
    <s v="PHYSICIAN"/>
    <s v="M"/>
    <s v="No"/>
    <s v="MMIS"/>
    <s v="WestRPU"/>
    <s v="P"/>
    <m/>
    <m/>
    <m/>
    <s v=""/>
    <s v="E0009621"/>
    <n v="1"/>
    <n v="1"/>
    <n v="0"/>
    <n v="0"/>
    <n v="0"/>
    <n v="0"/>
    <n v="0"/>
    <n v="1"/>
    <n v="1"/>
    <n v="1"/>
    <n v="0"/>
    <x v="2"/>
    <s v=""/>
    <s v=""/>
    <s v=""/>
    <s v=""/>
    <s v=""/>
    <s v=""/>
    <s v=""/>
    <s v=""/>
    <s v=""/>
    <s v=""/>
    <n v="1"/>
    <s v=""/>
  </r>
  <r>
    <x v="0"/>
    <m/>
    <m/>
    <m/>
    <m/>
    <s v="GALATZAN RUSSELL"/>
    <m/>
    <m/>
    <m/>
    <m/>
    <s v="GALATZAN RUSSELL E MD"/>
    <s v="601 RIVERSIDE DR"/>
    <s v="JOHNSON CITY"/>
    <s v="NY"/>
    <s v="13790-2544"/>
    <s v="PHYSICIAN"/>
    <s v="M"/>
    <s v="No"/>
    <s v="MMIS"/>
    <s v="SouthRPU"/>
    <s v="P"/>
    <m/>
    <m/>
    <m/>
    <s v=""/>
    <s v="E0192061"/>
    <n v="1"/>
    <n v="1"/>
    <n v="0"/>
    <n v="1"/>
    <n v="1"/>
    <n v="0"/>
    <n v="0"/>
    <n v="0"/>
    <n v="1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GALLAGHER DAVID DR."/>
    <m/>
    <m/>
    <m/>
    <m/>
    <s v="GALLAGHER DAVID JASON MD"/>
    <s v="33 MITCHELL AVE STE G-50"/>
    <s v="BINGHAMTON"/>
    <s v="NY"/>
    <s v="13903-1619"/>
    <s v="PHYSICIAN"/>
    <s v="M"/>
    <s v="No"/>
    <s v="MMIS"/>
    <s v="SouthRPU"/>
    <s v="P"/>
    <m/>
    <m/>
    <m/>
    <s v=""/>
    <s v="E0322129"/>
    <n v="1"/>
    <n v="1"/>
    <n v="0"/>
    <n v="1"/>
    <n v="1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GALLAGHER KEVIN"/>
    <m/>
    <m/>
    <m/>
    <m/>
    <s v="GALLAGHER KEVIN EDWARD MD"/>
    <s v="346 GRAND AVE"/>
    <s v="JOHNSON CITY"/>
    <s v="NY"/>
    <s v="13790-2558"/>
    <s v="PHYSICIAN"/>
    <s v="M"/>
    <s v="No"/>
    <s v="MMIS"/>
    <s v="SouthRPU"/>
    <s v="P"/>
    <m/>
    <m/>
    <m/>
    <s v="GALLAGHER KEVIN"/>
    <s v="E0165057"/>
    <s v="No"/>
    <s v="No"/>
    <s v="No"/>
    <s v="No"/>
    <s v="No"/>
    <s v="No"/>
    <s v="No"/>
    <s v="No"/>
    <n v="1"/>
    <s v="No"/>
    <s v="No"/>
    <x v="2"/>
    <s v=""/>
    <s v=""/>
    <s v=""/>
    <s v=""/>
    <s v=""/>
    <s v=""/>
    <s v=""/>
    <s v=""/>
    <s v=""/>
    <s v=""/>
    <n v="1"/>
    <s v=""/>
  </r>
  <r>
    <x v="1"/>
    <m/>
    <m/>
    <m/>
    <m/>
    <s v="GALU MARIA DR."/>
    <m/>
    <m/>
    <m/>
    <m/>
    <s v="GALU MARIA GABRIELA LIVIA MD"/>
    <s v="PRIMARY CARE ASSOC"/>
    <s v="BINGHAMTON"/>
    <s v="NY"/>
    <s v="13903-1772"/>
    <s v="PHYSICIAN"/>
    <s v="M"/>
    <s v="No"/>
    <s v="MMIS"/>
    <s v="SouthRPU"/>
    <s v="P"/>
    <m/>
    <m/>
    <m/>
    <s v=""/>
    <s v="E0071043"/>
    <n v="0"/>
    <n v="0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GALYANOVA VALENTINA DR."/>
    <m/>
    <m/>
    <m/>
    <m/>
    <s v="GALYANOVA VALENTINA"/>
    <s v="1780 HANSHAW RD"/>
    <s v="ITHACA"/>
    <s v="NY"/>
    <s v="14850-9105"/>
    <s v="PHYSICIAN"/>
    <s v="M"/>
    <s v="No"/>
    <s v="MMIS"/>
    <s v="NorthRPU"/>
    <s v="P"/>
    <m/>
    <m/>
    <m/>
    <s v=""/>
    <s v="E0103905"/>
    <n v="1"/>
    <n v="1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GANDHI FORAM"/>
    <m/>
    <m/>
    <m/>
    <m/>
    <s v="GANDHI FORAM"/>
    <m/>
    <m/>
    <m/>
    <m/>
    <s v="PHYSICIAN"/>
    <s v="M"/>
    <s v="No"/>
    <s v="MMIS"/>
    <s v="WestRPU"/>
    <s v="P"/>
    <m/>
    <m/>
    <m/>
    <s v="Gandhi Foram"/>
    <s v="E0447552"/>
    <s v="No"/>
    <s v="No"/>
    <s v="No"/>
    <s v="No"/>
    <s v="No"/>
    <s v="No"/>
    <s v="No"/>
    <s v="No"/>
    <n v="0"/>
    <s v="No"/>
    <s v="No"/>
    <x v="2"/>
    <s v=""/>
    <s v=""/>
    <s v=""/>
    <s v=""/>
    <s v=""/>
    <s v=""/>
    <s v=""/>
    <s v=""/>
    <s v=""/>
    <s v=""/>
    <n v="1"/>
    <s v=""/>
  </r>
  <r>
    <x v="0"/>
    <m/>
    <m/>
    <m/>
    <m/>
    <s v="YUE GANG DR."/>
    <m/>
    <m/>
    <m/>
    <m/>
    <s v="YUE GANG MD"/>
    <s v="33-57 HARRISON ST"/>
    <s v="JOHNSON CITY"/>
    <s v="NY"/>
    <s v="13790-2107"/>
    <s v="PHYSICIAN"/>
    <s v="M"/>
    <s v="No"/>
    <s v="MMIS"/>
    <s v="SouthRPU"/>
    <s v="P"/>
    <m/>
    <m/>
    <m/>
    <s v=""/>
    <s v="E0010040"/>
    <n v="1"/>
    <n v="1"/>
    <n v="0"/>
    <n v="1"/>
    <n v="1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GAONKAR NELIMA MS."/>
    <m/>
    <m/>
    <m/>
    <m/>
    <s v="GAONKAR NELIMA WOOD"/>
    <s v="257 MAIN ST"/>
    <s v="BINGHAMTON"/>
    <s v="NY"/>
    <s v="13905-2522"/>
    <s v="CLINICAL SOCIAL WORKER (CSW)"/>
    <s v="M"/>
    <s v="No"/>
    <s v="MMIS"/>
    <s v="SouthRPU"/>
    <s v="P"/>
    <m/>
    <m/>
    <m/>
    <s v=""/>
    <s v="E0298880"/>
    <n v="0"/>
    <n v="0"/>
    <n v="0"/>
    <n v="0"/>
    <n v="0"/>
    <n v="0"/>
    <n v="0"/>
    <n v="0"/>
    <n v="0"/>
    <n v="0"/>
    <n v="0"/>
    <x v="1"/>
    <n v="1"/>
    <s v=""/>
    <s v=""/>
    <s v=""/>
    <n v="1"/>
    <s v=""/>
    <s v=""/>
    <s v=""/>
    <s v=""/>
    <s v=""/>
    <s v=""/>
    <s v=""/>
  </r>
  <r>
    <x v="0"/>
    <m/>
    <m/>
    <m/>
    <m/>
    <s v="GARDNER DONNA"/>
    <m/>
    <m/>
    <m/>
    <m/>
    <s v="GARDNER DONNA L"/>
    <s v="1594 STATE RTE 26"/>
    <s v="SOUTH OTSELIC"/>
    <s v="NY"/>
    <s v="13155"/>
    <s v="PHYSICIAN"/>
    <s v="M"/>
    <s v="No"/>
    <s v="MMIS"/>
    <s v="EastRPU"/>
    <s v="P"/>
    <m/>
    <m/>
    <m/>
    <s v=""/>
    <s v="E0050893"/>
    <n v="0"/>
    <n v="0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GASPARIS DEMETRIOS DR."/>
    <m/>
    <m/>
    <m/>
    <m/>
    <s v="GASPARIS DEMETRIOS"/>
    <s v="415 HOOPER RD"/>
    <s v="ENDWELL"/>
    <s v="NY"/>
    <s v="13760-3646"/>
    <s v="PHYSICIAN"/>
    <s v="M"/>
    <s v="No"/>
    <s v="MMIS"/>
    <s v="SouthRPU"/>
    <s v="P"/>
    <m/>
    <m/>
    <m/>
    <s v=""/>
    <s v="E0298911"/>
    <n v="1"/>
    <n v="1"/>
    <n v="0"/>
    <n v="1"/>
    <n v="1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GATES-MABY TIFFANY"/>
    <m/>
    <m/>
    <m/>
    <m/>
    <s v="GATES-MABY TIFFANY JILL"/>
    <s v="53 PINE ST"/>
    <s v="DEPOSIT"/>
    <s v="NY"/>
    <s v="13754-1301"/>
    <s v="PHYSICIAN"/>
    <s v="M"/>
    <s v="No"/>
    <s v="MMIS"/>
    <s v="SouthRPU"/>
    <s v="P"/>
    <m/>
    <m/>
    <m/>
    <s v=""/>
    <s v="E0299493"/>
    <n v="0"/>
    <n v="0"/>
    <n v="0"/>
    <n v="0"/>
    <n v="0"/>
    <n v="0"/>
    <n v="0"/>
    <n v="0"/>
    <n v="1"/>
    <n v="0"/>
    <n v="0"/>
    <x v="2"/>
    <n v="1"/>
    <s v=""/>
    <s v=""/>
    <s v=""/>
    <s v=""/>
    <s v=""/>
    <s v=""/>
    <s v=""/>
    <s v=""/>
    <s v=""/>
    <n v="1"/>
    <s v=""/>
  </r>
  <r>
    <x v="0"/>
    <m/>
    <m/>
    <m/>
    <m/>
    <s v="JAYARAMAN GAYATRI"/>
    <m/>
    <m/>
    <m/>
    <m/>
    <s v="JAYARAMAN GAYATRI"/>
    <s v="33-57 HARRISON ST"/>
    <s v="JOHNSON CITY"/>
    <s v="NY"/>
    <s v="13790-2107"/>
    <s v="PHYSICIAN"/>
    <s v="M"/>
    <s v="No"/>
    <s v="MMIS"/>
    <s v="SouthRPU"/>
    <s v="P"/>
    <m/>
    <m/>
    <m/>
    <s v=""/>
    <s v="E0339096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GEHRING LAZARUS"/>
    <m/>
    <m/>
    <m/>
    <m/>
    <s v="GEHRING LAZARUS BRENT CHRISTIAN"/>
    <s v="415 HOOPER RD"/>
    <s v="ENDWELL"/>
    <s v="NY"/>
    <s v="13760-3646"/>
    <s v="PHYSICIAN"/>
    <s v="M"/>
    <s v="No"/>
    <s v="MMIS"/>
    <s v="SouthRPU"/>
    <s v="P"/>
    <m/>
    <m/>
    <m/>
    <s v="GEHRING LAZARUS"/>
    <s v="E0087275"/>
    <s v="No"/>
    <s v="No"/>
    <s v="No"/>
    <s v="No"/>
    <s v="No"/>
    <s v="No"/>
    <s v="No"/>
    <s v="No"/>
    <n v="0"/>
    <s v="No"/>
    <s v="No"/>
    <x v="2"/>
    <s v=""/>
    <s v=""/>
    <s v=""/>
    <s v=""/>
    <s v=""/>
    <s v=""/>
    <s v=""/>
    <s v=""/>
    <s v=""/>
    <s v=""/>
    <n v="1"/>
    <s v=""/>
  </r>
  <r>
    <x v="0"/>
    <m/>
    <m/>
    <m/>
    <m/>
    <s v="GELLER ALAN MR."/>
    <m/>
    <m/>
    <m/>
    <m/>
    <s v="GELLER ALAN M"/>
    <s v="15 RIVERSIDE DRIVE"/>
    <s v="JOHNSON CITY"/>
    <s v="NY"/>
    <s v="13790-2742"/>
    <s v="PHYSICIAN"/>
    <s v="M"/>
    <s v="No"/>
    <s v="MMIS"/>
    <s v="SouthRPU"/>
    <s v="P"/>
    <m/>
    <m/>
    <m/>
    <s v=""/>
    <s v="E0370069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SERFILIPPI GEOFFREY"/>
    <m/>
    <m/>
    <m/>
    <m/>
    <s v="SERFILIPPI GEOFFREY MD"/>
    <m/>
    <s v="SCHENECTADY"/>
    <s v="NY"/>
    <s v="12308-2489"/>
    <s v="PHYSICIAN"/>
    <s v="M"/>
    <s v="No"/>
    <s v="MMIS"/>
    <s v="SouthRPU"/>
    <s v="P"/>
    <m/>
    <m/>
    <m/>
    <s v="Geoffrey L. Serfilippi, MD"/>
    <s v="E0155037"/>
    <s v="No"/>
    <s v="No"/>
    <s v="No"/>
    <s v="No"/>
    <s v="No"/>
    <s v="No"/>
    <s v="No"/>
    <s v="No"/>
    <n v="0"/>
    <s v="No"/>
    <s v="No"/>
    <x v="1"/>
    <n v="1"/>
    <s v=""/>
    <s v=""/>
    <s v=""/>
    <s v=""/>
    <s v=""/>
    <s v=""/>
    <s v=""/>
    <s v=""/>
    <s v=""/>
    <n v="1"/>
    <s v=""/>
  </r>
  <r>
    <x v="0"/>
    <m/>
    <m/>
    <m/>
    <m/>
    <s v="GEORGE MATTHEW"/>
    <m/>
    <m/>
    <m/>
    <m/>
    <s v="GEORGE MATTHEW W"/>
    <s v="1302 E MAIN ST"/>
    <s v="ENDICOTT"/>
    <s v="NY"/>
    <s v="13760-5430"/>
    <s v="THERAPIST"/>
    <s v="M"/>
    <s v="No"/>
    <s v="MMIS"/>
    <s v="SouthRPU"/>
    <s v="P"/>
    <m/>
    <m/>
    <m/>
    <s v="GEORGE MATTHEW"/>
    <s v="E0047206"/>
    <s v="No"/>
    <s v="No"/>
    <s v="No"/>
    <s v="No"/>
    <s v="No"/>
    <s v="No"/>
    <s v="No"/>
    <s v="No"/>
    <n v="0"/>
    <s v="No"/>
    <s v="No"/>
    <x v="1"/>
    <s v=""/>
    <s v=""/>
    <s v=""/>
    <s v=""/>
    <s v=""/>
    <s v=""/>
    <s v=""/>
    <s v=""/>
    <s v=""/>
    <s v=""/>
    <s v=""/>
    <n v="1"/>
  </r>
  <r>
    <x v="0"/>
    <m/>
    <m/>
    <m/>
    <m/>
    <s v="GEORGETSON MICHAEL DR."/>
    <m/>
    <m/>
    <m/>
    <m/>
    <s v="GEORGETSON MICHAEL J MD"/>
    <s v="412 S MAIN ST"/>
    <s v="ATHENS"/>
    <s v="PA"/>
    <s v="18810-1618"/>
    <s v="PHYSICIAN"/>
    <s v="M"/>
    <s v="No"/>
    <s v="MMIS"/>
    <s v="SouthRPU"/>
    <s v="P"/>
    <m/>
    <m/>
    <m/>
    <s v=""/>
    <s v="E0191022"/>
    <n v="1"/>
    <n v="1"/>
    <n v="0"/>
    <n v="0"/>
    <n v="0"/>
    <n v="0"/>
    <n v="0"/>
    <n v="0"/>
    <n v="0"/>
    <n v="1"/>
    <n v="0"/>
    <x v="1"/>
    <n v="1"/>
    <s v=""/>
    <s v=""/>
    <s v=""/>
    <s v=""/>
    <s v=""/>
    <s v=""/>
    <s v=""/>
    <s v=""/>
    <s v=""/>
    <n v="1"/>
    <s v=""/>
  </r>
  <r>
    <x v="0"/>
    <m/>
    <m/>
    <m/>
    <m/>
    <s v="GACIOCH GERALD DR."/>
    <m/>
    <m/>
    <m/>
    <m/>
    <s v="GACIOCH GERALD MATTHEW  MD"/>
    <s v="1445 PORTLAND AVE STE 104"/>
    <s v="ROCHESTER"/>
    <s v="NY"/>
    <s v="14621-3008"/>
    <s v="PHYSICIAN"/>
    <s v="M"/>
    <s v="No"/>
    <s v="MMIS"/>
    <s v="NorthRPU"/>
    <s v="P"/>
    <m/>
    <m/>
    <m/>
    <s v=""/>
    <s v="E0180131"/>
    <n v="1"/>
    <n v="1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GEROULD'S PROFESSIONAL PHARMACY INC."/>
    <m/>
    <m/>
    <m/>
    <m/>
    <s v="GEROULD S PROFESSIONAL PHCY"/>
    <s v="130 S MAIN ST"/>
    <s v="ELMIRA"/>
    <s v="NY"/>
    <s v="14904-1309"/>
    <s v="PHARMACY"/>
    <s v="M"/>
    <s v="No"/>
    <s v="MMIS"/>
    <s v="WestRPU"/>
    <s v="P"/>
    <m/>
    <m/>
    <m/>
    <s v=""/>
    <s v="E0263347"/>
    <n v="1"/>
    <n v="1"/>
    <n v="0"/>
    <n v="1"/>
    <n v="1"/>
    <n v="0"/>
    <n v="0"/>
    <n v="1"/>
    <n v="0"/>
    <n v="1"/>
    <n v="1"/>
    <x v="1"/>
    <s v=""/>
    <s v=""/>
    <s v=""/>
    <s v=""/>
    <s v=""/>
    <s v=""/>
    <s v=""/>
    <n v="1"/>
    <s v=""/>
    <s v=""/>
    <s v=""/>
    <s v=""/>
  </r>
  <r>
    <x v="1"/>
    <m/>
    <m/>
    <m/>
    <m/>
    <s v="GEROULD'S PROFESSIONAL PHARMACY INC."/>
    <m/>
    <m/>
    <m/>
    <m/>
    <s v="GEROULDS PROF PHARM INC"/>
    <s v="215 HOFFMAN ST"/>
    <s v="ELMIRA"/>
    <s v="NY"/>
    <s v="14905-2423"/>
    <s v="PHARMACY"/>
    <s v="M"/>
    <s v="No"/>
    <s v="MMIS"/>
    <s v="WestRPU"/>
    <s v="P"/>
    <m/>
    <m/>
    <m/>
    <s v=""/>
    <s v="E0262757"/>
    <n v="1"/>
    <n v="1"/>
    <n v="0"/>
    <n v="1"/>
    <n v="1"/>
    <n v="0"/>
    <n v="0"/>
    <n v="1"/>
    <n v="0"/>
    <n v="1"/>
    <n v="1"/>
    <x v="1"/>
    <s v=""/>
    <s v=""/>
    <s v=""/>
    <s v=""/>
    <s v=""/>
    <s v=""/>
    <s v=""/>
    <n v="1"/>
    <s v=""/>
    <s v=""/>
    <s v=""/>
    <s v=""/>
  </r>
  <r>
    <x v="0"/>
    <m/>
    <m/>
    <m/>
    <m/>
    <s v="GEROULD'S PROFESSIONAL PHARMACY INC."/>
    <m/>
    <m/>
    <m/>
    <m/>
    <s v="GEROULDS PROF PHARM       INC"/>
    <s v="2887 WESTINGHOUSE RD"/>
    <s v="HORSEHEADS"/>
    <s v="NY"/>
    <s v="14845-8110"/>
    <s v="PHARMACY"/>
    <s v="M"/>
    <s v="No"/>
    <s v="MMIS"/>
    <s v="WestRPU"/>
    <s v="P"/>
    <m/>
    <m/>
    <m/>
    <s v=""/>
    <s v="E0198888"/>
    <n v="1"/>
    <n v="1"/>
    <n v="0"/>
    <n v="1"/>
    <n v="1"/>
    <n v="0"/>
    <n v="0"/>
    <n v="1"/>
    <n v="0"/>
    <n v="1"/>
    <n v="1"/>
    <x v="1"/>
    <s v=""/>
    <s v=""/>
    <s v=""/>
    <s v=""/>
    <s v=""/>
    <s v=""/>
    <s v=""/>
    <n v="1"/>
    <s v=""/>
    <s v=""/>
    <s v=""/>
    <s v=""/>
  </r>
  <r>
    <x v="0"/>
    <m/>
    <m/>
    <m/>
    <m/>
    <s v="GEROULDS PROFESSIONAL PHARMACY INC"/>
    <m/>
    <m/>
    <m/>
    <m/>
    <s v="GEROULDS PROF PHARAMCY INC"/>
    <s v="98 W PULTENEY ST"/>
    <s v="CORNING"/>
    <s v="NY"/>
    <s v="14830-2260"/>
    <s v="PHARMACY"/>
    <s v="M"/>
    <s v="No"/>
    <s v="MMIS"/>
    <s v="WestRPU"/>
    <s v="P"/>
    <m/>
    <m/>
    <m/>
    <s v=""/>
    <s v="E0052904"/>
    <n v="1"/>
    <n v="1"/>
    <n v="0"/>
    <n v="1"/>
    <n v="1"/>
    <n v="0"/>
    <n v="0"/>
    <n v="1"/>
    <n v="0"/>
    <n v="1"/>
    <n v="1"/>
    <x v="1"/>
    <s v=""/>
    <s v=""/>
    <s v=""/>
    <s v=""/>
    <s v=""/>
    <s v=""/>
    <s v=""/>
    <n v="1"/>
    <s v=""/>
    <s v=""/>
    <s v=""/>
    <s v=""/>
  </r>
  <r>
    <x v="0"/>
    <m/>
    <m/>
    <m/>
    <m/>
    <s v="GEROULD'S PROFESSIONAL PHARMACY INC."/>
    <s v="200 S MAIN ST"/>
    <s v="ELMIRA"/>
    <s v="NY"/>
    <s v="149041311"/>
    <m/>
    <m/>
    <m/>
    <m/>
    <m/>
    <m/>
    <s v="M"/>
    <s v="No"/>
    <s v="NPI only"/>
    <s v="WestRPU"/>
    <s v="P"/>
    <m/>
    <m/>
    <m/>
    <s v=""/>
    <s v="Geroulds Professional Pharmacy, Inc./Gerould's Healthcare Center"/>
    <n v="1"/>
    <n v="1"/>
    <m/>
    <n v="1"/>
    <n v="1"/>
    <m/>
    <m/>
    <n v="1"/>
    <n v="0"/>
    <n v="1"/>
    <n v="1"/>
    <x v="1"/>
    <s v=""/>
    <s v=""/>
    <s v=""/>
    <s v=""/>
    <s v=""/>
    <s v=""/>
    <s v=""/>
    <s v=""/>
    <s v=""/>
    <s v=""/>
    <s v=""/>
    <n v="1"/>
  </r>
  <r>
    <x v="0"/>
    <m/>
    <m/>
    <m/>
    <m/>
    <s v="GIANGRIECO MAUREEN"/>
    <m/>
    <m/>
    <m/>
    <m/>
    <s v="GIANGRIECO MAUREEN A"/>
    <s v="SUSQUEHANNA MEDICAL"/>
    <s v="BINGHAMTON"/>
    <s v="NY"/>
    <s v="13903-1674"/>
    <s v="PHYSICIAN"/>
    <s v="M"/>
    <s v="No"/>
    <s v="MMIS"/>
    <s v="SouthRPU"/>
    <s v="P"/>
    <m/>
    <m/>
    <m/>
    <s v=""/>
    <s v="E0172406"/>
    <n v="0"/>
    <n v="0"/>
    <n v="0"/>
    <n v="0"/>
    <n v="0"/>
    <n v="0"/>
    <n v="0"/>
    <n v="0"/>
    <n v="1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GIANNONE DEBORAH"/>
    <m/>
    <m/>
    <m/>
    <m/>
    <s v="GIANNONE DEBORAH J"/>
    <s v="5 MILE POINT PLAZA"/>
    <s v="KIRKWOOD"/>
    <s v="NY"/>
    <s v="13795"/>
    <s v="PHYSICIAN"/>
    <s v="M"/>
    <s v="No"/>
    <s v="MMIS"/>
    <s v="SouthRPU"/>
    <s v="P"/>
    <m/>
    <m/>
    <m/>
    <s v="Giannone Deborah "/>
    <s v="E0172605"/>
    <s v="No"/>
    <s v="No"/>
    <s v="No"/>
    <s v="No"/>
    <s v="No"/>
    <s v="No"/>
    <s v="No"/>
    <s v="No"/>
    <n v="1"/>
    <s v="No"/>
    <s v="No"/>
    <x v="2"/>
    <s v=""/>
    <s v=""/>
    <s v=""/>
    <s v=""/>
    <s v=""/>
    <s v=""/>
    <s v=""/>
    <s v=""/>
    <s v=""/>
    <s v=""/>
    <n v="1"/>
    <s v=""/>
  </r>
  <r>
    <x v="0"/>
    <m/>
    <m/>
    <m/>
    <m/>
    <s v="GIANNONE JOHN"/>
    <m/>
    <m/>
    <m/>
    <m/>
    <s v="GIANNONE JOHN J            MD"/>
    <s v="UNITED HLTH SVC"/>
    <s v="DEPOSIT"/>
    <s v="NY"/>
    <s v="13754-1301"/>
    <s v="PHYSICIAN"/>
    <s v="M"/>
    <s v="No"/>
    <s v="MMIS"/>
    <s v="SouthRPU"/>
    <s v="P"/>
    <m/>
    <m/>
    <m/>
    <s v=""/>
    <s v="E0205804"/>
    <n v="1"/>
    <n v="1"/>
    <n v="0"/>
    <n v="1"/>
    <n v="1"/>
    <n v="0"/>
    <n v="0"/>
    <n v="0"/>
    <n v="1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GILL ROY"/>
    <m/>
    <m/>
    <m/>
    <m/>
    <s v="GILL ROY MD"/>
    <s v="48 HARRISON ST"/>
    <s v="JOHNSON CITY"/>
    <s v="NY"/>
    <s v="13790-2120"/>
    <s v="PHYSICIAN"/>
    <s v="M"/>
    <s v="No"/>
    <s v="MMIS"/>
    <s v="SouthRPU"/>
    <s v="P"/>
    <m/>
    <m/>
    <m/>
    <s v=""/>
    <s v="E0258137"/>
    <n v="0"/>
    <n v="0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GILLAN MICHAEL"/>
    <m/>
    <m/>
    <m/>
    <m/>
    <s v="GILLAN MICHAEL FREDRIC"/>
    <s v="1 GUTHRIE SQ"/>
    <s v="SAYRE"/>
    <s v="PA"/>
    <s v="18840-1625"/>
    <s v="PHYSICIAN"/>
    <s v="M"/>
    <s v="No"/>
    <s v="MMIS"/>
    <s v="SouthRPU"/>
    <s v="P"/>
    <m/>
    <m/>
    <m/>
    <s v=""/>
    <s v="E0378870"/>
    <n v="1"/>
    <n v="1"/>
    <n v="0"/>
    <n v="0"/>
    <n v="0"/>
    <n v="0"/>
    <n v="0"/>
    <n v="1"/>
    <n v="1"/>
    <n v="1"/>
    <n v="0"/>
    <x v="2"/>
    <s v=""/>
    <s v=""/>
    <s v=""/>
    <s v=""/>
    <s v=""/>
    <s v=""/>
    <s v=""/>
    <s v=""/>
    <s v=""/>
    <s v=""/>
    <n v="1"/>
    <s v=""/>
  </r>
  <r>
    <x v="0"/>
    <m/>
    <m/>
    <m/>
    <m/>
    <s v="GILLOTT ANTHONY DR."/>
    <m/>
    <m/>
    <m/>
    <m/>
    <s v="GILLOTT ANTHONY R          MD"/>
    <s v="GUTHRIE CLINIC LTD"/>
    <s v="SAYRE"/>
    <s v="PA"/>
    <s v="18840"/>
    <s v="PHYSICIAN"/>
    <s v="M"/>
    <s v="No"/>
    <s v="MMIS"/>
    <s v="SouthRPU"/>
    <s v="P"/>
    <m/>
    <m/>
    <m/>
    <s v=""/>
    <s v="E0196585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CALLAHAN GINA MRS."/>
    <m/>
    <m/>
    <m/>
    <m/>
    <s v="CALLAHAN GINA MARIE RPA"/>
    <s v="53 PINE ST"/>
    <s v="DEPOSIT"/>
    <s v="NY"/>
    <s v="13754-1301"/>
    <s v="PHYSICIAN"/>
    <s v="M"/>
    <s v="No"/>
    <s v="MMIS"/>
    <s v="SouthRPU"/>
    <s v="P"/>
    <m/>
    <m/>
    <m/>
    <s v="Gina Callahan, PA"/>
    <s v="E0015890"/>
    <s v="No"/>
    <s v="No"/>
    <s v="No"/>
    <s v="No"/>
    <s v="No"/>
    <s v="No"/>
    <s v="No"/>
    <s v="No"/>
    <n v="1"/>
    <s v="No"/>
    <s v="No"/>
    <x v="1"/>
    <n v="1"/>
    <s v=""/>
    <s v=""/>
    <s v=""/>
    <s v=""/>
    <s v=""/>
    <s v=""/>
    <s v=""/>
    <s v=""/>
    <s v=""/>
    <n v="1"/>
    <s v=""/>
  </r>
  <r>
    <x v="0"/>
    <m/>
    <m/>
    <m/>
    <m/>
    <s v="ROMANIAK ELYSE"/>
    <m/>
    <m/>
    <m/>
    <m/>
    <s v="ROMANIAK ELYSE MARIE"/>
    <s v="200 FRONT ST"/>
    <s v="VESTAL"/>
    <s v="NY"/>
    <s v="13850-1559"/>
    <s v="PHYSICIAN"/>
    <s v="M"/>
    <s v="No"/>
    <s v="MMIS"/>
    <s v="SouthRPU"/>
    <s v="P"/>
    <m/>
    <m/>
    <m/>
    <s v=""/>
    <s v="E0316641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GALLAGHER GIULIANA"/>
    <m/>
    <m/>
    <m/>
    <m/>
    <s v="GALLAGHER GIULIANA LOO"/>
    <s v="4401 VESTAL PKWY E"/>
    <s v="VESTAL"/>
    <s v="NY"/>
    <s v="13850-3514"/>
    <s v="PHYSICIAN"/>
    <s v="M"/>
    <s v="No"/>
    <s v="MMIS"/>
    <s v="SouthRPU"/>
    <s v="P"/>
    <m/>
    <m/>
    <m/>
    <s v=""/>
    <s v="E0333624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GLOSENGER MARK"/>
    <m/>
    <m/>
    <m/>
    <m/>
    <s v="GLOSENGER MARK E           MD"/>
    <s v="1285 TRUMANSBURG RD"/>
    <s v="ITHACA"/>
    <s v="NY"/>
    <s v="14850"/>
    <s v="PHYSICIAN"/>
    <s v="M"/>
    <s v="No"/>
    <s v="MMIS"/>
    <s v="NorthRPU"/>
    <s v="P"/>
    <m/>
    <m/>
    <m/>
    <s v=""/>
    <s v="E0224227"/>
    <n v="0"/>
    <n v="0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s v="282 Riverside Drive"/>
    <s v="Johnson City"/>
    <s v="NY"/>
    <s v="13790"/>
    <m/>
    <m/>
    <m/>
    <m/>
    <m/>
    <m/>
    <m/>
    <m/>
    <m/>
    <m/>
    <m/>
    <s v="M"/>
    <s v="No"/>
    <s v="No NPI or MMIS"/>
    <s v="SouthRPU"/>
    <s v="P"/>
    <m/>
    <m/>
    <m/>
    <s v="Golden Days"/>
    <m/>
    <s v="No"/>
    <s v="No"/>
    <s v="No"/>
    <s v="No"/>
    <s v="No"/>
    <s v="No"/>
    <s v="No"/>
    <s v="No"/>
    <n v="0"/>
    <s v="No"/>
    <s v="No"/>
    <x v="1"/>
    <s v=""/>
    <s v=""/>
    <s v=""/>
    <s v=""/>
    <s v=""/>
    <s v=""/>
    <s v=""/>
    <s v=""/>
    <s v=""/>
    <n v="1"/>
    <s v=""/>
    <s v=""/>
  </r>
  <r>
    <x v="0"/>
    <m/>
    <m/>
    <m/>
    <m/>
    <s v="GOLDEN JAMES"/>
    <m/>
    <m/>
    <m/>
    <m/>
    <s v="GOLDEN JAMES EDWARD"/>
    <s v="257 MAIN ST"/>
    <s v="BINGHAMTON"/>
    <s v="NY"/>
    <s v="13905-2522"/>
    <s v="CLINICAL SOCIAL WORKER (CSW)"/>
    <s v="M"/>
    <s v="No"/>
    <s v="MMIS"/>
    <s v="SouthRPU"/>
    <s v="P"/>
    <m/>
    <m/>
    <m/>
    <s v=""/>
    <s v="E0315051"/>
    <n v="0"/>
    <n v="0"/>
    <n v="0"/>
    <n v="0"/>
    <n v="0"/>
    <n v="0"/>
    <n v="0"/>
    <n v="0"/>
    <n v="0"/>
    <n v="0"/>
    <n v="0"/>
    <x v="1"/>
    <n v="1"/>
    <s v=""/>
    <s v=""/>
    <s v=""/>
    <n v="1"/>
    <s v=""/>
    <s v=""/>
    <s v=""/>
    <s v=""/>
    <s v=""/>
    <s v=""/>
    <s v=""/>
  </r>
  <r>
    <x v="1"/>
    <m/>
    <m/>
    <m/>
    <m/>
    <s v="GOOD SHEPHERD-FAIRVIEW HOME, INC."/>
    <m/>
    <m/>
    <m/>
    <m/>
    <s v="GOOD SHEPHERD-FAIRVIEW HM INC"/>
    <s v="80 FAIRVIEW AVE"/>
    <s v="BINGHAMTON"/>
    <s v="NY"/>
    <s v="13904-1132"/>
    <s v="LONG TERM CARE FACILITY"/>
    <s v="M"/>
    <s v="No"/>
    <s v="MMIS"/>
    <s v="SouthRPU"/>
    <s v="P"/>
    <m/>
    <m/>
    <m/>
    <s v=""/>
    <s v="E0252056"/>
    <n v="1"/>
    <n v="0"/>
    <n v="1"/>
    <n v="0"/>
    <n v="0"/>
    <n v="0"/>
    <n v="0"/>
    <n v="0"/>
    <n v="0"/>
    <n v="0"/>
    <n v="0"/>
    <x v="1"/>
    <s v=""/>
    <s v=""/>
    <s v=""/>
    <s v=""/>
    <s v=""/>
    <s v=""/>
    <n v="1"/>
    <s v=""/>
    <s v=""/>
    <s v=""/>
    <n v="1"/>
    <s v=""/>
  </r>
  <r>
    <x v="0"/>
    <m/>
    <m/>
    <m/>
    <m/>
    <m/>
    <m/>
    <m/>
    <m/>
    <m/>
    <s v="GOOD SHEPHERD FAIRVIEW HOME ALP"/>
    <s v="80 FAIRVIEW AVE"/>
    <s v="BINGHAMTON"/>
    <s v="NY"/>
    <s v="13904-1132"/>
    <s v="HOME HEALTH AGENCY"/>
    <s v="M"/>
    <s v="No"/>
    <s v="MMIS"/>
    <s v="SouthRPU"/>
    <s v="P"/>
    <m/>
    <m/>
    <m/>
    <s v=""/>
    <s v="E0285837"/>
    <n v="1"/>
    <n v="0"/>
    <n v="1"/>
    <n v="0"/>
    <n v="0"/>
    <n v="0"/>
    <n v="0"/>
    <n v="0"/>
    <n v="0"/>
    <n v="0"/>
    <n v="0"/>
    <x v="1"/>
    <s v=""/>
    <s v=""/>
    <s v=""/>
    <s v=""/>
    <s v=""/>
    <s v=""/>
    <s v=""/>
    <s v=""/>
    <s v=""/>
    <s v=""/>
    <n v="1"/>
    <s v=""/>
  </r>
  <r>
    <x v="0"/>
    <m/>
    <m/>
    <m/>
    <m/>
    <s v="GOOD VANCE DR."/>
    <m/>
    <m/>
    <m/>
    <m/>
    <s v="GOOD VANCE ARIEL"/>
    <s v="GUTHRIE SQUARE"/>
    <s v="SAYRE"/>
    <s v="PA"/>
    <s v="16947"/>
    <s v="PHYSICIAN"/>
    <s v="M"/>
    <s v="No"/>
    <s v="MMIS"/>
    <s v="SouthRPU"/>
    <s v="P"/>
    <m/>
    <m/>
    <m/>
    <s v=""/>
    <s v="E0262735"/>
    <n v="1"/>
    <n v="1"/>
    <n v="0"/>
    <n v="0"/>
    <n v="0"/>
    <n v="0"/>
    <n v="0"/>
    <n v="0"/>
    <n v="0"/>
    <n v="1"/>
    <n v="0"/>
    <x v="1"/>
    <n v="1"/>
    <s v=""/>
    <s v=""/>
    <s v=""/>
    <s v=""/>
    <s v=""/>
    <s v=""/>
    <s v=""/>
    <s v=""/>
    <s v=""/>
    <n v="1"/>
    <s v=""/>
  </r>
  <r>
    <x v="0"/>
    <m/>
    <m/>
    <m/>
    <m/>
    <s v="GOODMAN KEVIN"/>
    <m/>
    <m/>
    <m/>
    <m/>
    <s v="GOODMAN KEVIN D"/>
    <s v="33-57 HARRISON ST"/>
    <s v="JOHNSON CITY"/>
    <s v="NY"/>
    <s v="13790-2107"/>
    <s v="PHYSICIAN"/>
    <s v="M"/>
    <s v="No"/>
    <s v="MMIS"/>
    <s v="SouthRPU"/>
    <s v="P"/>
    <m/>
    <m/>
    <m/>
    <s v=""/>
    <s v="E0321327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GOODRICH VICTORIA MISS"/>
    <s v="1904 COUNTY LINE RD"/>
    <s v="HUNTINGDON VALLEY"/>
    <s v="PA"/>
    <s v="190061738"/>
    <m/>
    <m/>
    <m/>
    <m/>
    <m/>
    <m/>
    <s v="M"/>
    <s v="No"/>
    <s v="NPI only"/>
    <s v="SouthRPU"/>
    <s v="P"/>
    <m/>
    <m/>
    <m/>
    <s v="Goodrich Victoria"/>
    <m/>
    <s v="No"/>
    <s v="No"/>
    <s v="No"/>
    <s v="No"/>
    <s v="No"/>
    <s v="No"/>
    <s v="No"/>
    <s v="No"/>
    <n v="1"/>
    <s v="No"/>
    <s v="No"/>
    <x v="1"/>
    <n v="1"/>
    <s v=""/>
    <s v=""/>
    <s v=""/>
    <s v=""/>
    <s v=""/>
    <s v=""/>
    <s v=""/>
    <s v=""/>
    <s v=""/>
    <s v=""/>
    <s v=""/>
  </r>
  <r>
    <x v="0"/>
    <m/>
    <m/>
    <m/>
    <m/>
    <s v="GOTTLIEB MEGAN"/>
    <m/>
    <m/>
    <m/>
    <m/>
    <s v="GOTTLIEB MEGAN E"/>
    <s v="1302 E MAIN ST"/>
    <s v="ENDICOTT"/>
    <s v="NY"/>
    <s v="13760-5430"/>
    <s v="THERAPIST"/>
    <s v="M"/>
    <s v="No"/>
    <s v="MMIS"/>
    <s v="SouthRPU"/>
    <s v="P"/>
    <m/>
    <m/>
    <m/>
    <s v="GOTTLIEB MEGAN"/>
    <s v="E0003938"/>
    <s v="No"/>
    <s v="No"/>
    <s v="No"/>
    <s v="No"/>
    <s v="No"/>
    <s v="No"/>
    <s v="No"/>
    <s v="No"/>
    <n v="0"/>
    <s v="No"/>
    <s v="No"/>
    <x v="1"/>
    <n v="1"/>
    <s v=""/>
    <s v=""/>
    <s v=""/>
    <s v=""/>
    <s v=""/>
    <s v=""/>
    <s v=""/>
    <s v=""/>
    <s v=""/>
    <s v=""/>
    <s v=""/>
  </r>
  <r>
    <x v="0"/>
    <m/>
    <m/>
    <m/>
    <m/>
    <s v="GRANET PAUL DR."/>
    <m/>
    <m/>
    <m/>
    <m/>
    <s v="GRANET PAUL JASON MD"/>
    <s v="1 GUTHRIE SQ"/>
    <s v="SAYRE"/>
    <s v="PA"/>
    <s v="18840-1625"/>
    <s v="PHYSICIAN"/>
    <s v="M"/>
    <s v="No"/>
    <s v="MMIS"/>
    <s v="SouthRPU"/>
    <s v="P"/>
    <m/>
    <m/>
    <m/>
    <s v=""/>
    <s v="E0288929"/>
    <n v="1"/>
    <n v="1"/>
    <n v="0"/>
    <n v="0"/>
    <n v="0"/>
    <n v="0"/>
    <n v="0"/>
    <n v="0"/>
    <n v="0"/>
    <n v="1"/>
    <n v="0"/>
    <x v="1"/>
    <n v="1"/>
    <s v=""/>
    <s v=""/>
    <s v=""/>
    <s v=""/>
    <s v=""/>
    <s v=""/>
    <s v=""/>
    <s v=""/>
    <s v=""/>
    <s v=""/>
    <s v=""/>
  </r>
  <r>
    <x v="0"/>
    <m/>
    <m/>
    <m/>
    <m/>
    <s v="GRANT KATE"/>
    <m/>
    <m/>
    <m/>
    <m/>
    <s v="GRANT KATE A"/>
    <s v="125 MAIN ST"/>
    <s v="ONEONTA"/>
    <s v="NY"/>
    <s v="13820-2531"/>
    <s v="PHYSICIAN"/>
    <s v="M"/>
    <s v="No"/>
    <s v="MMIS"/>
    <s v="EastRPU"/>
    <s v="P"/>
    <m/>
    <m/>
    <m/>
    <s v=""/>
    <s v="E0338127"/>
    <n v="0"/>
    <n v="0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s v=""/>
    <s v=""/>
  </r>
  <r>
    <x v="0"/>
    <m/>
    <m/>
    <m/>
    <m/>
    <s v="NYS OFFICE OF MENTAL HEALTH"/>
    <m/>
    <m/>
    <m/>
    <m/>
    <s v="BINGHAMTON                 PC"/>
    <s v="ON GROUNDS"/>
    <s v="BINGHAMTON"/>
    <s v="NY"/>
    <s v="13904-1735"/>
    <s v="HOSPITAL"/>
    <s v="M"/>
    <s v="No"/>
    <s v="MMIS"/>
    <s v="SouthRPU"/>
    <s v="P"/>
    <m/>
    <m/>
    <m/>
    <s v=""/>
    <s v="E0251919"/>
    <n v="0"/>
    <n v="0"/>
    <n v="0"/>
    <n v="0"/>
    <n v="0"/>
    <n v="0"/>
    <n v="0"/>
    <n v="0"/>
    <n v="0"/>
    <n v="0"/>
    <n v="0"/>
    <x v="1"/>
    <s v=""/>
    <s v=""/>
    <s v=""/>
    <s v=""/>
    <n v="1"/>
    <s v=""/>
    <s v=""/>
    <s v=""/>
    <s v=""/>
    <s v=""/>
    <n v="1"/>
    <s v=""/>
  </r>
  <r>
    <x v="0"/>
    <m/>
    <m/>
    <m/>
    <m/>
    <s v="NYS OFFICE OF MENTAL HEALTH"/>
    <m/>
    <m/>
    <m/>
    <m/>
    <s v="BINGHAMTON                 PC"/>
    <s v="425 ROBINSON ST"/>
    <s v="BINGHAMTON"/>
    <s v="NY"/>
    <s v="13904-1735"/>
    <s v="HOSPITAL"/>
    <s v="M"/>
    <s v="No"/>
    <s v="MMIS"/>
    <s v="SouthRPU"/>
    <s v="P"/>
    <m/>
    <m/>
    <m/>
    <s v=""/>
    <s v="E0222785"/>
    <n v="0"/>
    <n v="0"/>
    <n v="0"/>
    <n v="0"/>
    <n v="0"/>
    <n v="0"/>
    <n v="0"/>
    <n v="0"/>
    <n v="0"/>
    <n v="0"/>
    <n v="0"/>
    <x v="1"/>
    <s v=""/>
    <s v=""/>
    <s v=""/>
    <s v=""/>
    <n v="1"/>
    <s v=""/>
    <s v=""/>
    <s v=""/>
    <s v=""/>
    <s v=""/>
    <n v="1"/>
    <s v=""/>
  </r>
  <r>
    <x v="0"/>
    <m/>
    <m/>
    <m/>
    <m/>
    <s v="GREER CHARLENE"/>
    <m/>
    <m/>
    <m/>
    <m/>
    <s v="GREER CHARLENE MARIE"/>
    <s v="33-57 HARRISON ST"/>
    <s v="JOHNSON CITY"/>
    <s v="NY"/>
    <s v="13790-2107"/>
    <s v="PHYSICIAN"/>
    <s v="M"/>
    <s v="No"/>
    <s v="MMIS"/>
    <s v="SouthRPU"/>
    <s v="P"/>
    <m/>
    <m/>
    <m/>
    <s v=""/>
    <s v="E0331574"/>
    <n v="1"/>
    <n v="1"/>
    <n v="0"/>
    <n v="1"/>
    <n v="1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GREGORIE ERIK DR."/>
    <m/>
    <m/>
    <m/>
    <m/>
    <s v="GREGORIE ERIK MARTIN MD"/>
    <s v="GUTHRIE SQUARE"/>
    <s v="SAYRE"/>
    <s v="PA"/>
    <s v="18840"/>
    <s v="PHYSICIAN"/>
    <s v="M"/>
    <s v="No"/>
    <s v="MMIS"/>
    <s v="SouthRPU"/>
    <s v="P"/>
    <m/>
    <m/>
    <m/>
    <s v=""/>
    <s v="E0110627"/>
    <n v="1"/>
    <n v="1"/>
    <n v="0"/>
    <n v="0"/>
    <n v="0"/>
    <n v="0"/>
    <n v="0"/>
    <n v="0"/>
    <n v="0"/>
    <n v="1"/>
    <n v="0"/>
    <x v="1"/>
    <n v="1"/>
    <s v=""/>
    <s v=""/>
    <s v=""/>
    <s v=""/>
    <s v=""/>
    <s v=""/>
    <s v=""/>
    <s v=""/>
    <s v=""/>
    <n v="1"/>
    <s v=""/>
  </r>
  <r>
    <x v="0"/>
    <m/>
    <m/>
    <m/>
    <m/>
    <s v="GRIFFIN JUDITH"/>
    <m/>
    <m/>
    <m/>
    <m/>
    <s v="GRIFFIN JUDITH LOUISE"/>
    <m/>
    <m/>
    <m/>
    <m/>
    <s v="PHYSICIAN"/>
    <s v="M"/>
    <s v="No"/>
    <s v="MMIS"/>
    <s v="NorthRPU"/>
    <s v="P"/>
    <m/>
    <m/>
    <m/>
    <s v="Griffin Judith"/>
    <s v="E0448678"/>
    <s v="No"/>
    <s v="No"/>
    <s v="No"/>
    <s v="No"/>
    <s v="No"/>
    <s v="No"/>
    <s v="No"/>
    <s v="No"/>
    <n v="0"/>
    <s v="No"/>
    <s v="No"/>
    <x v="1"/>
    <n v="1"/>
    <s v=""/>
    <s v=""/>
    <s v=""/>
    <s v=""/>
    <s v=""/>
    <s v=""/>
    <s v=""/>
    <s v=""/>
    <s v=""/>
    <n v="1"/>
    <s v=""/>
  </r>
  <r>
    <x v="1"/>
    <m/>
    <m/>
    <m/>
    <m/>
    <s v="GROMNIAK SUZANNE"/>
    <m/>
    <m/>
    <m/>
    <m/>
    <s v="GROMNIAK SUZANNE M"/>
    <s v="262 CONKLIN AVE"/>
    <s v="BINGHAMTON"/>
    <s v="NY"/>
    <s v="13903-2308"/>
    <s v="PHYSICIAN"/>
    <s v="M"/>
    <s v="No"/>
    <s v="MMIS"/>
    <s v="SouthRPU"/>
    <s v="P"/>
    <m/>
    <m/>
    <m/>
    <s v=""/>
    <s v="E0122254"/>
    <n v="1"/>
    <n v="1"/>
    <n v="0"/>
    <n v="1"/>
    <n v="1"/>
    <n v="0"/>
    <n v="0"/>
    <n v="0"/>
    <n v="1"/>
    <n v="0"/>
    <n v="0"/>
    <x v="2"/>
    <s v=""/>
    <s v=""/>
    <s v=""/>
    <s v=""/>
    <s v=""/>
    <s v=""/>
    <s v=""/>
    <s v=""/>
    <s v=""/>
    <s v=""/>
    <n v="1"/>
    <s v=""/>
  </r>
  <r>
    <x v="1"/>
    <m/>
    <m/>
    <m/>
    <m/>
    <s v="GROTON COMMUNITY HEALTH CARE CENTER INC"/>
    <m/>
    <m/>
    <m/>
    <m/>
    <s v="GROTON COMMUNITY HCC RCF"/>
    <s v="120 SYKES ST"/>
    <s v="GROTON"/>
    <s v="NY"/>
    <s v="13073-1231"/>
    <s v="LONG TERM CARE FACILITY"/>
    <s v="M"/>
    <s v="No"/>
    <s v="MMIS"/>
    <s v="NorthRPU"/>
    <s v="P"/>
    <m/>
    <m/>
    <m/>
    <s v=""/>
    <s v="E0251882"/>
    <n v="1"/>
    <n v="0"/>
    <n v="1"/>
    <n v="0"/>
    <n v="0"/>
    <n v="0"/>
    <n v="0"/>
    <n v="0"/>
    <n v="0"/>
    <n v="0"/>
    <n v="0"/>
    <x v="1"/>
    <s v=""/>
    <s v=""/>
    <s v=""/>
    <s v=""/>
    <s v=""/>
    <s v=""/>
    <n v="1"/>
    <s v=""/>
    <s v=""/>
    <s v=""/>
    <s v=""/>
    <s v=""/>
  </r>
  <r>
    <x v="0"/>
    <m/>
    <m/>
    <m/>
    <m/>
    <s v="FERRER GUILLERMO MR."/>
    <m/>
    <m/>
    <m/>
    <m/>
    <s v="FERRER GUILLERMO"/>
    <s v="6410 VETERANS AVE"/>
    <s v="BROOKLYN"/>
    <s v="NY"/>
    <s v="11234-5639"/>
    <s v="PHYSICIAN"/>
    <s v="M"/>
    <s v="No"/>
    <s v="MMIS"/>
    <s v="NorthRPU"/>
    <s v="P"/>
    <m/>
    <m/>
    <m/>
    <s v=""/>
    <s v="E0192561"/>
    <n v="1"/>
    <n v="1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GUIZANO MELISSA"/>
    <m/>
    <m/>
    <m/>
    <m/>
    <s v="GUIZANO MELISSA TAMONDONG MD"/>
    <s v="BINGHAMTON FAMILY"/>
    <s v="BINGHAMTON"/>
    <s v="NY"/>
    <s v="13903-1617"/>
    <s v="PHYSICIAN"/>
    <s v="M"/>
    <s v="No"/>
    <s v="MMIS"/>
    <s v="SouthRPU"/>
    <s v="P"/>
    <m/>
    <m/>
    <m/>
    <s v=""/>
    <s v="E0101833"/>
    <n v="1"/>
    <n v="1"/>
    <n v="0"/>
    <n v="1"/>
    <n v="1"/>
    <n v="0"/>
    <n v="0"/>
    <n v="0"/>
    <n v="1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SINGH GURDEEP"/>
    <m/>
    <m/>
    <m/>
    <m/>
    <s v="SINGH GURDEEP MD"/>
    <s v="169 RIVERSIDE DR"/>
    <s v="BINGHAMTON"/>
    <s v="NY"/>
    <s v="13905-4246"/>
    <s v="PHYSICIAN"/>
    <s v="M"/>
    <s v="No"/>
    <s v="MMIS"/>
    <s v="SouthRPU"/>
    <s v="P"/>
    <m/>
    <m/>
    <m/>
    <s v="Gurdeep Singh, MD"/>
    <s v="E0390286"/>
    <s v="No"/>
    <s v="No"/>
    <s v="No"/>
    <s v="No"/>
    <s v="No"/>
    <s v="No"/>
    <s v="No"/>
    <s v="No"/>
    <n v="0"/>
    <s v="No"/>
    <s v="No"/>
    <x v="1"/>
    <n v="1"/>
    <s v=""/>
    <s v=""/>
    <s v=""/>
    <s v=""/>
    <s v=""/>
    <s v=""/>
    <s v=""/>
    <s v=""/>
    <s v=""/>
    <n v="1"/>
    <s v=""/>
  </r>
  <r>
    <x v="0"/>
    <m/>
    <m/>
    <m/>
    <m/>
    <s v="GUSTAFSON THOMAS DR."/>
    <m/>
    <m/>
    <m/>
    <m/>
    <s v="GUSTAFSON THOMAS R  MD"/>
    <s v="1336 CEDAR ST"/>
    <s v="ELMIRA"/>
    <s v="NY"/>
    <s v="14904-2951"/>
    <s v="PHYSICIAN"/>
    <s v="M"/>
    <s v="No"/>
    <s v="MMIS"/>
    <s v="WestRPU"/>
    <s v="P"/>
    <m/>
    <m/>
    <m/>
    <s v=""/>
    <s v="E0174328"/>
    <n v="1"/>
    <n v="1"/>
    <n v="0"/>
    <n v="0"/>
    <n v="0"/>
    <n v="0"/>
    <n v="0"/>
    <n v="1"/>
    <n v="1"/>
    <n v="1"/>
    <n v="0"/>
    <x v="2"/>
    <s v=""/>
    <s v=""/>
    <s v=""/>
    <s v=""/>
    <s v=""/>
    <s v=""/>
    <s v=""/>
    <s v=""/>
    <s v=""/>
    <s v=""/>
    <n v="1"/>
    <s v=""/>
  </r>
  <r>
    <x v="0"/>
    <m/>
    <m/>
    <m/>
    <m/>
    <s v="GUTER MARVIN DR."/>
    <m/>
    <m/>
    <m/>
    <m/>
    <s v="GUTER MARVIN G MD"/>
    <s v="BINGHAMTON GENERAL"/>
    <s v="BINGHAMTON"/>
    <s v="NY"/>
    <s v="13903"/>
    <s v="PHYSICIAN"/>
    <s v="M"/>
    <s v="No"/>
    <s v="MMIS"/>
    <s v="SouthRPU"/>
    <s v="P"/>
    <m/>
    <m/>
    <m/>
    <s v="GUTER MARVIN DR."/>
    <s v="E0180754"/>
    <s v="No"/>
    <s v="No"/>
    <s v="No"/>
    <s v="No"/>
    <s v="No"/>
    <s v="No"/>
    <s v="No"/>
    <s v="No"/>
    <n v="0"/>
    <s v="No"/>
    <s v="No"/>
    <x v="1"/>
    <s v=""/>
    <s v=""/>
    <s v=""/>
    <s v=""/>
    <s v=""/>
    <s v=""/>
    <s v=""/>
    <s v=""/>
    <s v=""/>
    <s v=""/>
    <s v=""/>
    <n v="1"/>
  </r>
  <r>
    <x v="0"/>
    <m/>
    <m/>
    <m/>
    <m/>
    <s v="GUTHRIE MEDICAL GROUP, P.C."/>
    <m/>
    <m/>
    <m/>
    <m/>
    <s v="GUTHRIE  MEDICAL GROUP PC"/>
    <s v="1 GUTHRIE SQ"/>
    <s v="SAYRE"/>
    <s v="PA"/>
    <s v="18840-1625"/>
    <s v="MULTI-TYPE GROUP"/>
    <s v="M"/>
    <s v="No"/>
    <s v="MMIS"/>
    <s v="SouthRPU"/>
    <s v="P"/>
    <m/>
    <m/>
    <m/>
    <s v=""/>
    <s v="E0092118"/>
    <n v="1"/>
    <n v="1"/>
    <n v="0"/>
    <n v="0"/>
    <n v="0"/>
    <n v="0"/>
    <n v="0"/>
    <n v="1"/>
    <n v="0"/>
    <n v="1"/>
    <n v="0"/>
    <x v="1"/>
    <s v=""/>
    <s v=""/>
    <s v=""/>
    <s v=""/>
    <s v=""/>
    <s v=""/>
    <s v=""/>
    <s v=""/>
    <s v=""/>
    <s v=""/>
    <n v="1"/>
    <s v=""/>
  </r>
  <r>
    <x v="1"/>
    <m/>
    <m/>
    <m/>
    <m/>
    <s v="CORNING HOSPITAL"/>
    <m/>
    <m/>
    <m/>
    <m/>
    <s v="CORNING HOSP"/>
    <s v="1 GUTHRIE DR"/>
    <s v="CORNING"/>
    <s v="NY"/>
    <s v="14830-3696"/>
    <s v="HOSPITAL"/>
    <s v="M"/>
    <s v="No"/>
    <s v="MMIS"/>
    <s v="WestRPU"/>
    <s v="P"/>
    <m/>
    <m/>
    <m/>
    <s v=""/>
    <s v="E0263054"/>
    <n v="1"/>
    <n v="1"/>
    <n v="0"/>
    <n v="0"/>
    <n v="0"/>
    <n v="0"/>
    <n v="0"/>
    <n v="1"/>
    <n v="1"/>
    <n v="1"/>
    <n v="1"/>
    <x v="1"/>
    <s v=""/>
    <n v="1"/>
    <n v="1"/>
    <s v=""/>
    <s v=""/>
    <s v=""/>
    <s v=""/>
    <s v=""/>
    <s v=""/>
    <s v=""/>
    <n v="1"/>
    <s v=""/>
  </r>
  <r>
    <x v="0"/>
    <m/>
    <m/>
    <m/>
    <m/>
    <s v="GUTHRIE MEDICAL GROUP, P.C."/>
    <s v="1 GUTHRIE SQ"/>
    <s v="SAYRE"/>
    <s v="PA"/>
    <s v="188401625"/>
    <m/>
    <m/>
    <m/>
    <m/>
    <m/>
    <m/>
    <s v="M"/>
    <s v="No"/>
    <s v="NPI only"/>
    <s v="SouthRPU"/>
    <s v="P"/>
    <m/>
    <m/>
    <m/>
    <s v="GUTHRIE MEDICAL GROUP, P.C."/>
    <m/>
    <s v="No"/>
    <s v="No"/>
    <s v="No"/>
    <s v="No"/>
    <s v="No"/>
    <s v="No"/>
    <s v="No"/>
    <s v="No"/>
    <n v="0"/>
    <s v="No"/>
    <s v="No"/>
    <x v="1"/>
    <s v=""/>
    <s v=""/>
    <s v=""/>
    <s v=""/>
    <s v=""/>
    <s v=""/>
    <s v=""/>
    <s v=""/>
    <s v=""/>
    <s v=""/>
    <s v=""/>
    <n v="1"/>
  </r>
  <r>
    <x v="0"/>
    <m/>
    <m/>
    <m/>
    <m/>
    <s v="GUTMAN ALAN MR."/>
    <m/>
    <m/>
    <m/>
    <m/>
    <s v="GUTMAN ALAN J RPA"/>
    <s v="1302 E MAIN ST"/>
    <s v="ENDICOTT"/>
    <s v="NY"/>
    <s v="13760-5430"/>
    <s v="PHYSICIAN"/>
    <s v="M"/>
    <s v="No"/>
    <s v="MMIS"/>
    <s v="SouthRPU"/>
    <s v="P"/>
    <m/>
    <m/>
    <m/>
    <s v=""/>
    <s v="E0015820"/>
    <n v="1"/>
    <n v="1"/>
    <n v="0"/>
    <n v="1"/>
    <n v="1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HAAS CATHERINE MRS."/>
    <m/>
    <m/>
    <m/>
    <m/>
    <s v="HAAS CATHERINE A"/>
    <s v="33-57 HARRISON ST"/>
    <s v="JOHNSON CITY"/>
    <s v="NY"/>
    <s v="13790-2107"/>
    <s v="THERAPIST"/>
    <s v="M"/>
    <s v="No"/>
    <s v="MMIS"/>
    <s v="SouthRPU"/>
    <s v="P"/>
    <m/>
    <m/>
    <m/>
    <s v="HAAS CATHERINE MRS."/>
    <s v="E0358120"/>
    <s v="No"/>
    <s v="No"/>
    <s v="No"/>
    <s v="No"/>
    <s v="No"/>
    <s v="No"/>
    <s v="No"/>
    <s v="No"/>
    <n v="0"/>
    <s v="No"/>
    <s v="No"/>
    <x v="1"/>
    <s v=""/>
    <s v=""/>
    <s v=""/>
    <s v=""/>
    <s v=""/>
    <s v=""/>
    <s v=""/>
    <s v=""/>
    <s v=""/>
    <s v=""/>
    <s v=""/>
    <n v="1"/>
  </r>
  <r>
    <x v="1"/>
    <m/>
    <m/>
    <m/>
    <m/>
    <s v="HADWIN JEANNETTE MS."/>
    <m/>
    <m/>
    <m/>
    <m/>
    <s v="HADWIN JEANNETTE S"/>
    <s v="303 MAIN ST"/>
    <s v="BINGHAMTON"/>
    <s v="NY"/>
    <s v="13905-2539"/>
    <s v="PHYSICIAN"/>
    <s v="M"/>
    <s v="No"/>
    <s v="MMIS"/>
    <s v="SouthRPU"/>
    <s v="P"/>
    <m/>
    <m/>
    <m/>
    <s v=""/>
    <s v="E0067389"/>
    <n v="1"/>
    <n v="1"/>
    <n v="0"/>
    <n v="1"/>
    <n v="1"/>
    <n v="0"/>
    <n v="0"/>
    <n v="1"/>
    <n v="0"/>
    <n v="0"/>
    <n v="1"/>
    <x v="2"/>
    <s v=""/>
    <s v=""/>
    <s v=""/>
    <s v=""/>
    <s v=""/>
    <s v=""/>
    <s v=""/>
    <s v=""/>
    <s v=""/>
    <s v=""/>
    <n v="1"/>
    <s v=""/>
  </r>
  <r>
    <x v="0"/>
    <m/>
    <m/>
    <m/>
    <m/>
    <s v="HALLINAN KATHLEEN"/>
    <m/>
    <m/>
    <m/>
    <m/>
    <s v="HALLINAN KATHLEEN ANN MD"/>
    <s v="176 DENISON PKWY E"/>
    <s v="CORNING"/>
    <s v="NY"/>
    <s v="14830-2814"/>
    <s v="PHYSICIAN"/>
    <s v="M"/>
    <s v="No"/>
    <s v="MMIS"/>
    <s v="WestRPU"/>
    <s v="P"/>
    <m/>
    <m/>
    <m/>
    <s v=""/>
    <s v="E0102374"/>
    <n v="1"/>
    <n v="1"/>
    <n v="0"/>
    <n v="0"/>
    <n v="0"/>
    <n v="0"/>
    <n v="0"/>
    <n v="1"/>
    <n v="1"/>
    <n v="1"/>
    <n v="0"/>
    <x v="2"/>
    <s v=""/>
    <s v=""/>
    <s v=""/>
    <s v=""/>
    <s v=""/>
    <s v=""/>
    <s v=""/>
    <s v=""/>
    <s v=""/>
    <s v=""/>
    <n v="1"/>
    <s v=""/>
  </r>
  <r>
    <x v="0"/>
    <m/>
    <m/>
    <m/>
    <m/>
    <s v="HAMEED NOUMANA"/>
    <m/>
    <m/>
    <m/>
    <m/>
    <s v="HAMEED NOUMANA"/>
    <s v="33 MITCHELL AVENUE"/>
    <s v="BINGHAMTON"/>
    <s v="NY"/>
    <s v="13903-1617"/>
    <s v="PHYSICIAN"/>
    <s v="M"/>
    <s v="No"/>
    <s v="MMIS"/>
    <s v="SouthRPU"/>
    <s v="P"/>
    <m/>
    <m/>
    <m/>
    <s v=""/>
    <s v="E0298930"/>
    <n v="1"/>
    <n v="1"/>
    <n v="0"/>
    <n v="1"/>
    <n v="1"/>
    <n v="0"/>
    <n v="0"/>
    <n v="0"/>
    <n v="0"/>
    <n v="0"/>
    <n v="0"/>
    <x v="1"/>
    <n v="1"/>
    <s v=""/>
    <s v=""/>
    <s v=""/>
    <n v="1"/>
    <s v=""/>
    <s v=""/>
    <s v=""/>
    <s v=""/>
    <s v=""/>
    <s v=""/>
    <s v=""/>
  </r>
  <r>
    <x v="0"/>
    <m/>
    <m/>
    <m/>
    <m/>
    <s v="HAMMOUD WALID"/>
    <m/>
    <m/>
    <m/>
    <m/>
    <s v="HAMMOUD WALID S            MD"/>
    <m/>
    <s v="JOHNSON CITY"/>
    <s v="NY"/>
    <s v="13790-2597"/>
    <s v="PHYSICIAN"/>
    <s v="M"/>
    <s v="No"/>
    <s v="MMIS"/>
    <s v="SouthRPU"/>
    <s v="P"/>
    <m/>
    <m/>
    <m/>
    <s v=""/>
    <s v="E0262076"/>
    <n v="1"/>
    <n v="1"/>
    <n v="0"/>
    <n v="1"/>
    <n v="1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SMITH HANA DR."/>
    <m/>
    <m/>
    <m/>
    <m/>
    <s v="SMITH HANA"/>
    <s v="134 HOMER AVE"/>
    <s v="CORTLAND"/>
    <s v="NY"/>
    <s v="13045-1206"/>
    <s v="PHYSICIAN"/>
    <s v="M"/>
    <s v="No"/>
    <s v="MMIS"/>
    <s v="NorthRPU"/>
    <s v="P"/>
    <m/>
    <m/>
    <m/>
    <s v=""/>
    <s v="E0378662"/>
    <n v="1"/>
    <n v="1"/>
    <n v="0"/>
    <n v="0"/>
    <n v="1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1"/>
    <m/>
    <m/>
    <m/>
    <m/>
    <m/>
    <m/>
    <m/>
    <m/>
    <m/>
    <s v="HANDICAPPED CHILD ASSOC FSRI"/>
    <s v="FSR 1"/>
    <s v="BINGHAMTON"/>
    <s v="NY"/>
    <s v="13901"/>
    <s v="HOME HEALTH AGENCY"/>
    <s v="M"/>
    <s v="No"/>
    <s v="MMIS"/>
    <s v="SouthRPU"/>
    <s v="P"/>
    <m/>
    <m/>
    <m/>
    <s v="HANDICAPPED CHILD ASSOC FSRI"/>
    <s v="E0027915"/>
    <s v="No"/>
    <s v="No"/>
    <s v="No"/>
    <s v="No"/>
    <s v="No"/>
    <s v="No"/>
    <s v="No"/>
    <s v="No"/>
    <n v="0"/>
    <s v="No"/>
    <s v="No"/>
    <x v="1"/>
    <s v=""/>
    <s v=""/>
    <s v=""/>
    <s v=""/>
    <s v=""/>
    <s v=""/>
    <s v=""/>
    <s v=""/>
    <s v=""/>
    <s v=""/>
    <n v="1"/>
    <s v=""/>
  </r>
  <r>
    <x v="1"/>
    <m/>
    <m/>
    <m/>
    <m/>
    <m/>
    <m/>
    <m/>
    <m/>
    <m/>
    <s v="HANDICAPPED CHILD ASSOC RSP"/>
    <s v="18 BROAD ST"/>
    <s v="JOHNSON CITY"/>
    <s v="NY"/>
    <s v="13790-2106"/>
    <s v="HOME HEALTH AGENCY"/>
    <s v="M"/>
    <s v="No"/>
    <s v="MMIS"/>
    <s v="SouthRPU"/>
    <s v="P"/>
    <m/>
    <m/>
    <m/>
    <s v="HANDICAPPED CHILD ASSOC RSP"/>
    <s v="E0040975"/>
    <s v="No"/>
    <s v="No"/>
    <s v="No"/>
    <s v="No"/>
    <s v="No"/>
    <s v="No"/>
    <s v="No"/>
    <s v="No"/>
    <n v="0"/>
    <s v="No"/>
    <s v="No"/>
    <x v="1"/>
    <s v=""/>
    <s v=""/>
    <s v=""/>
    <s v=""/>
    <s v=""/>
    <s v=""/>
    <s v=""/>
    <s v=""/>
    <s v=""/>
    <s v=""/>
    <n v="1"/>
    <s v=""/>
  </r>
  <r>
    <x v="1"/>
    <m/>
    <m/>
    <m/>
    <m/>
    <m/>
    <m/>
    <m/>
    <m/>
    <m/>
    <s v="HANDICAPPED CHILD SO NY DAY"/>
    <s v="GROUP DAY HAB"/>
    <s v="JOHNSON CITY"/>
    <s v="NY"/>
    <s v="13790-2106"/>
    <s v="HOME HEALTH AGENCY"/>
    <s v="M"/>
    <s v="No"/>
    <s v="MMIS"/>
    <s v="SouthRPU"/>
    <s v="P"/>
    <m/>
    <m/>
    <m/>
    <s v="HANDICAPPED CHILD SO NY DAY"/>
    <s v="E0030261"/>
    <s v="No"/>
    <s v="No"/>
    <s v="No"/>
    <s v="No"/>
    <s v="No"/>
    <s v="No"/>
    <s v="No"/>
    <s v="No"/>
    <n v="0"/>
    <s v="No"/>
    <s v="No"/>
    <x v="1"/>
    <s v=""/>
    <s v=""/>
    <s v=""/>
    <s v=""/>
    <s v=""/>
    <s v=""/>
    <s v=""/>
    <s v=""/>
    <s v=""/>
    <s v=""/>
    <n v="1"/>
    <s v=""/>
  </r>
  <r>
    <x v="1"/>
    <m/>
    <m/>
    <m/>
    <m/>
    <m/>
    <m/>
    <m/>
    <m/>
    <m/>
    <s v="HANDICAPPED CHILD SO NY HCBS"/>
    <s v="18 BROAD ST # CCP8012"/>
    <s v="JOHNSON CITY"/>
    <s v="NY"/>
    <s v="13790-2106"/>
    <s v="HOME HEALTH AGENCY"/>
    <s v="M"/>
    <s v="No"/>
    <s v="MMIS"/>
    <s v="SouthRPU"/>
    <s v="P"/>
    <m/>
    <m/>
    <m/>
    <s v="HANDICAPPED CHILD SO NY HCBS"/>
    <s v="E0126354"/>
    <s v="No"/>
    <s v="No"/>
    <s v="No"/>
    <s v="No"/>
    <s v="No"/>
    <s v="No"/>
    <s v="No"/>
    <s v="No"/>
    <n v="0"/>
    <s v="No"/>
    <s v="No"/>
    <x v="1"/>
    <s v=""/>
    <s v=""/>
    <s v=""/>
    <s v=""/>
    <s v=""/>
    <s v=""/>
    <s v=""/>
    <s v=""/>
    <s v=""/>
    <s v=""/>
    <n v="1"/>
    <s v=""/>
  </r>
  <r>
    <x v="1"/>
    <m/>
    <m/>
    <m/>
    <m/>
    <m/>
    <m/>
    <m/>
    <m/>
    <m/>
    <s v="HANDICAPPED CHILD SO NY SPV"/>
    <s v="SUPERVISED"/>
    <s v="JOHNSON CITY"/>
    <s v="NY"/>
    <s v="13790-2106"/>
    <s v="HOME HEALTH AGENCY"/>
    <s v="M"/>
    <s v="No"/>
    <s v="MMIS"/>
    <s v="SouthRPU"/>
    <s v="P"/>
    <m/>
    <m/>
    <m/>
    <s v="HANDICAPPED CHILD SO NY SPV"/>
    <s v="E0075391"/>
    <s v="No"/>
    <s v="No"/>
    <s v="No"/>
    <s v="No"/>
    <s v="No"/>
    <s v="No"/>
    <s v="No"/>
    <s v="No"/>
    <n v="0"/>
    <s v="No"/>
    <s v="No"/>
    <x v="1"/>
    <s v=""/>
    <s v=""/>
    <s v=""/>
    <s v=""/>
    <s v=""/>
    <s v=""/>
    <s v=""/>
    <s v=""/>
    <s v=""/>
    <s v=""/>
    <n v="1"/>
    <s v=""/>
  </r>
  <r>
    <x v="1"/>
    <m/>
    <m/>
    <m/>
    <m/>
    <m/>
    <m/>
    <m/>
    <m/>
    <m/>
    <s v="HANDICAPPED CHILDRENS ASSN SMP"/>
    <s v="18 BROAD ST"/>
    <s v="JOHNSON CITY"/>
    <s v="NY"/>
    <s v="13790-2106"/>
    <s v="HOME HEALTH AGENCY"/>
    <s v="M"/>
    <s v="No"/>
    <s v="MMIS"/>
    <s v="SouthRPU"/>
    <s v="P"/>
    <m/>
    <m/>
    <m/>
    <s v=""/>
    <s v="E0373573"/>
    <n v="1"/>
    <n v="0"/>
    <n v="0"/>
    <n v="1"/>
    <n v="0"/>
    <n v="0"/>
    <n v="0"/>
    <n v="0"/>
    <n v="0"/>
    <n v="0"/>
    <n v="0"/>
    <x v="1"/>
    <s v=""/>
    <s v=""/>
    <s v=""/>
    <s v=""/>
    <s v=""/>
    <s v=""/>
    <s v=""/>
    <s v=""/>
    <s v=""/>
    <s v=""/>
    <n v="1"/>
    <s v=""/>
  </r>
  <r>
    <x v="1"/>
    <m/>
    <m/>
    <m/>
    <m/>
    <s v="HANDICAPPED CHILDREN'S ASSOCIATION"/>
    <m/>
    <m/>
    <m/>
    <m/>
    <s v="HANDICAPPED CHILDRENS ASSOC OF SOUT"/>
    <s v="225 FRONT ST STE 1"/>
    <s v="BINGHAMTON"/>
    <s v="NY"/>
    <s v="13905-2448"/>
    <s v="MULTI-TYPE"/>
    <s v="M"/>
    <s v="No"/>
    <s v="MMIS"/>
    <s v="SouthRPU"/>
    <s v="P"/>
    <m/>
    <m/>
    <m/>
    <s v="HANDICAPPED CHILDREN'S ASSOCIATION"/>
    <s v="E0340786"/>
    <s v="No"/>
    <s v="No"/>
    <s v="No"/>
    <s v="No"/>
    <s v="No"/>
    <s v="No"/>
    <s v="No"/>
    <s v="No"/>
    <n v="0"/>
    <s v="No"/>
    <s v="No"/>
    <x v="1"/>
    <s v=""/>
    <s v=""/>
    <n v="1"/>
    <s v=""/>
    <s v=""/>
    <s v=""/>
    <s v=""/>
    <s v=""/>
    <s v=""/>
    <s v=""/>
    <n v="1"/>
    <s v=""/>
  </r>
  <r>
    <x v="0"/>
    <m/>
    <m/>
    <m/>
    <m/>
    <s v="HARDI UMAR DR."/>
    <m/>
    <m/>
    <m/>
    <m/>
    <s v="HARDI UMAR MD"/>
    <s v="169 RIVERSIDE DR"/>
    <s v="BINGHAMTON"/>
    <s v="NY"/>
    <s v="13905-4198"/>
    <s v="PHYSICIAN"/>
    <s v="M"/>
    <s v="No"/>
    <s v="MMIS"/>
    <s v="SouthRPU"/>
    <s v="P"/>
    <m/>
    <m/>
    <m/>
    <s v="HARDI UMAR DR."/>
    <s v="E0038158"/>
    <s v="No"/>
    <s v="No"/>
    <s v="No"/>
    <s v="No"/>
    <s v="No"/>
    <s v="No"/>
    <s v="No"/>
    <s v="No"/>
    <n v="0"/>
    <s v="No"/>
    <s v="No"/>
    <x v="2"/>
    <n v="1"/>
    <s v=""/>
    <s v=""/>
    <s v=""/>
    <s v=""/>
    <s v=""/>
    <s v=""/>
    <s v=""/>
    <s v=""/>
    <s v=""/>
    <s v=""/>
    <s v=""/>
  </r>
  <r>
    <x v="0"/>
    <m/>
    <m/>
    <m/>
    <m/>
    <s v="HARDING KURT"/>
    <m/>
    <m/>
    <m/>
    <m/>
    <s v="HARDING KURT ROBERT"/>
    <s v="415 E MAIN ST"/>
    <s v="ENDICOTT"/>
    <s v="NY"/>
    <s v="13760-4925"/>
    <s v="PHYSICIAN"/>
    <s v="M"/>
    <s v="No"/>
    <s v="MMIS"/>
    <s v="SouthRPU"/>
    <s v="P"/>
    <m/>
    <m/>
    <m/>
    <s v="HARDING KURT"/>
    <s v="E0173310"/>
    <s v="No"/>
    <s v="No"/>
    <s v="No"/>
    <s v="No"/>
    <s v="No"/>
    <s v="No"/>
    <s v="No"/>
    <s v="No"/>
    <n v="0"/>
    <s v="No"/>
    <s v="No"/>
    <x v="2"/>
    <n v="1"/>
    <s v=""/>
    <s v=""/>
    <s v=""/>
    <s v=""/>
    <s v=""/>
    <s v=""/>
    <s v=""/>
    <s v=""/>
    <s v=""/>
    <n v="1"/>
    <s v=""/>
  </r>
  <r>
    <x v="0"/>
    <m/>
    <m/>
    <m/>
    <m/>
    <s v="HARPER YUSUF DR."/>
    <m/>
    <m/>
    <m/>
    <m/>
    <s v="HARPER YUSUF"/>
    <s v="CHENANGO MEM HOSP"/>
    <s v="NORWICH"/>
    <s v="NY"/>
    <s v="13815-1097"/>
    <s v="PHYSICIAN"/>
    <s v="M"/>
    <s v="No"/>
    <s v="MMIS"/>
    <s v="EastRPU"/>
    <s v="P"/>
    <m/>
    <m/>
    <m/>
    <s v=""/>
    <s v="E0132667"/>
    <n v="1"/>
    <n v="1"/>
    <n v="0"/>
    <n v="1"/>
    <n v="1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HARPST LISA DR."/>
    <m/>
    <m/>
    <m/>
    <m/>
    <s v="HARPST LISA LYNNELLE MD"/>
    <s v="GUTHRIE CLINIC"/>
    <s v="SAYRE"/>
    <s v="PA"/>
    <s v="18840"/>
    <s v="PHYSICIAN"/>
    <s v="M"/>
    <s v="No"/>
    <s v="MMIS"/>
    <s v="SouthRPU"/>
    <s v="P"/>
    <m/>
    <m/>
    <m/>
    <s v=""/>
    <s v="E0107717"/>
    <n v="1"/>
    <n v="1"/>
    <n v="0"/>
    <n v="0"/>
    <n v="0"/>
    <n v="0"/>
    <n v="0"/>
    <n v="1"/>
    <n v="1"/>
    <n v="1"/>
    <n v="0"/>
    <x v="2"/>
    <s v=""/>
    <s v=""/>
    <s v=""/>
    <s v=""/>
    <n v="1"/>
    <s v=""/>
    <s v=""/>
    <s v=""/>
    <s v=""/>
    <s v=""/>
    <n v="1"/>
    <s v=""/>
  </r>
  <r>
    <x v="0"/>
    <m/>
    <m/>
    <m/>
    <m/>
    <s v="HARRIS JONATHAN"/>
    <m/>
    <m/>
    <m/>
    <m/>
    <s v="HARRIS JONATHAN A"/>
    <s v="415 HOOPER RD"/>
    <s v="ENDWELL"/>
    <s v="NY"/>
    <s v="13760-3698"/>
    <s v="PHYSICIAN"/>
    <s v="M"/>
    <s v="No"/>
    <s v="MMIS"/>
    <s v="SouthRPU"/>
    <s v="P"/>
    <m/>
    <m/>
    <m/>
    <s v="HARRIS JONATHAN"/>
    <s v="E0243908"/>
    <s v="No"/>
    <s v="No"/>
    <s v="No"/>
    <s v="No"/>
    <s v="No"/>
    <s v="No"/>
    <s v="No"/>
    <s v="No"/>
    <n v="0"/>
    <s v="No"/>
    <s v="No"/>
    <x v="2"/>
    <s v=""/>
    <s v=""/>
    <s v=""/>
    <s v=""/>
    <s v=""/>
    <s v=""/>
    <s v=""/>
    <s v=""/>
    <s v=""/>
    <s v=""/>
    <n v="1"/>
    <s v=""/>
  </r>
  <r>
    <x v="0"/>
    <m/>
    <m/>
    <m/>
    <m/>
    <s v="HARRIS MARC"/>
    <m/>
    <m/>
    <m/>
    <m/>
    <s v="HARRIS MARC STERLING"/>
    <s v="GUTHRIE SQUARE"/>
    <s v="SAYRE"/>
    <s v="PA"/>
    <s v="18840-1625"/>
    <s v="PHYSICIAN"/>
    <s v="M"/>
    <s v="No"/>
    <s v="MMIS"/>
    <s v="SouthRPU"/>
    <s v="P"/>
    <m/>
    <m/>
    <m/>
    <s v=""/>
    <s v="E0078662"/>
    <n v="1"/>
    <n v="1"/>
    <n v="0"/>
    <n v="0"/>
    <n v="0"/>
    <n v="0"/>
    <n v="0"/>
    <n v="0"/>
    <n v="0"/>
    <n v="1"/>
    <n v="0"/>
    <x v="1"/>
    <n v="1"/>
    <s v=""/>
    <s v=""/>
    <s v=""/>
    <s v=""/>
    <s v=""/>
    <s v=""/>
    <s v=""/>
    <s v=""/>
    <s v=""/>
    <s v=""/>
    <s v=""/>
  </r>
  <r>
    <x v="0"/>
    <m/>
    <m/>
    <m/>
    <m/>
    <s v="HARRISON MARZELLA"/>
    <m/>
    <m/>
    <m/>
    <m/>
    <s v="HARRISON MARZELLA J"/>
    <s v="415 HOOPER RD"/>
    <s v="ENDWELL"/>
    <s v="NY"/>
    <s v="13760-3646"/>
    <s v="PHYSICIAN"/>
    <s v="M"/>
    <s v="No"/>
    <s v="MMIS"/>
    <s v="SouthRPU"/>
    <s v="P"/>
    <m/>
    <m/>
    <m/>
    <s v=""/>
    <s v="E0331990"/>
    <n v="1"/>
    <n v="1"/>
    <n v="0"/>
    <n v="1"/>
    <n v="1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HARTMAN RICKY DR."/>
    <m/>
    <m/>
    <m/>
    <m/>
    <s v="HARTMAN RICKY E"/>
    <s v="1 GUTHRIE SQ"/>
    <s v="SAYRE"/>
    <s v="PA"/>
    <s v="18840-1625"/>
    <s v="MULTI-TYPE"/>
    <s v="M"/>
    <s v="No"/>
    <s v="MMIS"/>
    <s v="SouthRPU"/>
    <s v="P"/>
    <m/>
    <m/>
    <m/>
    <s v=""/>
    <s v="E0320209"/>
    <n v="1"/>
    <n v="1"/>
    <n v="0"/>
    <n v="0"/>
    <n v="0"/>
    <n v="0"/>
    <n v="0"/>
    <n v="0"/>
    <n v="0"/>
    <n v="1"/>
    <n v="0"/>
    <x v="1"/>
    <n v="1"/>
    <s v=""/>
    <s v=""/>
    <s v=""/>
    <s v=""/>
    <s v=""/>
    <s v=""/>
    <s v=""/>
    <s v=""/>
    <s v=""/>
    <n v="1"/>
    <s v=""/>
  </r>
  <r>
    <x v="0"/>
    <m/>
    <m/>
    <m/>
    <m/>
    <s v="HARVEY DARREL"/>
    <m/>
    <m/>
    <m/>
    <m/>
    <s v="HARVEY DARREL JAMES RPT"/>
    <s v="91 CHENANGO BRIDGE RD"/>
    <s v="BINGHAMTON"/>
    <s v="NY"/>
    <s v="13901-1293"/>
    <s v="THERAPIST"/>
    <s v="M"/>
    <s v="No"/>
    <s v="MMIS"/>
    <s v="SouthRPU"/>
    <s v="P"/>
    <m/>
    <m/>
    <m/>
    <s v="HARVEY DARREL"/>
    <s v="E0283606"/>
    <s v="No"/>
    <s v="No"/>
    <s v="No"/>
    <s v="No"/>
    <s v="No"/>
    <s v="No"/>
    <s v="No"/>
    <s v="No"/>
    <n v="0"/>
    <s v="No"/>
    <s v="No"/>
    <x v="1"/>
    <n v="1"/>
    <s v=""/>
    <s v=""/>
    <s v=""/>
    <s v=""/>
    <s v=""/>
    <s v=""/>
    <s v=""/>
    <s v=""/>
    <s v=""/>
    <s v=""/>
    <s v=""/>
  </r>
  <r>
    <x v="0"/>
    <m/>
    <m/>
    <m/>
    <m/>
    <s v="ZAKARIYYA HASAN"/>
    <m/>
    <m/>
    <m/>
    <m/>
    <s v="ZAKARIYYA HASAN MD"/>
    <s v="134 HOMER AVE"/>
    <s v="CORTLAND"/>
    <s v="NY"/>
    <s v="13045-1206"/>
    <s v="PHYSICIAN"/>
    <s v="M"/>
    <s v="No"/>
    <s v="MMIS"/>
    <s v="NorthRPU"/>
    <s v="P"/>
    <m/>
    <m/>
    <m/>
    <s v=""/>
    <s v="E0210211"/>
    <n v="1"/>
    <n v="1"/>
    <n v="0"/>
    <n v="0"/>
    <n v="1"/>
    <n v="0"/>
    <n v="0"/>
    <n v="0"/>
    <n v="0"/>
    <n v="0"/>
    <n v="0"/>
    <x v="2"/>
    <n v="1"/>
    <s v=""/>
    <s v=""/>
    <s v=""/>
    <s v=""/>
    <s v=""/>
    <s v=""/>
    <s v=""/>
    <s v=""/>
    <s v=""/>
    <n v="1"/>
    <s v=""/>
  </r>
  <r>
    <x v="0"/>
    <m/>
    <m/>
    <m/>
    <m/>
    <s v="HASSIG STEVEN DR."/>
    <m/>
    <m/>
    <m/>
    <m/>
    <s v="HASSIG STEVEN ROBERT MD"/>
    <s v="2147 EASTERN PKWY"/>
    <s v="SCHENECTADY"/>
    <s v="NY"/>
    <s v="12309-6350"/>
    <s v="PHYSICIAN"/>
    <s v="M"/>
    <s v="No"/>
    <s v="MMIS"/>
    <s v="SouthRPU"/>
    <s v="P"/>
    <m/>
    <m/>
    <m/>
    <s v="HASSIG STEVEN DR."/>
    <s v="E0181142"/>
    <s v="No"/>
    <s v="No"/>
    <s v="No"/>
    <s v="No"/>
    <s v="No"/>
    <s v="No"/>
    <s v="No"/>
    <s v="No"/>
    <n v="0"/>
    <s v="No"/>
    <s v="No"/>
    <x v="1"/>
    <n v="1"/>
    <s v=""/>
    <s v=""/>
    <s v=""/>
    <s v=""/>
    <s v=""/>
    <s v=""/>
    <s v=""/>
    <s v=""/>
    <s v=""/>
    <n v="1"/>
    <s v=""/>
  </r>
  <r>
    <x v="0"/>
    <m/>
    <m/>
    <m/>
    <m/>
    <s v="HASTINGS KEVIN"/>
    <m/>
    <m/>
    <m/>
    <m/>
    <s v="HASTINGS KEVIN LEE"/>
    <s v="4435 SENECA RD"/>
    <s v="TRUMANSBURG"/>
    <s v="NY"/>
    <s v="14886-9201"/>
    <s v="PHYSICIAN"/>
    <s v="M"/>
    <s v="No"/>
    <s v="MMIS"/>
    <s v="NorthRPU"/>
    <s v="P"/>
    <m/>
    <m/>
    <m/>
    <s v="Hastings III Kevin "/>
    <s v="E0410681"/>
    <s v="No"/>
    <s v="No"/>
    <s v="No"/>
    <s v="No"/>
    <s v="No"/>
    <s v="No"/>
    <s v="No"/>
    <s v="No"/>
    <n v="0"/>
    <s v="No"/>
    <s v="No"/>
    <x v="2"/>
    <s v=""/>
    <s v=""/>
    <s v=""/>
    <s v=""/>
    <s v=""/>
    <s v=""/>
    <s v=""/>
    <s v=""/>
    <s v=""/>
    <s v=""/>
    <n v="1"/>
    <s v=""/>
  </r>
  <r>
    <x v="0"/>
    <m/>
    <m/>
    <m/>
    <m/>
    <s v="HATALA PETER"/>
    <m/>
    <m/>
    <m/>
    <m/>
    <s v="HATALA PETER"/>
    <s v="10-42 MITCHELL AVE"/>
    <s v="BINGHAMTON"/>
    <s v="NY"/>
    <s v="13903-1617"/>
    <s v="DENTIST"/>
    <s v="M"/>
    <s v="No"/>
    <s v="MMIS"/>
    <s v="SouthRPU"/>
    <s v="P"/>
    <m/>
    <m/>
    <m/>
    <s v=""/>
    <s v="E0323192"/>
    <n v="1"/>
    <n v="1"/>
    <n v="0"/>
    <n v="1"/>
    <n v="1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HATCH KAREN"/>
    <m/>
    <m/>
    <m/>
    <m/>
    <s v="HATCH KAREN MARIE"/>
    <s v="30 HARRISON ST STE 340"/>
    <s v="JOHNSON CITY"/>
    <s v="NY"/>
    <s v="13790-2162"/>
    <s v="PHYSICIAN"/>
    <s v="M"/>
    <s v="No"/>
    <s v="MMIS"/>
    <s v="SouthRPU"/>
    <s v="P"/>
    <m/>
    <m/>
    <m/>
    <s v=""/>
    <s v="E0070097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HAVTUR ASHLEY"/>
    <m/>
    <m/>
    <m/>
    <m/>
    <s v="HAVTUR ASHLEY MARIE"/>
    <s v="601 RIVERSIDE DR"/>
    <s v="JOHNSON CITY"/>
    <s v="NY"/>
    <s v="13790-2544"/>
    <s v="PHYSICIAN"/>
    <s v="M"/>
    <s v="No"/>
    <s v="MMIS"/>
    <s v="SouthRPU"/>
    <s v="P"/>
    <m/>
    <m/>
    <m/>
    <s v=""/>
    <s v="E0326552"/>
    <n v="0"/>
    <n v="0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HAWKES KATHRYN"/>
    <m/>
    <m/>
    <m/>
    <m/>
    <s v="HAWKES KATHRYN CAROL"/>
    <m/>
    <m/>
    <m/>
    <m/>
    <s v="PHYSICIAN"/>
    <s v="M"/>
    <s v="No"/>
    <s v="MMIS"/>
    <s v="SouthRPU"/>
    <s v="P"/>
    <m/>
    <m/>
    <m/>
    <s v="HAWKES KATHRYN"/>
    <s v="E0436274"/>
    <s v="No"/>
    <s v="No"/>
    <s v="No"/>
    <s v="No"/>
    <s v="No"/>
    <s v="No"/>
    <s v="No"/>
    <s v="No"/>
    <n v="0"/>
    <s v="No"/>
    <s v="No"/>
    <x v="2"/>
    <n v="1"/>
    <s v=""/>
    <s v=""/>
    <s v=""/>
    <s v=""/>
    <s v=""/>
    <s v=""/>
    <s v=""/>
    <s v=""/>
    <s v=""/>
    <s v=""/>
    <s v=""/>
  </r>
  <r>
    <x v="0"/>
    <m/>
    <m/>
    <m/>
    <m/>
    <s v="HAYES JAMES"/>
    <m/>
    <m/>
    <m/>
    <m/>
    <s v="HAYES JAMES DALTON II"/>
    <s v="55 MAIN ST"/>
    <s v="BINGHAMTON"/>
    <s v="NY"/>
    <s v="13905-3003"/>
    <s v="PHYSICIAN"/>
    <s v="M"/>
    <s v="No"/>
    <s v="MMIS"/>
    <s v="SouthRPU"/>
    <s v="P"/>
    <m/>
    <m/>
    <m/>
    <s v=""/>
    <s v="E0197315"/>
    <n v="1"/>
    <n v="1"/>
    <n v="0"/>
    <n v="0"/>
    <n v="0"/>
    <n v="0"/>
    <n v="0"/>
    <n v="0"/>
    <n v="0"/>
    <n v="1"/>
    <n v="0"/>
    <x v="1"/>
    <n v="1"/>
    <s v=""/>
    <s v=""/>
    <s v=""/>
    <s v=""/>
    <s v=""/>
    <s v=""/>
    <s v=""/>
    <s v=""/>
    <s v=""/>
    <s v=""/>
    <s v=""/>
  </r>
  <r>
    <x v="1"/>
    <m/>
    <m/>
    <m/>
    <m/>
    <s v="HAYES MICHAEL DR."/>
    <m/>
    <m/>
    <m/>
    <m/>
    <s v="HAYES MICHAEL FRANK DO"/>
    <s v="OLEAN MEDICAL GRP"/>
    <s v="OLEAN"/>
    <s v="NY"/>
    <s v="14760-1500"/>
    <s v="PHYSICIAN"/>
    <s v="M"/>
    <s v="No"/>
    <s v="MMIS"/>
    <s v="SouthRPU"/>
    <s v="P"/>
    <m/>
    <m/>
    <m/>
    <s v="HAYES MICHAEL DR."/>
    <s v="E0124722"/>
    <s v="No"/>
    <s v="No"/>
    <s v="No"/>
    <s v="No"/>
    <s v="No"/>
    <s v="No"/>
    <s v="No"/>
    <s v="No"/>
    <n v="0"/>
    <s v="No"/>
    <s v="No"/>
    <x v="2"/>
    <n v="1"/>
    <s v=""/>
    <s v=""/>
    <s v=""/>
    <s v=""/>
    <s v=""/>
    <s v=""/>
    <s v=""/>
    <s v=""/>
    <s v=""/>
    <n v="1"/>
    <s v=""/>
  </r>
  <r>
    <x v="0"/>
    <m/>
    <m/>
    <m/>
    <m/>
    <s v="HEETDERKS GERRIT DR."/>
    <m/>
    <m/>
    <m/>
    <m/>
    <s v="HEETDERKS GERRIT W"/>
    <s v="4435 SENECA RD"/>
    <s v="TRUMANSBURG"/>
    <s v="NY"/>
    <s v="14886-9201"/>
    <s v="PHYSICIAN"/>
    <s v="M"/>
    <s v="No"/>
    <s v="MMIS"/>
    <s v="NorthRPU"/>
    <s v="P"/>
    <m/>
    <m/>
    <m/>
    <s v="Heetderks Gerrit"/>
    <s v="E0409012"/>
    <s v="No"/>
    <s v="No"/>
    <s v="No"/>
    <s v="No"/>
    <s v="No"/>
    <s v="No"/>
    <s v="No"/>
    <s v="No"/>
    <n v="0"/>
    <s v="No"/>
    <s v="No"/>
    <x v="2"/>
    <n v="1"/>
    <s v=""/>
    <s v=""/>
    <s v=""/>
    <s v=""/>
    <s v=""/>
    <s v=""/>
    <s v=""/>
    <s v=""/>
    <s v=""/>
    <n v="1"/>
    <s v=""/>
  </r>
  <r>
    <x v="0"/>
    <m/>
    <m/>
    <m/>
    <m/>
    <s v="HEIDELBERGER SARA"/>
    <m/>
    <m/>
    <m/>
    <m/>
    <s v="HEIDELBERGER SARA MARIE"/>
    <s v="301 PROSPECT AVE"/>
    <s v="SYRACUSE"/>
    <s v="NY"/>
    <s v="13203-1807"/>
    <s v="PHYSICIAN"/>
    <s v="M"/>
    <s v="No"/>
    <s v="MMIS"/>
    <s v="NorthRPU"/>
    <s v="P"/>
    <m/>
    <m/>
    <m/>
    <s v=""/>
    <s v="E0125400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1"/>
    <m/>
    <m/>
    <m/>
    <m/>
    <s v="WILSON HEIDI"/>
    <m/>
    <m/>
    <m/>
    <m/>
    <s v="WILSON HEIDI R MD"/>
    <s v="164 STATE ROUTE 224"/>
    <s v="VAN ETTEN"/>
    <s v="NY"/>
    <s v="14889-9723"/>
    <s v="PHYSICIAN"/>
    <s v="M"/>
    <s v="No"/>
    <s v="MMIS"/>
    <s v="SouthRPU"/>
    <s v="P"/>
    <m/>
    <m/>
    <m/>
    <s v="Heidi R. Wilson, MD"/>
    <s v="E0035373"/>
    <s v="No"/>
    <s v="No"/>
    <s v="No"/>
    <s v="No"/>
    <s v="No"/>
    <s v="No"/>
    <s v="No"/>
    <s v="No"/>
    <n v="0"/>
    <s v="No"/>
    <s v="No"/>
    <x v="2"/>
    <s v=""/>
    <s v=""/>
    <s v=""/>
    <s v=""/>
    <s v=""/>
    <s v=""/>
    <s v=""/>
    <s v=""/>
    <s v=""/>
    <s v=""/>
    <n v="1"/>
    <s v=""/>
  </r>
  <r>
    <x v="0"/>
    <m/>
    <m/>
    <m/>
    <m/>
    <s v="HEKTOR MATTHEW MR."/>
    <m/>
    <m/>
    <m/>
    <m/>
    <s v="HEKTOR MATTHEW S"/>
    <s v="276-280 ROBINSON ST"/>
    <s v="BINGHAMTON"/>
    <s v="NY"/>
    <s v="13904-1659"/>
    <s v="PHYSICIAN"/>
    <s v="M"/>
    <s v="No"/>
    <s v="MMIS"/>
    <s v="SouthRPU"/>
    <s v="P"/>
    <m/>
    <m/>
    <m/>
    <s v="HEKTOR MATTHEW MR."/>
    <s v="E0378590"/>
    <s v="No"/>
    <s v="No"/>
    <s v="No"/>
    <s v="No"/>
    <s v="No"/>
    <s v="No"/>
    <s v="No"/>
    <s v="No"/>
    <n v="0"/>
    <s v="No"/>
    <s v="No"/>
    <x v="1"/>
    <n v="1"/>
    <s v=""/>
    <s v=""/>
    <s v=""/>
    <s v=""/>
    <s v=""/>
    <s v=""/>
    <s v=""/>
    <s v=""/>
    <s v=""/>
    <n v="1"/>
    <s v=""/>
  </r>
  <r>
    <x v="0"/>
    <m/>
    <m/>
    <m/>
    <m/>
    <s v="LONGACRE-PRICE HELENE DR."/>
    <m/>
    <m/>
    <m/>
    <m/>
    <s v="LONGACRE-PRICE HELENE C MD"/>
    <s v="9578 STATE ROUTE 434"/>
    <s v="VESTAL"/>
    <s v="NY"/>
    <s v="13850-1070"/>
    <s v="PHYSICIAN"/>
    <s v="M"/>
    <s v="No"/>
    <s v="MMIS"/>
    <s v="SouthRPU"/>
    <s v="P"/>
    <m/>
    <m/>
    <m/>
    <s v=""/>
    <s v="E0081223"/>
    <n v="1"/>
    <n v="1"/>
    <n v="0"/>
    <n v="1"/>
    <n v="1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s v="P.O. Box 588 425 Pennsylvania Ave"/>
    <s v="Elmira"/>
    <s v="NY"/>
    <s v="14902"/>
    <m/>
    <m/>
    <m/>
    <m/>
    <m/>
    <m/>
    <m/>
    <m/>
    <m/>
    <m/>
    <m/>
    <s v="M"/>
    <s v="No"/>
    <s v="No NPI or MMIS"/>
    <s v="WestRPU"/>
    <s v="P"/>
    <m/>
    <m/>
    <m/>
    <s v="hemung County Department of Aging and Long Term Care"/>
    <m/>
    <s v="No"/>
    <s v="No"/>
    <s v="No"/>
    <s v="No"/>
    <s v="No"/>
    <s v="No"/>
    <s v="No"/>
    <s v="No"/>
    <n v="0"/>
    <s v="No"/>
    <s v="No"/>
    <x v="1"/>
    <s v=""/>
    <s v=""/>
    <s v=""/>
    <s v=""/>
    <s v=""/>
    <s v=""/>
    <s v=""/>
    <s v=""/>
    <s v=""/>
    <n v="1"/>
    <s v=""/>
    <s v=""/>
  </r>
  <r>
    <x v="0"/>
    <m/>
    <m/>
    <m/>
    <m/>
    <s v="DAVID HENRY"/>
    <m/>
    <m/>
    <m/>
    <m/>
    <s v="DAVID HENRY EDWARD DO"/>
    <s v="1095 COMMONS AVE"/>
    <s v="CORTLAND"/>
    <s v="NY"/>
    <s v="13045-1669"/>
    <s v="PHYSICIAN"/>
    <s v="M"/>
    <s v="No"/>
    <s v="MMIS"/>
    <s v="NorthRPU"/>
    <s v="P"/>
    <m/>
    <m/>
    <m/>
    <s v=""/>
    <s v="E0027434"/>
    <n v="1"/>
    <n v="1"/>
    <n v="0"/>
    <n v="0"/>
    <n v="1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GERSON HENRY"/>
    <m/>
    <m/>
    <m/>
    <m/>
    <s v="GERSON HENRY DAVID"/>
    <s v="101 DATES DR"/>
    <s v="ITHACA"/>
    <s v="NY"/>
    <s v="14850-1383"/>
    <s v="PHYSICIAN"/>
    <s v="M"/>
    <s v="No"/>
    <s v="MMIS"/>
    <s v="NorthRPU"/>
    <s v="P"/>
    <m/>
    <m/>
    <m/>
    <s v=""/>
    <s v="E0022780"/>
    <n v="1"/>
    <n v="1"/>
    <n v="0"/>
    <n v="0"/>
    <n v="0"/>
    <n v="0"/>
    <n v="0"/>
    <n v="0"/>
    <n v="0"/>
    <n v="0"/>
    <n v="0"/>
    <x v="1"/>
    <n v="1"/>
    <s v=""/>
    <s v=""/>
    <s v=""/>
    <n v="1"/>
    <s v=""/>
    <s v=""/>
    <s v=""/>
    <s v=""/>
    <s v=""/>
    <s v=""/>
    <s v=""/>
  </r>
  <r>
    <x v="0"/>
    <m/>
    <m/>
    <m/>
    <m/>
    <s v="HERBST LEE DR."/>
    <m/>
    <m/>
    <m/>
    <m/>
    <s v="HERBST LEE J MD"/>
    <s v="GUTHRIE CLINIC LTD"/>
    <s v="SAYRE"/>
    <s v="PA"/>
    <s v="18840"/>
    <s v="PHYSICIAN"/>
    <s v="M"/>
    <s v="No"/>
    <s v="MMIS"/>
    <s v="SouthRPU"/>
    <s v="P"/>
    <m/>
    <m/>
    <m/>
    <s v=""/>
    <s v="E0113932"/>
    <n v="1"/>
    <n v="1"/>
    <n v="0"/>
    <n v="0"/>
    <n v="0"/>
    <n v="0"/>
    <n v="0"/>
    <n v="0"/>
    <n v="0"/>
    <n v="1"/>
    <n v="0"/>
    <x v="1"/>
    <n v="1"/>
    <s v=""/>
    <s v=""/>
    <s v=""/>
    <s v=""/>
    <s v=""/>
    <s v=""/>
    <s v=""/>
    <s v=""/>
    <s v=""/>
    <n v="1"/>
    <s v=""/>
  </r>
  <r>
    <x v="0"/>
    <m/>
    <m/>
    <m/>
    <m/>
    <s v="HIGGINS JULIE"/>
    <m/>
    <m/>
    <m/>
    <m/>
    <s v="HIGGINS JULIE JANEEN RPA"/>
    <s v="4900 BROAD RD"/>
    <s v="SYRACUSE"/>
    <s v="NY"/>
    <s v="13215-2265"/>
    <s v="PHYSICIAN"/>
    <s v="M"/>
    <s v="No"/>
    <s v="MMIS"/>
    <s v="NorthRPU"/>
    <s v="P"/>
    <m/>
    <m/>
    <m/>
    <s v=""/>
    <s v="E0074597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1"/>
    <m/>
    <m/>
    <m/>
    <m/>
    <s v="HILLSIDE CHILDRENS CENTER"/>
    <m/>
    <m/>
    <m/>
    <m/>
    <s v="HILLSIDE CHLDRENS CENTER"/>
    <s v="1183 MONROE AVE"/>
    <s v="ROCHESTER"/>
    <s v="NY"/>
    <s v="14620-1662"/>
    <s v="MULTI-TYPE"/>
    <s v="M"/>
    <s v="No"/>
    <s v="MMIS"/>
    <s v="SouthRPU"/>
    <s v="P"/>
    <m/>
    <m/>
    <m/>
    <s v=""/>
    <s v="E0004891"/>
    <n v="0"/>
    <n v="0"/>
    <n v="0"/>
    <n v="0"/>
    <n v="0"/>
    <n v="0"/>
    <n v="0"/>
    <n v="0"/>
    <n v="0"/>
    <n v="0"/>
    <n v="0"/>
    <x v="1"/>
    <s v=""/>
    <s v=""/>
    <s v=""/>
    <n v="1"/>
    <n v="1"/>
    <n v="1"/>
    <s v=""/>
    <s v=""/>
    <s v=""/>
    <s v=""/>
    <n v="1"/>
    <s v=""/>
  </r>
  <r>
    <x v="1"/>
    <m/>
    <m/>
    <m/>
    <m/>
    <m/>
    <m/>
    <m/>
    <m/>
    <m/>
    <s v="HILLSIDE CHILDREN'S CTR"/>
    <s v="DAY TRT OMH"/>
    <s v="HENRIETTA"/>
    <s v="NY"/>
    <s v="14467-9620"/>
    <s v="DIAGNOSTIC AND TREATMENT CENTER"/>
    <s v="M"/>
    <s v="No"/>
    <s v="MMIS"/>
    <s v="SouthRPU"/>
    <s v="P"/>
    <m/>
    <m/>
    <m/>
    <s v=""/>
    <s v="E0004891"/>
    <n v="0"/>
    <n v="0"/>
    <n v="0"/>
    <n v="0"/>
    <n v="0"/>
    <n v="0"/>
    <n v="0"/>
    <n v="0"/>
    <n v="0"/>
    <n v="0"/>
    <n v="0"/>
    <x v="1"/>
    <s v=""/>
    <s v=""/>
    <s v=""/>
    <n v="1"/>
    <n v="1"/>
    <n v="1"/>
    <s v=""/>
    <s v=""/>
    <s v=""/>
    <s v=""/>
    <n v="1"/>
    <s v=""/>
  </r>
  <r>
    <x v="0"/>
    <m/>
    <m/>
    <m/>
    <m/>
    <s v="HINKLEY KIRK DR."/>
    <m/>
    <m/>
    <m/>
    <m/>
    <s v="HINKLEY KIRK STEPHENS IV"/>
    <s v="433 CHURCH ST"/>
    <s v="NEW MILFORD"/>
    <s v="PA"/>
    <s v="18834-6603"/>
    <s v="PHYSICIAN"/>
    <s v="M"/>
    <s v="No"/>
    <s v="MMIS"/>
    <s v="SouthRPU"/>
    <s v="P"/>
    <m/>
    <m/>
    <m/>
    <s v=""/>
    <s v="E0321869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HINKSON MICHAEL DR."/>
    <m/>
    <m/>
    <m/>
    <m/>
    <s v="HINKSON MICHAEL COLVIN MD"/>
    <s v="179 N BROAD ST"/>
    <s v="NORWICH"/>
    <s v="NY"/>
    <s v="13815-1019"/>
    <s v="PHYSICIAN"/>
    <s v="M"/>
    <s v="No"/>
    <s v="MMIS"/>
    <s v="EastRPU"/>
    <s v="P"/>
    <m/>
    <m/>
    <m/>
    <s v=""/>
    <s v="E0017718"/>
    <n v="0"/>
    <n v="0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s v=""/>
    <s v=""/>
  </r>
  <r>
    <x v="0"/>
    <m/>
    <m/>
    <m/>
    <m/>
    <s v="HIRSCH KELLY"/>
    <m/>
    <m/>
    <m/>
    <m/>
    <s v="HIRSCH KELLY J"/>
    <s v="10 GRAHAM RD W"/>
    <s v="ITHACA"/>
    <s v="NY"/>
    <s v="14850-1055"/>
    <s v="PHYSICIAN"/>
    <s v="M"/>
    <s v="No"/>
    <s v="MMIS"/>
    <s v="NorthRPU"/>
    <s v="P"/>
    <m/>
    <m/>
    <m/>
    <s v="Hirsch Kelly"/>
    <s v="E0040378"/>
    <s v="No"/>
    <s v="No"/>
    <s v="No"/>
    <s v="No"/>
    <s v="No"/>
    <s v="No"/>
    <s v="No"/>
    <s v="No"/>
    <n v="0"/>
    <s v="No"/>
    <s v="No"/>
    <x v="1"/>
    <n v="1"/>
    <s v=""/>
    <s v=""/>
    <s v=""/>
    <n v="1"/>
    <s v=""/>
    <s v=""/>
    <s v=""/>
    <s v=""/>
    <s v=""/>
    <s v=""/>
    <s v=""/>
  </r>
  <r>
    <x v="0"/>
    <m/>
    <m/>
    <m/>
    <m/>
    <s v="HO ELIZABETH DR."/>
    <m/>
    <m/>
    <m/>
    <m/>
    <s v="HO ELIZABETH T F  MD"/>
    <m/>
    <s v="HORSEHEADS"/>
    <s v="NY"/>
    <s v="14845-8533"/>
    <s v="PHYSICIAN"/>
    <s v="M"/>
    <s v="No"/>
    <s v="MMIS"/>
    <s v="WestRPU"/>
    <s v="P"/>
    <m/>
    <m/>
    <m/>
    <s v=""/>
    <s v="E0174342"/>
    <n v="1"/>
    <n v="1"/>
    <n v="0"/>
    <n v="0"/>
    <n v="0"/>
    <n v="0"/>
    <n v="0"/>
    <n v="1"/>
    <n v="1"/>
    <n v="1"/>
    <n v="0"/>
    <x v="2"/>
    <s v=""/>
    <s v=""/>
    <s v=""/>
    <s v=""/>
    <s v=""/>
    <s v=""/>
    <s v=""/>
    <s v=""/>
    <s v=""/>
    <s v=""/>
    <n v="1"/>
    <s v=""/>
  </r>
  <r>
    <x v="0"/>
    <m/>
    <m/>
    <m/>
    <m/>
    <s v="SIU HO LING"/>
    <m/>
    <m/>
    <m/>
    <m/>
    <s v="SIU HOLING"/>
    <s v="4417 VESTAL PKWY E"/>
    <s v="VESTAL"/>
    <s v="NY"/>
    <s v="13850-3556"/>
    <s v="PHYSICIAN"/>
    <s v="M"/>
    <s v="No"/>
    <s v="MMIS"/>
    <s v="SouthRPU"/>
    <s v="P"/>
    <m/>
    <m/>
    <m/>
    <s v=""/>
    <s v="E0365547"/>
    <n v="1"/>
    <n v="1"/>
    <n v="0"/>
    <n v="1"/>
    <n v="1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HOCHBERG KRISTIAN DR."/>
    <m/>
    <m/>
    <m/>
    <m/>
    <s v="HOCHBERG KRISTIAN OWEN"/>
    <s v="161 RIVERSIDE DR STE 105"/>
    <s v="BINGHAMTON"/>
    <s v="NY"/>
    <s v="13905-4177"/>
    <s v="PHYSICIAN"/>
    <s v="M"/>
    <s v="No"/>
    <s v="MMIS"/>
    <s v="SouthRPU"/>
    <s v="P"/>
    <m/>
    <m/>
    <m/>
    <s v="HOCHBERG KRISTIAN OWEN"/>
    <s v="E0411585"/>
    <s v="No"/>
    <s v="No"/>
    <s v="No"/>
    <s v="No"/>
    <s v="No"/>
    <s v="No"/>
    <s v="No"/>
    <s v="No"/>
    <n v="0"/>
    <s v="No"/>
    <s v="No"/>
    <x v="1"/>
    <n v="1"/>
    <s v=""/>
    <s v=""/>
    <s v=""/>
    <s v=""/>
    <s v=""/>
    <s v=""/>
    <s v=""/>
    <s v=""/>
    <s v=""/>
    <n v="1"/>
    <s v=""/>
  </r>
  <r>
    <x v="0"/>
    <m/>
    <m/>
    <m/>
    <m/>
    <s v="HODDER HEIDI DR."/>
    <m/>
    <m/>
    <m/>
    <m/>
    <s v="HODDER HEIDI ROSE DO"/>
    <s v="1336 CEDAR ST"/>
    <s v="ELMIRA"/>
    <s v="NY"/>
    <s v="14904-2951"/>
    <s v="PHYSICIAN"/>
    <s v="M"/>
    <s v="No"/>
    <s v="MMIS"/>
    <s v="WestRPU"/>
    <s v="P"/>
    <m/>
    <m/>
    <m/>
    <s v=""/>
    <s v="E0285532"/>
    <n v="1"/>
    <n v="1"/>
    <n v="0"/>
    <n v="0"/>
    <n v="0"/>
    <n v="0"/>
    <n v="0"/>
    <n v="1"/>
    <n v="1"/>
    <n v="1"/>
    <n v="0"/>
    <x v="2"/>
    <s v=""/>
    <s v=""/>
    <s v=""/>
    <s v=""/>
    <s v=""/>
    <s v=""/>
    <s v=""/>
    <s v=""/>
    <s v=""/>
    <s v=""/>
    <n v="1"/>
    <s v=""/>
  </r>
  <r>
    <x v="0"/>
    <m/>
    <m/>
    <m/>
    <m/>
    <s v="HODGEMAN PAUL MR."/>
    <m/>
    <m/>
    <m/>
    <m/>
    <s v="HODGEMAN PAUL DOUGLAS"/>
    <s v="510 FIFTH AVE"/>
    <s v="OWEGO"/>
    <s v="NY"/>
    <s v="13827-0000"/>
    <s v="PHYSICIAN"/>
    <s v="M"/>
    <s v="No"/>
    <s v="MMIS"/>
    <s v="SouthRPU"/>
    <s v="P"/>
    <m/>
    <m/>
    <m/>
    <s v=""/>
    <s v="E0103495"/>
    <n v="0"/>
    <n v="0"/>
    <n v="0"/>
    <n v="0"/>
    <n v="0"/>
    <n v="0"/>
    <n v="0"/>
    <n v="0"/>
    <n v="0"/>
    <n v="0"/>
    <n v="0"/>
    <x v="2"/>
    <n v="1"/>
    <s v=""/>
    <s v=""/>
    <s v=""/>
    <s v=""/>
    <s v=""/>
    <s v=""/>
    <s v=""/>
    <s v=""/>
    <s v=""/>
    <n v="1"/>
    <s v=""/>
  </r>
  <r>
    <x v="1"/>
    <m/>
    <m/>
    <m/>
    <m/>
    <s v="HOLDRIDGE SEAN"/>
    <m/>
    <m/>
    <m/>
    <m/>
    <s v="HOLDRIDGE SEAN PATRICK"/>
    <s v="161 RIVERSIDE DR STE 206"/>
    <s v="BINGHAMTON"/>
    <s v="NY"/>
    <s v="13905-4178"/>
    <s v="PHYSICIAN"/>
    <s v="M"/>
    <s v="No"/>
    <s v="MMIS"/>
    <s v="SouthRPU"/>
    <s v="P"/>
    <m/>
    <m/>
    <m/>
    <s v=""/>
    <s v="E0306139"/>
    <n v="0"/>
    <n v="0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HOLLAND SANDRA"/>
    <m/>
    <m/>
    <m/>
    <m/>
    <s v="HOLLAND SANDRA JOAN  MD"/>
    <s v="134 HOMER AVE"/>
    <s v="CORTLAND"/>
    <s v="NY"/>
    <s v="13045-1206"/>
    <s v="PHYSICIAN"/>
    <s v="M"/>
    <s v="No"/>
    <s v="MMIS"/>
    <s v="NorthRPU"/>
    <s v="P"/>
    <m/>
    <m/>
    <m/>
    <s v=""/>
    <s v="E0180300"/>
    <n v="1"/>
    <n v="1"/>
    <n v="0"/>
    <n v="0"/>
    <n v="1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HOLLER JAMES"/>
    <m/>
    <m/>
    <m/>
    <m/>
    <s v="HOLLER JAMES CHRISTOPHER"/>
    <s v="ENDWELL FAMILY PHYS"/>
    <s v="ENDWELL"/>
    <s v="NY"/>
    <s v="13760-3698"/>
    <s v="PHYSICIAN"/>
    <s v="M"/>
    <s v="No"/>
    <s v="MMIS"/>
    <s v="SouthRPU"/>
    <s v="P"/>
    <m/>
    <m/>
    <m/>
    <s v="HOLLER JAMES"/>
    <s v="E0164213"/>
    <s v="No"/>
    <s v="No"/>
    <s v="No"/>
    <s v="No"/>
    <s v="No"/>
    <s v="No"/>
    <s v="No"/>
    <s v="No"/>
    <n v="0"/>
    <s v="No"/>
    <s v="No"/>
    <x v="2"/>
    <s v=""/>
    <s v=""/>
    <s v=""/>
    <s v=""/>
    <s v=""/>
    <s v=""/>
    <s v=""/>
    <s v=""/>
    <s v=""/>
    <s v=""/>
    <n v="1"/>
    <s v=""/>
  </r>
  <r>
    <x v="0"/>
    <m/>
    <m/>
    <m/>
    <m/>
    <s v="HOMAN MAL DR."/>
    <m/>
    <m/>
    <m/>
    <m/>
    <s v="HOMAN MAL R MD"/>
    <s v="GUTHRIE CLINIC LTD"/>
    <s v="SAYRE"/>
    <s v="PA"/>
    <s v="18840"/>
    <s v="PHYSICIAN"/>
    <s v="M"/>
    <s v="No"/>
    <s v="MMIS"/>
    <s v="SouthRPU"/>
    <s v="P"/>
    <m/>
    <m/>
    <m/>
    <s v=""/>
    <s v="E0177042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HOPE MARY"/>
    <m/>
    <m/>
    <m/>
    <m/>
    <s v="HOPE MARY K"/>
    <s v="4417 VESTAL PKWY E"/>
    <s v="VESTAL"/>
    <s v="NY"/>
    <s v="13850-3556"/>
    <s v="PHYSICIAN"/>
    <s v="M"/>
    <s v="No"/>
    <s v="MMIS"/>
    <s v="SouthRPU"/>
    <s v="P"/>
    <m/>
    <m/>
    <m/>
    <s v="HOPE MARY"/>
    <s v="E0393184"/>
    <s v="No"/>
    <s v="No"/>
    <s v="No"/>
    <s v="No"/>
    <s v="No"/>
    <s v="No"/>
    <s v="No"/>
    <s v="No"/>
    <n v="0"/>
    <s v="No"/>
    <s v="No"/>
    <x v="1"/>
    <n v="1"/>
    <s v=""/>
    <s v=""/>
    <s v=""/>
    <s v=""/>
    <s v=""/>
    <s v=""/>
    <s v=""/>
    <s v=""/>
    <s v=""/>
    <n v="1"/>
    <s v=""/>
  </r>
  <r>
    <x v="0"/>
    <m/>
    <m/>
    <m/>
    <m/>
    <s v="HORN LUCINDA"/>
    <s v="17 MAIN ST, 414"/>
    <s v="CORTLAND"/>
    <s v="NY"/>
    <s v="130456606"/>
    <m/>
    <m/>
    <m/>
    <m/>
    <m/>
    <m/>
    <s v="M"/>
    <s v="No"/>
    <s v="NPI only"/>
    <s v="NorthRPU"/>
    <s v="P"/>
    <m/>
    <m/>
    <m/>
    <s v="HORN LUCINDA"/>
    <m/>
    <s v="No"/>
    <s v="No"/>
    <s v="No"/>
    <s v="No"/>
    <s v="No"/>
    <s v="No"/>
    <s v="No"/>
    <s v="No"/>
    <n v="0"/>
    <s v="No"/>
    <s v="No"/>
    <x v="1"/>
    <n v="1"/>
    <s v=""/>
    <s v=""/>
    <s v=""/>
    <s v=""/>
    <s v=""/>
    <s v=""/>
    <s v=""/>
    <s v=""/>
    <s v=""/>
    <s v=""/>
    <s v=""/>
  </r>
  <r>
    <x v="0"/>
    <s v="172 East King Road"/>
    <s v="Ithaca"/>
    <s v="NY"/>
    <s v="14850"/>
    <m/>
    <m/>
    <m/>
    <m/>
    <m/>
    <m/>
    <m/>
    <m/>
    <m/>
    <m/>
    <m/>
    <s v="M"/>
    <s v="No"/>
    <s v="No NPI or MMIS"/>
    <s v="NorthRPU"/>
    <s v="P"/>
    <m/>
    <m/>
    <m/>
    <s v=""/>
    <s v="Hospicare &amp; Palliative Care Services"/>
    <n v="1"/>
    <m/>
    <m/>
    <m/>
    <m/>
    <m/>
    <m/>
    <m/>
    <n v="1"/>
    <s v="No"/>
    <s v="No"/>
    <x v="1"/>
    <s v=""/>
    <s v=""/>
    <s v=""/>
    <s v=""/>
    <s v=""/>
    <s v=""/>
    <s v=""/>
    <s v=""/>
    <s v=""/>
    <n v="1"/>
    <s v=""/>
    <s v=""/>
  </r>
  <r>
    <x v="0"/>
    <s v="172 East King Road"/>
    <s v="Ithaca"/>
    <s v="NY"/>
    <s v="14850"/>
    <m/>
    <m/>
    <m/>
    <m/>
    <m/>
    <m/>
    <m/>
    <m/>
    <m/>
    <m/>
    <m/>
    <s v="M"/>
    <s v="No"/>
    <s v="No NPI or MMIS"/>
    <s v="NorthRPU"/>
    <s v="P"/>
    <m/>
    <m/>
    <m/>
    <s v=""/>
    <s v="Hospicare &amp; Palliative Care Services of Tompkins County"/>
    <n v="1"/>
    <m/>
    <m/>
    <m/>
    <m/>
    <m/>
    <m/>
    <m/>
    <n v="1"/>
    <s v="No"/>
    <s v="No"/>
    <x v="1"/>
    <s v=""/>
    <s v=""/>
    <s v=""/>
    <s v=""/>
    <s v=""/>
    <s v=""/>
    <s v=""/>
    <s v=""/>
    <s v=""/>
    <n v="1"/>
    <s v=""/>
    <s v=""/>
  </r>
  <r>
    <x v="0"/>
    <m/>
    <m/>
    <m/>
    <m/>
    <s v="HOSPICARE &amp; PALLIATIVE CARE SERVICES OF TOMPKINS COUNTY, INC."/>
    <m/>
    <m/>
    <m/>
    <m/>
    <s v="HOSPICARE OF TOMPKINS COUNTY"/>
    <s v="172 E KING RD"/>
    <s v="ITHACA"/>
    <s v="NY"/>
    <s v="14850-9403"/>
    <s v="DIAGNOSTIC AND TREATMENT CENTER"/>
    <s v="M"/>
    <s v="No"/>
    <s v="MMIS"/>
    <s v="NorthRPU"/>
    <s v="P"/>
    <m/>
    <m/>
    <m/>
    <s v=""/>
    <s v="E0204182"/>
    <n v="1"/>
    <n v="0"/>
    <n v="0"/>
    <n v="0"/>
    <n v="0"/>
    <n v="0"/>
    <n v="0"/>
    <n v="0"/>
    <n v="1"/>
    <n v="0"/>
    <n v="0"/>
    <x v="1"/>
    <s v=""/>
    <s v=""/>
    <s v=""/>
    <s v=""/>
    <s v=""/>
    <s v=""/>
    <s v=""/>
    <s v=""/>
    <n v="1"/>
    <s v=""/>
    <n v="1"/>
    <s v=""/>
  </r>
  <r>
    <x v="0"/>
    <m/>
    <m/>
    <m/>
    <m/>
    <s v="HOSPICE OF CHENANGO COUNTY, INC."/>
    <m/>
    <m/>
    <m/>
    <m/>
    <s v="HOSPICE PALLIATIVE CARE/CHENANGO"/>
    <s v="21 HAYES ST"/>
    <s v="NORWICH"/>
    <s v="NY"/>
    <s v="13815-1617"/>
    <s v="DIAGNOSTIC AND TREATMENT CENTER"/>
    <s v="M"/>
    <s v="No"/>
    <s v="MMIS"/>
    <s v="EastRPU"/>
    <s v="P"/>
    <m/>
    <m/>
    <m/>
    <s v=""/>
    <s v="E0173066"/>
    <n v="1"/>
    <n v="0"/>
    <n v="0"/>
    <n v="1"/>
    <n v="0"/>
    <n v="0"/>
    <n v="0"/>
    <n v="0"/>
    <n v="1"/>
    <n v="0"/>
    <n v="0"/>
    <x v="1"/>
    <s v=""/>
    <s v=""/>
    <s v=""/>
    <s v=""/>
    <s v=""/>
    <s v=""/>
    <s v=""/>
    <s v=""/>
    <n v="1"/>
    <s v=""/>
    <s v=""/>
    <s v=""/>
  </r>
  <r>
    <x v="0"/>
    <m/>
    <m/>
    <m/>
    <m/>
    <s v="ZARRINI HOSSEIN"/>
    <m/>
    <m/>
    <m/>
    <m/>
    <s v="ZARRINI HOSSEIN MD"/>
    <s v="1302 E MAIN ST"/>
    <s v="ENDICOTT"/>
    <s v="NY"/>
    <s v="13760-5430"/>
    <s v="PHYSICIAN"/>
    <s v="M"/>
    <s v="No"/>
    <s v="MMIS"/>
    <s v="SouthRPU"/>
    <s v="P"/>
    <m/>
    <m/>
    <m/>
    <s v=""/>
    <s v="E0016234"/>
    <n v="1"/>
    <n v="1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SILCOFF HOWARD"/>
    <m/>
    <m/>
    <m/>
    <m/>
    <s v="SILCOFF HOWARD W MD"/>
    <s v="5 EVERGREEN ST"/>
    <s v="DRYDEN"/>
    <s v="NY"/>
    <s v="13053"/>
    <s v="PHYSICIAN"/>
    <s v="M"/>
    <s v="No"/>
    <s v="MMIS"/>
    <s v="NorthRPU"/>
    <s v="P"/>
    <m/>
    <m/>
    <m/>
    <s v=""/>
    <s v="E0123341"/>
    <n v="1"/>
    <n v="1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HOWLAND TIMOTHY DR."/>
    <m/>
    <m/>
    <m/>
    <m/>
    <s v="HOWLAND TIMOTHY C          MD"/>
    <s v="177 RIVERSIDE DR"/>
    <s v="JOHNSON CITY"/>
    <s v="NY"/>
    <s v="13790-2743"/>
    <s v="PHYSICIAN"/>
    <s v="M"/>
    <s v="No"/>
    <s v="MMIS"/>
    <s v="SouthRPU"/>
    <s v="P"/>
    <m/>
    <m/>
    <m/>
    <s v=""/>
    <s v="E0208148"/>
    <n v="1"/>
    <n v="1"/>
    <n v="0"/>
    <n v="1"/>
    <n v="1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HUDOCK MICHAEL DR."/>
    <m/>
    <m/>
    <m/>
    <m/>
    <s v="HUDOCK MICHAEL J           MD"/>
    <s v="ROBERT PACKER HOSP"/>
    <s v="SAYRE"/>
    <s v="PA"/>
    <s v="18840"/>
    <s v="PHYSICIAN"/>
    <s v="M"/>
    <s v="No"/>
    <s v="MMIS"/>
    <s v="SouthRPU"/>
    <s v="P"/>
    <m/>
    <m/>
    <m/>
    <s v=""/>
    <s v="E0208869"/>
    <n v="1"/>
    <n v="1"/>
    <n v="0"/>
    <n v="0"/>
    <n v="0"/>
    <n v="0"/>
    <n v="0"/>
    <n v="0"/>
    <n v="0"/>
    <n v="1"/>
    <n v="0"/>
    <x v="1"/>
    <n v="1"/>
    <s v=""/>
    <s v=""/>
    <s v=""/>
    <s v=""/>
    <s v=""/>
    <s v=""/>
    <s v=""/>
    <s v=""/>
    <s v=""/>
    <n v="1"/>
    <s v=""/>
  </r>
  <r>
    <x v="0"/>
    <m/>
    <m/>
    <m/>
    <m/>
    <s v="HUDOCK STEPHEN DR."/>
    <m/>
    <m/>
    <m/>
    <m/>
    <s v="HUDOCK STEPHEN             MD"/>
    <s v="GUTHRIE SQUARE"/>
    <s v="SAYRE"/>
    <s v="PA"/>
    <s v="18840"/>
    <s v="PHYSICIAN"/>
    <s v="M"/>
    <s v="No"/>
    <s v="MMIS"/>
    <s v="SouthRPU"/>
    <s v="P"/>
    <m/>
    <m/>
    <m/>
    <s v=""/>
    <s v="E0196707"/>
    <n v="1"/>
    <n v="1"/>
    <n v="0"/>
    <n v="0"/>
    <n v="0"/>
    <n v="0"/>
    <n v="0"/>
    <n v="0"/>
    <n v="0"/>
    <n v="1"/>
    <n v="0"/>
    <x v="1"/>
    <n v="1"/>
    <s v=""/>
    <s v=""/>
    <s v=""/>
    <s v=""/>
    <s v=""/>
    <s v=""/>
    <s v=""/>
    <s v=""/>
    <s v=""/>
    <n v="1"/>
    <s v=""/>
  </r>
  <r>
    <x v="1"/>
    <m/>
    <m/>
    <m/>
    <m/>
    <s v="HUGHES DORIS MS."/>
    <m/>
    <m/>
    <m/>
    <m/>
    <s v="HUGHES DORIS JEANNE"/>
    <s v="169 RIVERSIDE DR"/>
    <s v="BINGHAMTON"/>
    <s v="NY"/>
    <s v="13905-4246"/>
    <s v="PHYSICIAN"/>
    <s v="M"/>
    <s v="No"/>
    <s v="MMIS"/>
    <s v="SouthRPU"/>
    <s v="P"/>
    <m/>
    <m/>
    <m/>
    <s v=""/>
    <s v="E0019532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HASSAN HUMAIRA DR."/>
    <m/>
    <m/>
    <m/>
    <m/>
    <s v="HASSAN HUMAIRA"/>
    <s v="16 BRENTWOOD DR"/>
    <s v="ITHACA"/>
    <s v="NY"/>
    <s v="14850-1863"/>
    <s v="PHYSICIAN"/>
    <s v="M"/>
    <s v="No"/>
    <s v="MMIS"/>
    <s v="NorthRPU"/>
    <s v="P"/>
    <m/>
    <m/>
    <m/>
    <s v=""/>
    <s v="E0323686"/>
    <n v="1"/>
    <n v="1"/>
    <n v="0"/>
    <n v="0"/>
    <n v="0"/>
    <n v="0"/>
    <n v="0"/>
    <n v="0"/>
    <n v="1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HUMMER KRISTINA"/>
    <m/>
    <m/>
    <m/>
    <m/>
    <s v="HUMMER KRISTINA KAY"/>
    <s v="4 NEWTON AVE"/>
    <s v="NORWICH"/>
    <s v="NY"/>
    <s v="13815-1153"/>
    <s v="PHYSICIAN"/>
    <s v="M"/>
    <s v="No"/>
    <s v="MMIS"/>
    <s v="EastRPU"/>
    <s v="P"/>
    <m/>
    <m/>
    <m/>
    <s v=""/>
    <s v="E0340029"/>
    <n v="1"/>
    <n v="1"/>
    <n v="0"/>
    <n v="1"/>
    <n v="1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HUSSAIN AHMED"/>
    <m/>
    <m/>
    <m/>
    <m/>
    <s v="HUSSAIN AHMED"/>
    <m/>
    <m/>
    <m/>
    <m/>
    <s v="PHYSICIAN"/>
    <s v="M"/>
    <s v="No"/>
    <s v="MMIS"/>
    <s v="SouthRPU"/>
    <s v="P"/>
    <m/>
    <m/>
    <m/>
    <s v=""/>
    <s v="E0222211"/>
    <n v="1"/>
    <n v="1"/>
    <n v="0"/>
    <n v="1"/>
    <n v="1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HUSSAIN ANWAR DR."/>
    <m/>
    <m/>
    <m/>
    <m/>
    <s v="HUSSAIN ANWAR AHMED MD"/>
    <s v="1302 E MAIN ST"/>
    <s v="ENDICOTT"/>
    <s v="NY"/>
    <s v="13760-5430"/>
    <s v="PHYSICIAN"/>
    <s v="M"/>
    <s v="No"/>
    <s v="MMIS"/>
    <s v="SouthRPU"/>
    <s v="P"/>
    <m/>
    <m/>
    <m/>
    <s v=""/>
    <s v="E0284796"/>
    <n v="0"/>
    <n v="0"/>
    <n v="0"/>
    <n v="0"/>
    <n v="0"/>
    <n v="0"/>
    <n v="0"/>
    <n v="0"/>
    <n v="0"/>
    <n v="0"/>
    <n v="0"/>
    <x v="2"/>
    <n v="1"/>
    <s v=""/>
    <s v=""/>
    <s v=""/>
    <s v=""/>
    <s v=""/>
    <s v=""/>
    <s v=""/>
    <s v=""/>
    <s v=""/>
    <n v="1"/>
    <s v=""/>
  </r>
  <r>
    <x v="0"/>
    <m/>
    <m/>
    <m/>
    <m/>
    <s v="KIM HWAYEON"/>
    <m/>
    <m/>
    <m/>
    <m/>
    <s v="KIM HWAYEON S"/>
    <s v="3101 SHIPPERS RD"/>
    <s v="VESTAL"/>
    <s v="NY"/>
    <s v="13850-2003"/>
    <s v="PHYSICIAN"/>
    <s v="M"/>
    <s v="No"/>
    <s v="MMIS"/>
    <s v="SouthRPU"/>
    <s v="P"/>
    <m/>
    <m/>
    <m/>
    <s v="Hwayeon Stella Kim, FNP"/>
    <s v="E0419384"/>
    <s v="No"/>
    <s v="No"/>
    <s v="No"/>
    <s v="No"/>
    <s v="No"/>
    <s v="No"/>
    <s v="No"/>
    <s v="No"/>
    <n v="0"/>
    <s v="No"/>
    <s v="No"/>
    <x v="2"/>
    <s v=""/>
    <s v=""/>
    <s v=""/>
    <s v=""/>
    <s v=""/>
    <s v=""/>
    <s v=""/>
    <s v=""/>
    <s v=""/>
    <s v=""/>
    <s v=""/>
    <s v=""/>
  </r>
  <r>
    <x v="0"/>
    <m/>
    <m/>
    <m/>
    <m/>
    <s v="IBRAHIM MOHAMMED DR."/>
    <m/>
    <m/>
    <m/>
    <m/>
    <s v="IBRAHIM MOHAMMED U"/>
    <s v="1246 STATE ROUTE 38"/>
    <s v="OWEGO"/>
    <s v="NY"/>
    <s v="13827-3217"/>
    <s v="PHYSICIAN"/>
    <s v="M"/>
    <s v="No"/>
    <s v="MMIS"/>
    <s v="SouthRPU"/>
    <s v="P"/>
    <m/>
    <m/>
    <m/>
    <s v=""/>
    <s v="E0365113"/>
    <n v="1"/>
    <n v="1"/>
    <n v="0"/>
    <n v="0"/>
    <n v="0"/>
    <n v="0"/>
    <n v="0"/>
    <n v="1"/>
    <n v="1"/>
    <n v="1"/>
    <n v="0"/>
    <x v="2"/>
    <s v=""/>
    <s v=""/>
    <s v=""/>
    <s v=""/>
    <s v=""/>
    <s v=""/>
    <s v=""/>
    <s v=""/>
    <s v=""/>
    <s v=""/>
    <n v="1"/>
    <s v=""/>
  </r>
  <r>
    <x v="1"/>
    <m/>
    <m/>
    <m/>
    <m/>
    <m/>
    <m/>
    <m/>
    <m/>
    <m/>
    <s v="IDEAL SENIOR LIVIN CENTER ALP"/>
    <s v="600 HIGH AVE"/>
    <s v="ENDICOTT"/>
    <s v="NY"/>
    <s v="13760-4789"/>
    <s v="HOME HEALTH AGENCY"/>
    <s v="M"/>
    <s v="No"/>
    <s v="MMIS"/>
    <s v="SouthRPU"/>
    <s v="P"/>
    <m/>
    <m/>
    <m/>
    <s v=""/>
    <s v="E0105515"/>
    <n v="1"/>
    <n v="0"/>
    <n v="1"/>
    <n v="0"/>
    <n v="0"/>
    <n v="0"/>
    <n v="0"/>
    <n v="0"/>
    <n v="0"/>
    <n v="0"/>
    <n v="0"/>
    <x v="1"/>
    <s v=""/>
    <s v=""/>
    <s v=""/>
    <s v=""/>
    <s v=""/>
    <s v=""/>
    <s v=""/>
    <s v=""/>
    <s v=""/>
    <s v=""/>
    <n v="1"/>
    <s v=""/>
  </r>
  <r>
    <x v="1"/>
    <m/>
    <m/>
    <m/>
    <m/>
    <s v="IDEAL SENIOR LIVING CENTER INC"/>
    <m/>
    <m/>
    <m/>
    <m/>
    <s v="IDEAL SENIOR LIVING CENTER"/>
    <s v="601 HIGH AVE"/>
    <s v="ENDICOTT"/>
    <s v="NY"/>
    <s v="13760-4720"/>
    <s v="LONG TERM CARE FACILITY"/>
    <s v="M"/>
    <s v="No"/>
    <s v="MMIS"/>
    <s v="SouthRPU"/>
    <s v="P"/>
    <m/>
    <m/>
    <m/>
    <s v=""/>
    <s v="E0180290"/>
    <n v="1"/>
    <n v="0"/>
    <n v="1"/>
    <n v="0"/>
    <n v="0"/>
    <n v="0"/>
    <n v="0"/>
    <n v="0"/>
    <n v="0"/>
    <n v="0"/>
    <n v="0"/>
    <x v="1"/>
    <s v=""/>
    <s v=""/>
    <s v=""/>
    <s v=""/>
    <s v=""/>
    <s v=""/>
    <n v="1"/>
    <s v=""/>
    <s v=""/>
    <s v=""/>
    <n v="1"/>
    <s v=""/>
  </r>
  <r>
    <x v="1"/>
    <m/>
    <m/>
    <m/>
    <m/>
    <s v="IDEAL SENIOR LIVING CENTER, INC."/>
    <m/>
    <m/>
    <m/>
    <m/>
    <s v="IDEAL SENIOR LIVING CTR LTC"/>
    <s v="508 HIGH AVE"/>
    <s v="ENDICOTT"/>
    <s v="NY"/>
    <s v="13760-4719"/>
    <s v="LONG TERM CARE FACILITY"/>
    <s v="M"/>
    <s v="No"/>
    <s v="MMIS"/>
    <s v="SouthRPU"/>
    <s v="P"/>
    <m/>
    <m/>
    <m/>
    <s v=""/>
    <s v="E0180370"/>
    <n v="1"/>
    <n v="0"/>
    <n v="1"/>
    <n v="0"/>
    <n v="0"/>
    <n v="0"/>
    <n v="0"/>
    <n v="0"/>
    <n v="0"/>
    <n v="0"/>
    <n v="0"/>
    <x v="1"/>
    <s v=""/>
    <s v=""/>
    <s v=""/>
    <s v=""/>
    <s v=""/>
    <s v=""/>
    <s v=""/>
    <s v=""/>
    <s v=""/>
    <s v=""/>
    <n v="1"/>
    <s v=""/>
  </r>
  <r>
    <x v="0"/>
    <m/>
    <m/>
    <m/>
    <m/>
    <s v="KHAN IHSAN DR."/>
    <m/>
    <m/>
    <m/>
    <m/>
    <s v="KHAN IHSAN"/>
    <s v="161 RIVERSIDE DR"/>
    <s v="BINGHAMTON"/>
    <s v="NY"/>
    <s v="13905-4176"/>
    <s v="PHYSICIAN"/>
    <s v="M"/>
    <s v="No"/>
    <s v="MMIS"/>
    <s v="SouthRPU"/>
    <s v="P"/>
    <m/>
    <m/>
    <m/>
    <s v="Ihsan U. Khan, MD"/>
    <s v="E0322851"/>
    <s v="No"/>
    <s v="No"/>
    <s v="No"/>
    <s v="No"/>
    <s v="No"/>
    <s v="No"/>
    <s v="No"/>
    <s v="No"/>
    <n v="0"/>
    <s v="No"/>
    <s v="No"/>
    <x v="1"/>
    <n v="1"/>
    <s v=""/>
    <s v=""/>
    <s v=""/>
    <s v=""/>
    <s v=""/>
    <s v=""/>
    <s v=""/>
    <s v=""/>
    <s v=""/>
    <s v=""/>
    <s v=""/>
  </r>
  <r>
    <x v="0"/>
    <m/>
    <m/>
    <m/>
    <m/>
    <s v="II JANINE"/>
    <m/>
    <m/>
    <m/>
    <m/>
    <s v="II JANINE"/>
    <s v="3101 SHIPPERS RD"/>
    <s v="VESTAL"/>
    <s v="NY"/>
    <s v="13850-2003"/>
    <s v="PHYSICIAN"/>
    <s v="M"/>
    <s v="No"/>
    <s v="MMIS"/>
    <s v="SouthRPU"/>
    <s v="P"/>
    <m/>
    <m/>
    <m/>
    <s v="II JANINE"/>
    <s v="E0395488"/>
    <s v="No"/>
    <s v="No"/>
    <s v="No"/>
    <s v="No"/>
    <s v="No"/>
    <s v="No"/>
    <s v="No"/>
    <s v="No"/>
    <n v="0"/>
    <s v="No"/>
    <s v="No"/>
    <x v="1"/>
    <n v="1"/>
    <s v=""/>
    <s v=""/>
    <s v=""/>
    <s v=""/>
    <s v=""/>
    <s v=""/>
    <s v=""/>
    <s v=""/>
    <s v=""/>
    <s v=""/>
    <s v=""/>
  </r>
  <r>
    <x v="0"/>
    <m/>
    <m/>
    <m/>
    <m/>
    <s v="INCER-OBANDO MARIA DR."/>
    <m/>
    <m/>
    <m/>
    <m/>
    <s v="INCER MARIA A MD"/>
    <s v="40 ARCH ST"/>
    <s v="JOHNSON CITY"/>
    <s v="NY"/>
    <s v="13790-2102"/>
    <s v="PHYSICIAN"/>
    <s v="M"/>
    <s v="No"/>
    <s v="MMIS"/>
    <s v="SouthRPU"/>
    <s v="P"/>
    <m/>
    <m/>
    <m/>
    <s v="INCER MARIA DR."/>
    <s v="E0007244"/>
    <s v="No"/>
    <s v="No"/>
    <s v="No"/>
    <s v="No"/>
    <s v="No"/>
    <s v="No"/>
    <s v="No"/>
    <s v="No"/>
    <n v="0"/>
    <s v="No"/>
    <s v="No"/>
    <x v="1"/>
    <n v="1"/>
    <s v=""/>
    <s v=""/>
    <s v=""/>
    <s v=""/>
    <s v=""/>
    <s v=""/>
    <s v=""/>
    <s v=""/>
    <s v=""/>
    <s v=""/>
    <s v=""/>
  </r>
  <r>
    <x v="0"/>
    <m/>
    <m/>
    <m/>
    <m/>
    <s v="INGERICK BRENT DR."/>
    <m/>
    <m/>
    <m/>
    <m/>
    <s v="INGERICK BRENT S DO"/>
    <m/>
    <s v="HORSEHEADS"/>
    <s v="NY"/>
    <s v="14845-8533"/>
    <s v="PHYSICIAN"/>
    <s v="M"/>
    <s v="No"/>
    <s v="MMIS"/>
    <s v="WestRPU"/>
    <s v="P"/>
    <m/>
    <m/>
    <m/>
    <s v=""/>
    <s v="E0042008"/>
    <n v="1"/>
    <n v="1"/>
    <n v="0"/>
    <n v="0"/>
    <n v="0"/>
    <n v="0"/>
    <n v="0"/>
    <n v="1"/>
    <n v="1"/>
    <n v="1"/>
    <n v="0"/>
    <x v="2"/>
    <s v=""/>
    <s v=""/>
    <s v=""/>
    <s v=""/>
    <s v=""/>
    <s v=""/>
    <s v=""/>
    <s v=""/>
    <s v=""/>
    <s v=""/>
    <n v="1"/>
    <s v=""/>
  </r>
  <r>
    <x v="0"/>
    <m/>
    <m/>
    <m/>
    <m/>
    <s v="MRSIC INNA"/>
    <m/>
    <m/>
    <m/>
    <m/>
    <s v="MRSIC INNA"/>
    <s v="4417 VESTAL PKWY E"/>
    <s v="VESTAL"/>
    <s v="NY"/>
    <s v="13850-3556"/>
    <s v="PHYSICIAN"/>
    <s v="M"/>
    <s v="No"/>
    <s v="MMIS"/>
    <s v="SouthRPU"/>
    <s v="P"/>
    <m/>
    <m/>
    <m/>
    <s v="Inna Mrsic"/>
    <s v="E0406994"/>
    <s v="No"/>
    <s v="No"/>
    <s v="No"/>
    <s v="No"/>
    <s v="No"/>
    <s v="No"/>
    <s v="No"/>
    <s v="No"/>
    <n v="0"/>
    <s v="No"/>
    <s v="No"/>
    <x v="1"/>
    <n v="1"/>
    <s v=""/>
    <s v=""/>
    <s v=""/>
    <s v=""/>
    <s v=""/>
    <s v=""/>
    <s v=""/>
    <s v=""/>
    <s v=""/>
    <n v="1"/>
    <s v=""/>
  </r>
  <r>
    <x v="0"/>
    <m/>
    <m/>
    <m/>
    <m/>
    <s v="INSTITUTE FOR HUMAN SERVICES"/>
    <m/>
    <m/>
    <m/>
    <m/>
    <s v="INSTITUTE FOR HUMAN SVCS NBA"/>
    <s v="6666 COUNTY ROUTE 11"/>
    <s v="BATH"/>
    <s v="NY"/>
    <s v="14810-7722"/>
    <s v="MULTI-TYPE"/>
    <s v="M"/>
    <s v="No"/>
    <s v="MMIS"/>
    <s v="WestRPU"/>
    <s v="P"/>
    <m/>
    <m/>
    <m/>
    <s v="INSTITUTE FOR HUMAN SERVICES"/>
    <s v="E0151890"/>
    <s v="No"/>
    <s v="No"/>
    <s v="No"/>
    <s v="No"/>
    <s v="No"/>
    <s v="No"/>
    <s v="No"/>
    <s v="No"/>
    <n v="0"/>
    <s v="No"/>
    <s v="No"/>
    <x v="1"/>
    <s v=""/>
    <s v=""/>
    <s v=""/>
    <s v=""/>
    <s v=""/>
    <s v=""/>
    <s v=""/>
    <s v=""/>
    <s v=""/>
    <s v=""/>
    <s v=""/>
    <n v="1"/>
  </r>
  <r>
    <x v="0"/>
    <m/>
    <m/>
    <m/>
    <m/>
    <s v="IQBAL HAMEED"/>
    <m/>
    <m/>
    <m/>
    <m/>
    <s v="IQBAL HAMEED"/>
    <s v="134 HOMER AVE"/>
    <s v="CORTLAND"/>
    <s v="NY"/>
    <s v="13045-1206"/>
    <s v="PHYSICIAN"/>
    <s v="M"/>
    <s v="No"/>
    <s v="MMIS"/>
    <s v="NorthRPU"/>
    <s v="P"/>
    <m/>
    <m/>
    <m/>
    <s v="IQBAL HAMEED"/>
    <s v="E0428449"/>
    <s v="No"/>
    <s v="No"/>
    <s v="No"/>
    <s v="No"/>
    <s v="No"/>
    <s v="No"/>
    <s v="No"/>
    <s v="No"/>
    <n v="0"/>
    <s v="No"/>
    <s v="No"/>
    <x v="1"/>
    <n v="1"/>
    <s v=""/>
    <s v=""/>
    <s v=""/>
    <s v=""/>
    <s v=""/>
    <s v=""/>
    <s v=""/>
    <s v=""/>
    <s v=""/>
    <s v=""/>
    <s v=""/>
  </r>
  <r>
    <x v="1"/>
    <m/>
    <m/>
    <m/>
    <m/>
    <s v="ITHACA ALPHA HOUSE CENTER, INC."/>
    <m/>
    <m/>
    <m/>
    <m/>
    <s v="ITHACA ALPHA HOUSE CTR INC"/>
    <s v="334 W STATE ST"/>
    <s v="ITHACA"/>
    <s v="NY"/>
    <s v="14850-5432"/>
    <s v="DIAGNOSTIC AND TREATMENT CENTER"/>
    <s v="M"/>
    <s v="No"/>
    <s v="MMIS"/>
    <s v="NorthRPU"/>
    <s v="P"/>
    <m/>
    <m/>
    <m/>
    <s v=""/>
    <s v="E0170631"/>
    <n v="1"/>
    <n v="0"/>
    <n v="0"/>
    <n v="0"/>
    <n v="1"/>
    <n v="0"/>
    <n v="0"/>
    <n v="0"/>
    <n v="0"/>
    <n v="0"/>
    <n v="0"/>
    <x v="1"/>
    <s v=""/>
    <s v=""/>
    <s v=""/>
    <s v=""/>
    <s v=""/>
    <n v="1"/>
    <s v=""/>
    <s v=""/>
    <s v=""/>
    <s v=""/>
    <n v="1"/>
    <s v=""/>
  </r>
  <r>
    <x v="0"/>
    <s v="800 South Plain Street"/>
    <s v="Ithaca"/>
    <s v="NY"/>
    <s v="14850"/>
    <m/>
    <m/>
    <m/>
    <m/>
    <m/>
    <m/>
    <m/>
    <m/>
    <m/>
    <m/>
    <m/>
    <s v="M"/>
    <s v="No"/>
    <s v="No NPI or MMIS"/>
    <s v="NorthRPU"/>
    <s v="P"/>
    <m/>
    <m/>
    <m/>
    <s v="Ithaca Housing Authority"/>
    <m/>
    <s v="No"/>
    <s v="No"/>
    <s v="No"/>
    <s v="No"/>
    <s v="No"/>
    <s v="No"/>
    <s v="No"/>
    <s v="No"/>
    <n v="0"/>
    <s v="No"/>
    <s v="No"/>
    <x v="1"/>
    <s v=""/>
    <s v=""/>
    <s v=""/>
    <s v=""/>
    <s v=""/>
    <s v=""/>
    <s v=""/>
    <s v=""/>
    <s v=""/>
    <n v="1"/>
    <s v=""/>
    <s v=""/>
  </r>
  <r>
    <x v="0"/>
    <s v="2343 N. Triphammer Road"/>
    <s v="Ithaca"/>
    <s v="NY"/>
    <s v="14850"/>
    <m/>
    <m/>
    <m/>
    <m/>
    <m/>
    <m/>
    <m/>
    <m/>
    <m/>
    <m/>
    <m/>
    <s v="M"/>
    <s v="No"/>
    <s v="No NPI or MMIS"/>
    <s v="NorthRPU"/>
    <s v="P"/>
    <m/>
    <m/>
    <m/>
    <s v="Ithaca Primary Care"/>
    <m/>
    <s v="No"/>
    <s v="No"/>
    <s v="No"/>
    <s v="No"/>
    <s v="No"/>
    <s v="No"/>
    <s v="No"/>
    <s v="No"/>
    <n v="0"/>
    <s v="No"/>
    <s v="No"/>
    <x v="1"/>
    <s v=""/>
    <s v=""/>
    <s v=""/>
    <s v=""/>
    <s v=""/>
    <s v=""/>
    <s v=""/>
    <s v=""/>
    <s v=""/>
    <n v="1"/>
    <s v=""/>
    <s v=""/>
  </r>
  <r>
    <x v="0"/>
    <m/>
    <m/>
    <m/>
    <m/>
    <s v="STEVENS JOHN"/>
    <m/>
    <m/>
    <m/>
    <m/>
    <s v="STEVENS JOHN B"/>
    <s v="FAM PRAC DRYDEN"/>
    <s v="DRYDEN"/>
    <s v="NY"/>
    <s v="13053"/>
    <s v="PHYSICIAN"/>
    <s v="M"/>
    <s v="No"/>
    <s v="MMIS"/>
    <s v="NorthRPU"/>
    <s v="P"/>
    <m/>
    <m/>
    <m/>
    <s v=""/>
    <s v="E0170325"/>
    <n v="0"/>
    <n v="0"/>
    <n v="0"/>
    <n v="0"/>
    <n v="0"/>
    <n v="0"/>
    <n v="0"/>
    <n v="0"/>
    <n v="1"/>
    <n v="0"/>
    <n v="0"/>
    <x v="2"/>
    <n v="1"/>
    <s v=""/>
    <s v=""/>
    <s v=""/>
    <s v=""/>
    <s v=""/>
    <s v=""/>
    <s v=""/>
    <s v=""/>
    <s v=""/>
    <n v="1"/>
    <s v=""/>
  </r>
  <r>
    <x v="1"/>
    <m/>
    <m/>
    <m/>
    <m/>
    <m/>
    <m/>
    <m/>
    <m/>
    <m/>
    <s v="J M MURRAY CTR INC HCBS 2"/>
    <s v="CCD1848"/>
    <s v="CORTLAND"/>
    <s v="NY"/>
    <s v="13045-0589"/>
    <s v="HOME HEALTH AGENCY"/>
    <s v="M"/>
    <s v="No"/>
    <s v="MMIS"/>
    <s v="NorthRPU"/>
    <s v="P"/>
    <m/>
    <m/>
    <m/>
    <s v="J M MURRAY CTR INC HCBS 2"/>
    <s v="E0070014"/>
    <s v="No"/>
    <s v="No"/>
    <s v="No"/>
    <s v="No"/>
    <s v="No"/>
    <s v="No"/>
    <s v="No"/>
    <s v="No"/>
    <n v="0"/>
    <s v="No"/>
    <s v="No"/>
    <x v="1"/>
    <s v=""/>
    <s v=""/>
    <s v=""/>
    <s v=""/>
    <s v=""/>
    <s v=""/>
    <s v=""/>
    <s v=""/>
    <s v=""/>
    <s v=""/>
    <s v=""/>
    <n v="1"/>
  </r>
  <r>
    <x v="0"/>
    <m/>
    <m/>
    <m/>
    <m/>
    <s v="NORTON J DR."/>
    <m/>
    <m/>
    <m/>
    <m/>
    <s v="NORTON J RUSSELL"/>
    <s v="601 ELMWOOD AVE"/>
    <s v="ROCHESTER"/>
    <s v="NY"/>
    <s v="14642-0001"/>
    <s v="PHYSICIAN"/>
    <s v="M"/>
    <s v="No"/>
    <s v="MMIS"/>
    <s v="NorthRPU"/>
    <s v="P"/>
    <m/>
    <m/>
    <m/>
    <s v=""/>
    <s v="E0082759"/>
    <n v="1"/>
    <n v="1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STEINBERG ESTHER DR."/>
    <m/>
    <m/>
    <m/>
    <m/>
    <s v="STEINBERG ESTHER MD"/>
    <s v="STE 201"/>
    <s v="CORTLAND"/>
    <s v="NY"/>
    <s v="13045-1148"/>
    <s v="PHYSICIAN"/>
    <s v="M"/>
    <s v="No"/>
    <s v="MMIS"/>
    <s v="NorthRPU"/>
    <s v="P"/>
    <m/>
    <m/>
    <m/>
    <s v=""/>
    <s v="E0100903"/>
    <n v="1"/>
    <n v="1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1"/>
    <m/>
    <m/>
    <m/>
    <m/>
    <s v="PONTICIELLO JACQUELINE"/>
    <m/>
    <m/>
    <m/>
    <m/>
    <s v="PONTICIELLO JACQUELINE ANN"/>
    <s v="1302 E MAIN ST"/>
    <s v="ENDICOTT"/>
    <s v="NY"/>
    <s v="13760-5430"/>
    <s v="PHYSICIAN"/>
    <s v="M"/>
    <s v="No"/>
    <s v="MMIS"/>
    <s v="SouthRPU"/>
    <s v="P"/>
    <m/>
    <m/>
    <m/>
    <s v=""/>
    <s v="E0309023"/>
    <n v="1"/>
    <n v="1"/>
    <n v="0"/>
    <n v="1"/>
    <n v="1"/>
    <n v="0"/>
    <n v="0"/>
    <n v="0"/>
    <n v="1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JACKSON SUSAN DR."/>
    <m/>
    <m/>
    <m/>
    <m/>
    <s v="JACKSON SUSAN MARIE"/>
    <s v="1302 E MAIN ST"/>
    <s v="ENDICOTT"/>
    <s v="NY"/>
    <s v="13760-5430"/>
    <s v="PHYSICIAN"/>
    <s v="M"/>
    <s v="No"/>
    <s v="MMIS"/>
    <s v="SouthRPU"/>
    <s v="P"/>
    <m/>
    <m/>
    <m/>
    <s v="JACKSON SUSAN DR."/>
    <s v="E0009854"/>
    <s v="No"/>
    <s v="No"/>
    <s v="No"/>
    <s v="No"/>
    <s v="No"/>
    <s v="No"/>
    <s v="No"/>
    <s v="No"/>
    <n v="0"/>
    <s v="No"/>
    <s v="No"/>
    <x v="2"/>
    <s v=""/>
    <s v=""/>
    <s v=""/>
    <s v=""/>
    <s v=""/>
    <s v=""/>
    <s v=""/>
    <s v=""/>
    <s v=""/>
    <s v=""/>
    <n v="1"/>
    <s v=""/>
  </r>
  <r>
    <x v="0"/>
    <m/>
    <m/>
    <m/>
    <m/>
    <s v="SMITH JACOB"/>
    <m/>
    <m/>
    <m/>
    <m/>
    <s v="SMITH JACOB WILLIAM"/>
    <s v="201 DATES DR"/>
    <s v="ITHACA"/>
    <s v="NY"/>
    <s v="14850-1345"/>
    <s v="PHYSICIAN"/>
    <s v="M"/>
    <s v="No"/>
    <s v="MMIS"/>
    <s v="NorthRPU"/>
    <s v="P"/>
    <m/>
    <m/>
    <m/>
    <s v=""/>
    <s v="E0337303"/>
    <n v="1"/>
    <n v="1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SIDHU JAGMOHAN"/>
    <m/>
    <m/>
    <m/>
    <m/>
    <s v="SIDHU JAGMOHAN S"/>
    <s v="1656 CHAMPLIN AVE"/>
    <s v="UTICA"/>
    <s v="NY"/>
    <s v="13502-4830"/>
    <s v="LABORATORY"/>
    <s v="M"/>
    <s v="No"/>
    <s v="MMIS"/>
    <s v="SouthRPU"/>
    <s v="P"/>
    <m/>
    <m/>
    <m/>
    <s v=""/>
    <s v="E0343150"/>
    <n v="1"/>
    <n v="1"/>
    <n v="0"/>
    <n v="1"/>
    <n v="1"/>
    <n v="0"/>
    <n v="0"/>
    <n v="0"/>
    <n v="0"/>
    <n v="0"/>
    <n v="0"/>
    <x v="1"/>
    <s v=""/>
    <s v=""/>
    <s v=""/>
    <s v=""/>
    <s v=""/>
    <s v=""/>
    <s v=""/>
    <s v=""/>
    <s v=""/>
    <s v=""/>
    <n v="1"/>
    <s v=""/>
  </r>
  <r>
    <x v="0"/>
    <m/>
    <m/>
    <m/>
    <m/>
    <s v="SINGH JAGMOHAN"/>
    <m/>
    <m/>
    <m/>
    <m/>
    <s v="SINGH JAGMOHAN MD"/>
    <s v="500 OHIO ST"/>
    <s v="MEDINA"/>
    <s v="NY"/>
    <s v="14803"/>
    <s v="PHYSICIAN"/>
    <s v="M"/>
    <s v="No"/>
    <s v="MMIS"/>
    <s v="NorthRPU"/>
    <s v="P"/>
    <m/>
    <m/>
    <m/>
    <s v=""/>
    <s v="E0160945"/>
    <n v="1"/>
    <n v="1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RAI JAGRAJ DR."/>
    <m/>
    <m/>
    <m/>
    <m/>
    <s v="RAI JAGRAJ MD"/>
    <s v="VESTAL MED ASSOC"/>
    <s v="VESTAL"/>
    <s v="NY"/>
    <s v="13850-1748"/>
    <s v="PHYSICIAN"/>
    <s v="M"/>
    <s v="No"/>
    <s v="MMIS"/>
    <s v="SouthRPU"/>
    <s v="P"/>
    <m/>
    <m/>
    <m/>
    <s v="Jagraj S. Rai, MD"/>
    <s v="E0163108"/>
    <s v="No"/>
    <s v="No"/>
    <s v="No"/>
    <s v="No"/>
    <s v="No"/>
    <s v="No"/>
    <s v="No"/>
    <s v="No"/>
    <n v="0"/>
    <s v="No"/>
    <s v="No"/>
    <x v="2"/>
    <s v=""/>
    <s v=""/>
    <s v=""/>
    <s v=""/>
    <s v=""/>
    <s v=""/>
    <s v=""/>
    <s v=""/>
    <s v=""/>
    <s v=""/>
    <n v="1"/>
    <s v=""/>
  </r>
  <r>
    <x v="0"/>
    <m/>
    <m/>
    <m/>
    <m/>
    <s v="FERNANDEZ JAIME"/>
    <m/>
    <m/>
    <m/>
    <m/>
    <m/>
    <m/>
    <m/>
    <m/>
    <m/>
    <m/>
    <s v="M"/>
    <s v="No"/>
    <s v="NPI only"/>
    <s v="SouthRPU"/>
    <s v="P"/>
    <m/>
    <m/>
    <m/>
    <s v="Jaime L. Fernandez, NP"/>
    <m/>
    <s v="No"/>
    <s v="No"/>
    <s v="No"/>
    <s v="No"/>
    <s v="No"/>
    <s v="No"/>
    <s v="No"/>
    <s v="No"/>
    <n v="0"/>
    <s v="No"/>
    <s v="No"/>
    <x v="1"/>
    <n v="1"/>
    <s v=""/>
    <s v=""/>
    <s v=""/>
    <s v=""/>
    <s v=""/>
    <s v=""/>
    <s v=""/>
    <s v=""/>
    <s v=""/>
    <s v=""/>
    <s v=""/>
  </r>
  <r>
    <x v="1"/>
    <m/>
    <m/>
    <m/>
    <m/>
    <s v="COLEMAN JAMES"/>
    <m/>
    <m/>
    <m/>
    <m/>
    <s v="COLEMAN JAMES PATRICK MD"/>
    <s v="220 STEUBEN ST"/>
    <s v="MONTOUR FALLS"/>
    <s v="NY"/>
    <s v="14865-9740"/>
    <s v="PHYSICIAN"/>
    <s v="M"/>
    <s v="No"/>
    <s v="MMIS"/>
    <s v="NorthRPU"/>
    <s v="P"/>
    <m/>
    <m/>
    <m/>
    <s v=""/>
    <s v="E0042962"/>
    <n v="1"/>
    <n v="1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DARLING JAMES DR."/>
    <m/>
    <m/>
    <m/>
    <m/>
    <s v="DARLING JAMES MD"/>
    <s v="10 ARROWOOD DR"/>
    <s v="ITHACA"/>
    <s v="NY"/>
    <s v="14850-1857"/>
    <s v="PHYSICIAN"/>
    <s v="M"/>
    <s v="No"/>
    <s v="MMIS"/>
    <s v="NorthRPU"/>
    <s v="P"/>
    <m/>
    <m/>
    <m/>
    <s v=""/>
    <s v="E0074100"/>
    <n v="1"/>
    <n v="1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DELLAVALLE JAMES"/>
    <m/>
    <m/>
    <m/>
    <m/>
    <s v="DELLA VALLE JAMES          MD"/>
    <s v="2872 TURNPIKE ST"/>
    <s v="SUSQUEHANNA"/>
    <s v="PA"/>
    <s v="18847-2771"/>
    <s v="PHYSICIAN"/>
    <s v="M"/>
    <s v="No"/>
    <s v="MMIS"/>
    <s v="SouthRPU"/>
    <s v="P"/>
    <m/>
    <m/>
    <m/>
    <s v=""/>
    <s v="E0224636"/>
    <n v="0"/>
    <n v="0"/>
    <n v="0"/>
    <n v="0"/>
    <n v="0"/>
    <n v="0"/>
    <n v="0"/>
    <n v="0"/>
    <n v="0"/>
    <n v="0"/>
    <n v="0"/>
    <x v="2"/>
    <n v="1"/>
    <s v=""/>
    <s v=""/>
    <s v=""/>
    <s v=""/>
    <s v=""/>
    <s v=""/>
    <s v=""/>
    <s v=""/>
    <s v=""/>
    <n v="1"/>
    <s v=""/>
  </r>
  <r>
    <x v="1"/>
    <m/>
    <m/>
    <m/>
    <m/>
    <s v="UMH JGJ CORP"/>
    <m/>
    <m/>
    <m/>
    <m/>
    <s v="JAMES G JOHNSTON MEMORIAL NH"/>
    <s v="285 DEYO HILL RD"/>
    <s v="JOHNSON CITY"/>
    <s v="NY"/>
    <s v="13790-5109"/>
    <s v="LONG TERM CARE FACILITY"/>
    <s v="M"/>
    <s v="No"/>
    <s v="MMIS"/>
    <s v="SouthRPU"/>
    <s v="P"/>
    <m/>
    <m/>
    <m/>
    <s v=""/>
    <s v="E0213312"/>
    <n v="1"/>
    <n v="0"/>
    <n v="1"/>
    <n v="0"/>
    <n v="0"/>
    <n v="0"/>
    <n v="0"/>
    <n v="0"/>
    <n v="0"/>
    <n v="0"/>
    <n v="0"/>
    <x v="1"/>
    <s v=""/>
    <s v=""/>
    <s v=""/>
    <s v=""/>
    <s v=""/>
    <s v=""/>
    <n v="1"/>
    <s v=""/>
    <s v=""/>
    <s v=""/>
    <n v="1"/>
    <s v=""/>
  </r>
  <r>
    <x v="0"/>
    <m/>
    <m/>
    <m/>
    <m/>
    <s v="GAFFNEY JAMES DR."/>
    <m/>
    <m/>
    <m/>
    <m/>
    <s v="GAFFNEY JAMES SHANNON MD"/>
    <s v="119 W BUFFALO ST"/>
    <s v="ITHACA"/>
    <s v="NY"/>
    <s v="14850-4131"/>
    <s v="PHYSICIAN"/>
    <s v="M"/>
    <s v="No"/>
    <s v="MMIS"/>
    <s v="NorthRPU"/>
    <s v="P"/>
    <m/>
    <m/>
    <m/>
    <s v=""/>
    <s v="E0166351"/>
    <n v="1"/>
    <n v="1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VINCENS JAMES"/>
    <m/>
    <m/>
    <m/>
    <m/>
    <s v="VINCENS JAMES J MD"/>
    <s v="CARDIOL ASSOC/#250"/>
    <s v="JOHNSON CITY"/>
    <s v="NY"/>
    <s v="13790-2161"/>
    <s v="PHYSICIAN"/>
    <s v="M"/>
    <s v="No"/>
    <s v="MMIS"/>
    <s v="SouthRPU"/>
    <s v="P"/>
    <m/>
    <m/>
    <m/>
    <s v="James J. Vincens, MD"/>
    <s v="E0117316"/>
    <s v="No"/>
    <s v="No"/>
    <s v="No"/>
    <s v="No"/>
    <s v="No"/>
    <s v="No"/>
    <s v="No"/>
    <s v="No"/>
    <n v="0"/>
    <s v="No"/>
    <s v="No"/>
    <x v="1"/>
    <n v="1"/>
    <s v=""/>
    <s v=""/>
    <s v=""/>
    <s v=""/>
    <s v=""/>
    <s v=""/>
    <s v=""/>
    <s v=""/>
    <s v=""/>
    <n v="1"/>
    <s v=""/>
  </r>
  <r>
    <x v="0"/>
    <m/>
    <m/>
    <m/>
    <m/>
    <s v="LAWSING JAMES"/>
    <m/>
    <m/>
    <m/>
    <m/>
    <s v="LAWSING JAMES FULLER III"/>
    <s v="1095 COMMONS AVE"/>
    <s v="CORTLAND"/>
    <s v="NY"/>
    <s v="13045-1669"/>
    <s v="PHYSICIAN"/>
    <s v="M"/>
    <s v="No"/>
    <s v="MMIS"/>
    <s v="NorthRPU"/>
    <s v="P"/>
    <m/>
    <m/>
    <m/>
    <s v=""/>
    <s v="E0307387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LOEHR JAMES DR."/>
    <m/>
    <m/>
    <m/>
    <m/>
    <s v="LOEHR JAMES CHRISTOPHER MD"/>
    <s v="402 N CAYUGA ST"/>
    <s v="ITHACA"/>
    <s v="NY"/>
    <s v="14850-4219"/>
    <s v="PHYSICIAN"/>
    <s v="M"/>
    <s v="No"/>
    <s v="MMIS"/>
    <s v="NorthRPU"/>
    <s v="P"/>
    <m/>
    <m/>
    <m/>
    <s v=""/>
    <s v="E0131508"/>
    <n v="1"/>
    <n v="1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METCALF JAMES"/>
    <m/>
    <m/>
    <m/>
    <m/>
    <s v="METCALF JAMES CRAWFORD JR"/>
    <s v="16 BRENTWOOD DR"/>
    <s v="ITHACA"/>
    <s v="NY"/>
    <s v="14850-1863"/>
    <s v="PHYSICIAN"/>
    <s v="M"/>
    <s v="No"/>
    <s v="MMIS"/>
    <s v="NorthRPU"/>
    <s v="P"/>
    <m/>
    <m/>
    <m/>
    <s v=""/>
    <s v="E0354591"/>
    <n v="1"/>
    <n v="1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WINKLER JAMES DR."/>
    <m/>
    <m/>
    <m/>
    <m/>
    <s v="WINKLER JAMES              MD"/>
    <s v="SCHUYLER HOSP"/>
    <s v="MONTOUR FALLS"/>
    <s v="NY"/>
    <s v="14865"/>
    <s v="PHYSICIAN"/>
    <s v="M"/>
    <s v="No"/>
    <s v="MMIS"/>
    <s v="NorthRPU"/>
    <s v="P"/>
    <m/>
    <m/>
    <m/>
    <s v=""/>
    <s v="E0214405"/>
    <n v="1"/>
    <n v="1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BARVINCHAK JAMIE"/>
    <m/>
    <m/>
    <m/>
    <m/>
    <s v="BARVINCHAK JAMIE MARIE"/>
    <s v="33-57 HARRISON ST"/>
    <s v="JOHNSON CITY"/>
    <s v="NY"/>
    <s v="13790-2107"/>
    <s v="PHYSICIAN"/>
    <s v="M"/>
    <s v="No"/>
    <s v="MMIS"/>
    <s v="SouthRPU"/>
    <s v="P"/>
    <m/>
    <m/>
    <m/>
    <s v=""/>
    <s v="E0340249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MASSON JAMIE"/>
    <m/>
    <m/>
    <m/>
    <m/>
    <s v="MASSON JAMIE LYN"/>
    <s v="315 S MANNING BLVD"/>
    <s v="ALBANY"/>
    <s v="NY"/>
    <s v="12208-1707"/>
    <s v="PHYSICIAN"/>
    <s v="M"/>
    <s v="No"/>
    <s v="MMIS"/>
    <s v="SouthRPU"/>
    <s v="P"/>
    <m/>
    <m/>
    <m/>
    <s v="Jamie Masson, MD"/>
    <s v="E0035032"/>
    <s v="No"/>
    <s v="No"/>
    <s v="No"/>
    <s v="No"/>
    <s v="No"/>
    <s v="No"/>
    <s v="No"/>
    <s v="No"/>
    <n v="0"/>
    <s v="No"/>
    <s v="No"/>
    <x v="1"/>
    <n v="1"/>
    <s v=""/>
    <s v=""/>
    <s v=""/>
    <s v=""/>
    <s v=""/>
    <s v=""/>
    <s v=""/>
    <s v=""/>
    <s v=""/>
    <n v="1"/>
    <s v=""/>
  </r>
  <r>
    <x v="1"/>
    <m/>
    <m/>
    <m/>
    <m/>
    <s v="SENDEK JANUSZ"/>
    <m/>
    <m/>
    <m/>
    <m/>
    <s v="SENDEK JANUSZ MD"/>
    <s v="S-H BUTTERMILK FALLS"/>
    <s v="ITHACA"/>
    <s v="NY"/>
    <s v="14850-1397"/>
    <s v="PHYSICIAN"/>
    <s v="M"/>
    <s v="No"/>
    <s v="MMIS"/>
    <s v="NorthRPU"/>
    <s v="P"/>
    <m/>
    <m/>
    <m/>
    <s v=""/>
    <s v="E0151059"/>
    <n v="1"/>
    <n v="1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PADO JARED"/>
    <m/>
    <m/>
    <m/>
    <m/>
    <s v="PADO JARED MARTIN"/>
    <s v="52 HARRISON ST FL 2"/>
    <s v="JOHNSON CITY"/>
    <s v="NY"/>
    <s v="13790-2120"/>
    <s v="PHYSICIAN"/>
    <s v="M"/>
    <s v="No"/>
    <s v="MMIS"/>
    <s v="SouthRPU"/>
    <s v="P"/>
    <m/>
    <m/>
    <m/>
    <s v="Jared Pado, NP"/>
    <s v="E0425859"/>
    <s v="No"/>
    <s v="No"/>
    <s v="No"/>
    <s v="No"/>
    <s v="No"/>
    <s v="No"/>
    <s v="No"/>
    <s v="No"/>
    <n v="0"/>
    <s v="No"/>
    <s v="No"/>
    <x v="1"/>
    <n v="1"/>
    <s v=""/>
    <s v=""/>
    <s v=""/>
    <s v=""/>
    <s v=""/>
    <s v=""/>
    <s v=""/>
    <s v=""/>
    <s v=""/>
    <s v=""/>
    <s v=""/>
  </r>
  <r>
    <x v="0"/>
    <m/>
    <m/>
    <m/>
    <m/>
    <s v="MAHLER JASON"/>
    <m/>
    <m/>
    <m/>
    <m/>
    <s v="MAHLER JASON B"/>
    <s v="169 RIVERSIDE DR"/>
    <s v="BINGHAMTON"/>
    <s v="NY"/>
    <s v="13905-4246"/>
    <s v="PHYSICIAN"/>
    <s v="M"/>
    <s v="No"/>
    <s v="MMIS"/>
    <s v="SouthRPU"/>
    <s v="P"/>
    <m/>
    <m/>
    <m/>
    <s v="Jason Mahler, FNP"/>
    <s v="E0392725"/>
    <s v="No"/>
    <s v="No"/>
    <s v="No"/>
    <s v="No"/>
    <s v="No"/>
    <s v="No"/>
    <s v="No"/>
    <s v="No"/>
    <n v="0"/>
    <s v="No"/>
    <s v="No"/>
    <x v="1"/>
    <n v="1"/>
    <s v=""/>
    <s v=""/>
    <s v=""/>
    <s v=""/>
    <s v=""/>
    <s v=""/>
    <s v=""/>
    <s v=""/>
    <s v=""/>
    <s v=""/>
    <s v=""/>
  </r>
  <r>
    <x v="1"/>
    <m/>
    <m/>
    <m/>
    <m/>
    <s v="JAVID AHMAD"/>
    <m/>
    <m/>
    <m/>
    <m/>
    <s v="JAVID AHMAD"/>
    <s v="11 ALVENA AVE"/>
    <s v="CORTLAND"/>
    <s v="NY"/>
    <s v="13045-1150"/>
    <s v="PHYSICIAN"/>
    <s v="M"/>
    <s v="No"/>
    <s v="MMIS"/>
    <s v="NorthRPU"/>
    <s v="P"/>
    <m/>
    <m/>
    <m/>
    <s v=""/>
    <s v="E0133108"/>
    <n v="1"/>
    <n v="1"/>
    <n v="0"/>
    <n v="0"/>
    <n v="1"/>
    <n v="1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1"/>
    <m/>
    <m/>
    <m/>
    <m/>
    <s v="JAYASENA ROHAN"/>
    <m/>
    <m/>
    <m/>
    <m/>
    <s v="JAYASENA ROHAN SENERAT"/>
    <m/>
    <s v="SIDNEY"/>
    <s v="NY"/>
    <s v="13838-1300"/>
    <s v="PHYSICIAN"/>
    <s v="M"/>
    <s v="No"/>
    <s v="MMIS"/>
    <s v="EastRPU"/>
    <s v="P"/>
    <m/>
    <m/>
    <m/>
    <s v=""/>
    <s v="E0083417"/>
    <n v="1"/>
    <n v="1"/>
    <n v="0"/>
    <n v="1"/>
    <n v="1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HOWARD JEAN"/>
    <m/>
    <m/>
    <m/>
    <m/>
    <s v="HOWARD JEAN PIERSON"/>
    <s v="CHENANGO MEM HOSP"/>
    <s v="NORWICH"/>
    <s v="NY"/>
    <s v="13815-1097"/>
    <s v="PHYSICIAN"/>
    <s v="M"/>
    <s v="No"/>
    <s v="MMIS"/>
    <s v="EastRPU"/>
    <s v="P"/>
    <m/>
    <m/>
    <m/>
    <s v=""/>
    <s v="E0114300"/>
    <n v="1"/>
    <n v="1"/>
    <n v="0"/>
    <n v="1"/>
    <n v="1"/>
    <n v="0"/>
    <n v="0"/>
    <n v="1"/>
    <n v="0"/>
    <n v="0"/>
    <n v="1"/>
    <x v="2"/>
    <s v=""/>
    <s v=""/>
    <s v=""/>
    <s v=""/>
    <s v=""/>
    <s v=""/>
    <s v=""/>
    <s v=""/>
    <s v=""/>
    <s v=""/>
    <n v="1"/>
    <s v=""/>
  </r>
  <r>
    <x v="0"/>
    <m/>
    <m/>
    <m/>
    <m/>
    <s v="LEE JEANETTE"/>
    <m/>
    <m/>
    <m/>
    <m/>
    <s v="LEE JEANETTE J"/>
    <s v="229-231 STATE ST FL 4"/>
    <s v="BINGHAMTON"/>
    <s v="NY"/>
    <s v="13901-2756"/>
    <s v="PHYSICIAN"/>
    <s v="M"/>
    <s v="No"/>
    <s v="MMIS"/>
    <s v="SouthRPU"/>
    <s v="P"/>
    <m/>
    <m/>
    <m/>
    <s v="Jeanette Lee, NPP"/>
    <s v="E0360754"/>
    <s v="No"/>
    <s v="No"/>
    <s v="No"/>
    <s v="No"/>
    <s v="No"/>
    <s v="No"/>
    <s v="No"/>
    <s v="No"/>
    <n v="0"/>
    <s v="No"/>
    <s v="No"/>
    <x v="1"/>
    <n v="1"/>
    <s v=""/>
    <s v=""/>
    <s v=""/>
    <s v=""/>
    <s v=""/>
    <s v=""/>
    <s v=""/>
    <s v=""/>
    <s v=""/>
    <s v=""/>
    <s v=""/>
  </r>
  <r>
    <x v="0"/>
    <m/>
    <m/>
    <m/>
    <m/>
    <s v="GRAY JEFFREY"/>
    <m/>
    <m/>
    <m/>
    <m/>
    <s v="GRAY JEFFREY R MD"/>
    <s v="CRYSTAL RUN HLTHCARE"/>
    <s v="MIDDLETOWN"/>
    <s v="NY"/>
    <s v="10941-4057"/>
    <s v="PHYSICIAN"/>
    <s v="M"/>
    <s v="No"/>
    <s v="MMIS"/>
    <s v="SouthRPU"/>
    <s v="P"/>
    <m/>
    <m/>
    <m/>
    <s v=""/>
    <s v="E0039580"/>
    <n v="1"/>
    <n v="1"/>
    <n v="0"/>
    <n v="1"/>
    <n v="1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GREENHOUSE JEFFREY"/>
    <m/>
    <m/>
    <m/>
    <m/>
    <s v="GREENHOUSE JEFFREY A MD"/>
    <m/>
    <s v="SCHENECTADY"/>
    <s v="NY"/>
    <s v="12308-2489"/>
    <s v="PHYSICIAN"/>
    <s v="M"/>
    <s v="No"/>
    <s v="MMIS"/>
    <s v="SouthRPU"/>
    <s v="P"/>
    <m/>
    <m/>
    <m/>
    <s v="Jeffrey Greenhouse, MD"/>
    <s v="E0151457"/>
    <s v="No"/>
    <s v="No"/>
    <s v="No"/>
    <s v="No"/>
    <s v="No"/>
    <s v="No"/>
    <s v="No"/>
    <s v="No"/>
    <n v="0"/>
    <s v="No"/>
    <s v="No"/>
    <x v="1"/>
    <n v="1"/>
    <s v=""/>
    <s v=""/>
    <s v=""/>
    <s v=""/>
    <s v=""/>
    <s v=""/>
    <s v=""/>
    <s v=""/>
    <s v=""/>
    <n v="1"/>
    <s v=""/>
  </r>
  <r>
    <x v="0"/>
    <m/>
    <m/>
    <m/>
    <m/>
    <s v="KADLECIK JEFFREY"/>
    <m/>
    <m/>
    <m/>
    <m/>
    <s v="KADLECIK JEFFREY PINKNEY DPM"/>
    <s v="STE 202"/>
    <s v="ITHACA"/>
    <s v="NY"/>
    <s v="14850-1075"/>
    <s v="PODIATRIST"/>
    <s v="M"/>
    <s v="No"/>
    <s v="MMIS"/>
    <s v="NorthRPU"/>
    <s v="P"/>
    <m/>
    <m/>
    <m/>
    <s v=""/>
    <s v="E0080493"/>
    <n v="1"/>
    <n v="1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SNEDEKER JEFFREY"/>
    <m/>
    <m/>
    <m/>
    <m/>
    <s v="SNEDEKER JEFFREY DAVID MD"/>
    <s v="10 GRAHAM RD W"/>
    <s v="ITHACA"/>
    <s v="NY"/>
    <s v="14850-1055"/>
    <s v="PHYSICIAN"/>
    <s v="M"/>
    <s v="No"/>
    <s v="MMIS"/>
    <s v="NorthRPU"/>
    <s v="P"/>
    <m/>
    <m/>
    <m/>
    <s v=""/>
    <s v="E0145437"/>
    <n v="1"/>
    <n v="1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REILLY JENGI"/>
    <m/>
    <m/>
    <m/>
    <m/>
    <s v="REILLY JENGI M"/>
    <s v="169 RIVERSIDE DR"/>
    <s v="BINGHAMTON"/>
    <s v="NY"/>
    <s v="13905-4246"/>
    <s v="PHYSICIAN"/>
    <s v="M"/>
    <s v="No"/>
    <s v="MMIS"/>
    <s v="SouthRPU"/>
    <s v="P"/>
    <m/>
    <m/>
    <m/>
    <s v="Jengi M. Reilly, FNP"/>
    <s v="E0371662"/>
    <s v="No"/>
    <s v="No"/>
    <s v="No"/>
    <s v="No"/>
    <s v="No"/>
    <s v="No"/>
    <s v="No"/>
    <s v="No"/>
    <n v="0"/>
    <s v="No"/>
    <s v="No"/>
    <x v="1"/>
    <n v="1"/>
    <s v=""/>
    <s v=""/>
    <s v=""/>
    <s v=""/>
    <s v=""/>
    <s v=""/>
    <s v=""/>
    <s v=""/>
    <s v=""/>
    <s v=""/>
    <s v=""/>
  </r>
  <r>
    <x v="0"/>
    <m/>
    <m/>
    <m/>
    <m/>
    <s v="MALOSSI JENNIFER"/>
    <m/>
    <m/>
    <m/>
    <m/>
    <s v="MALOSSI JENNIFER MD"/>
    <s v="BROOME UROLOGICAL AS"/>
    <s v="BINGHAMTON"/>
    <s v="NY"/>
    <s v="13905-4246"/>
    <s v="PHYSICIAN"/>
    <s v="M"/>
    <s v="No"/>
    <s v="MMIS"/>
    <s v="SouthRPU"/>
    <s v="P"/>
    <m/>
    <m/>
    <m/>
    <s v="Jennifer A. MaLossi, MD"/>
    <s v="E0058573"/>
    <s v="No"/>
    <s v="No"/>
    <s v="No"/>
    <s v="No"/>
    <s v="No"/>
    <s v="No"/>
    <s v="No"/>
    <s v="No"/>
    <n v="0"/>
    <s v="No"/>
    <s v="No"/>
    <x v="1"/>
    <n v="1"/>
    <s v=""/>
    <s v=""/>
    <s v=""/>
    <s v=""/>
    <s v=""/>
    <s v=""/>
    <s v=""/>
    <s v=""/>
    <s v=""/>
    <n v="1"/>
    <s v=""/>
  </r>
  <r>
    <x v="0"/>
    <m/>
    <m/>
    <m/>
    <m/>
    <s v="LAVARE JENNIFER MRS."/>
    <m/>
    <m/>
    <m/>
    <m/>
    <s v="LAVARE JENNIFER MARIE"/>
    <s v="1 FOXCARE DR"/>
    <s v="ONEONTA"/>
    <s v="NY"/>
    <s v="13820-2099"/>
    <s v="PHYSICIAN"/>
    <s v="M"/>
    <s v="No"/>
    <s v="MMIS"/>
    <s v="SouthRPU"/>
    <s v="P"/>
    <m/>
    <m/>
    <m/>
    <s v="Jennifer M. LaVare, PCNP"/>
    <s v="E0371298"/>
    <s v="No"/>
    <s v="No"/>
    <s v="No"/>
    <s v="No"/>
    <s v="No"/>
    <s v="No"/>
    <s v="No"/>
    <s v="No"/>
    <n v="0"/>
    <s v="No"/>
    <s v="No"/>
    <x v="1"/>
    <n v="1"/>
    <s v=""/>
    <s v=""/>
    <s v=""/>
    <s v=""/>
    <s v=""/>
    <s v=""/>
    <s v=""/>
    <s v=""/>
    <s v=""/>
    <n v="1"/>
    <s v=""/>
  </r>
  <r>
    <x v="0"/>
    <m/>
    <m/>
    <m/>
    <m/>
    <s v="SWEET JENNIFER"/>
    <m/>
    <m/>
    <m/>
    <m/>
    <s v="SWEET JENNIFER Y DPM"/>
    <s v="91 CHENANGO BRIDGE RD"/>
    <s v="BINGHAMTON"/>
    <s v="NY"/>
    <s v="13901-1293"/>
    <s v="PODIATRIST"/>
    <s v="M"/>
    <s v="No"/>
    <s v="MMIS"/>
    <s v="SouthRPU"/>
    <s v="P"/>
    <m/>
    <m/>
    <m/>
    <s v=""/>
    <s v="E0288024"/>
    <n v="1"/>
    <n v="1"/>
    <n v="0"/>
    <n v="1"/>
    <n v="1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WEINRAUB JENNIFER DR."/>
    <m/>
    <m/>
    <m/>
    <m/>
    <s v="WEINRAUB JENNIFER FREDA MD"/>
    <s v="318 S ALBANY ST"/>
    <s v="ITHACA"/>
    <s v="NY"/>
    <s v="14850-5406"/>
    <s v="PHYSICIAN"/>
    <s v="M"/>
    <s v="No"/>
    <s v="MMIS"/>
    <s v="NorthRPU"/>
    <s v="P"/>
    <m/>
    <m/>
    <m/>
    <s v=""/>
    <s v="E0116926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WILEY JENNIFER DR."/>
    <m/>
    <m/>
    <m/>
    <m/>
    <s v="WILEY JENNIFER"/>
    <s v="1 FOXCARE DR"/>
    <s v="ONEONTA"/>
    <s v="NY"/>
    <s v="13820-2099"/>
    <s v="PHYSICIAN"/>
    <s v="M"/>
    <s v="No"/>
    <s v="MMIS"/>
    <s v="EastRPU"/>
    <s v="P"/>
    <m/>
    <m/>
    <m/>
    <s v=""/>
    <s v="E0116807"/>
    <n v="0"/>
    <n v="0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1"/>
    <m/>
    <m/>
    <m/>
    <m/>
    <s v="WOODFORD JENNIFER"/>
    <m/>
    <m/>
    <m/>
    <m/>
    <s v="WOODFORD JENNIFER THERESA"/>
    <s v="91 CHENANGO BRIDGE RD"/>
    <s v="BINGHAMTON"/>
    <s v="NY"/>
    <s v="13901-1293"/>
    <s v="PHYSICIAN"/>
    <s v="M"/>
    <s v="No"/>
    <s v="MMIS"/>
    <s v="SouthRPU"/>
    <s v="P"/>
    <m/>
    <m/>
    <m/>
    <s v=""/>
    <s v="E0333480"/>
    <n v="0"/>
    <n v="0"/>
    <n v="0"/>
    <n v="0"/>
    <n v="0"/>
    <n v="0"/>
    <n v="0"/>
    <n v="0"/>
    <n v="1"/>
    <n v="0"/>
    <n v="0"/>
    <x v="2"/>
    <s v=""/>
    <s v=""/>
    <s v=""/>
    <s v=""/>
    <s v=""/>
    <s v=""/>
    <s v=""/>
    <s v=""/>
    <s v=""/>
    <s v=""/>
    <n v="1"/>
    <s v=""/>
  </r>
  <r>
    <x v="1"/>
    <m/>
    <m/>
    <m/>
    <m/>
    <s v="CLUNE JENNIFERLEIGH MRS."/>
    <m/>
    <m/>
    <m/>
    <m/>
    <s v="CLUNE JENNIFERLEIGH VONDERHORST"/>
    <s v="924 JEFFERSON AVE"/>
    <s v="ROCHESTER"/>
    <s v="NY"/>
    <s v="14611-3702"/>
    <s v="PHYSICIAN"/>
    <s v="M"/>
    <s v="No"/>
    <s v="MMIS"/>
    <s v="NorthRPU"/>
    <s v="P"/>
    <m/>
    <m/>
    <m/>
    <s v=""/>
    <s v="E0295598"/>
    <n v="1"/>
    <n v="1"/>
    <n v="0"/>
    <n v="0"/>
    <n v="1"/>
    <n v="0"/>
    <n v="0"/>
    <n v="0"/>
    <n v="0"/>
    <n v="0"/>
    <n v="0"/>
    <x v="2"/>
    <n v="1"/>
    <s v=""/>
    <s v=""/>
    <s v=""/>
    <s v=""/>
    <s v=""/>
    <s v=""/>
    <s v=""/>
    <s v=""/>
    <s v=""/>
    <s v=""/>
    <s v=""/>
  </r>
  <r>
    <x v="1"/>
    <m/>
    <m/>
    <m/>
    <m/>
    <s v="CASEY JESSICA"/>
    <m/>
    <m/>
    <m/>
    <m/>
    <s v="CASEY JESSICA LYNN"/>
    <s v="STE H"/>
    <s v="ITHACA"/>
    <s v="NY"/>
    <s v="14850-1397"/>
    <s v="PHYSICIAN"/>
    <s v="M"/>
    <s v="No"/>
    <s v="MMIS"/>
    <s v="NorthRPU"/>
    <s v="P"/>
    <m/>
    <m/>
    <m/>
    <s v=""/>
    <s v="E0072848"/>
    <n v="1"/>
    <n v="1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KOVALCHICK JESSICA"/>
    <m/>
    <m/>
    <m/>
    <m/>
    <s v="KOVALCHICK JESSICA S"/>
    <s v="276-280 ROBINSON ST"/>
    <s v="BINGHAMTON"/>
    <s v="NY"/>
    <s v="13904-1659"/>
    <s v="PHYSICIAN"/>
    <s v="M"/>
    <s v="No"/>
    <s v="MMIS"/>
    <s v="SouthRPU"/>
    <s v="P"/>
    <m/>
    <m/>
    <m/>
    <s v="Jessica S. Kovalchick, PA"/>
    <s v="E0371808"/>
    <s v="No"/>
    <s v="No"/>
    <s v="No"/>
    <s v="No"/>
    <s v="No"/>
    <s v="No"/>
    <s v="No"/>
    <s v="No"/>
    <n v="0"/>
    <s v="No"/>
    <s v="No"/>
    <x v="1"/>
    <n v="1"/>
    <s v=""/>
    <s v=""/>
    <s v=""/>
    <s v=""/>
    <s v=""/>
    <s v=""/>
    <s v=""/>
    <s v=""/>
    <s v=""/>
    <n v="1"/>
    <s v=""/>
  </r>
  <r>
    <x v="0"/>
    <m/>
    <m/>
    <m/>
    <m/>
    <s v="JEWELL JAMES"/>
    <m/>
    <m/>
    <m/>
    <m/>
    <s v="JEWELL JAMES R             MD"/>
    <s v="48 HARRISON ST"/>
    <s v="JOHNSON CITY"/>
    <s v="NY"/>
    <s v="13790-2120"/>
    <s v="PHYSICIAN"/>
    <s v="M"/>
    <s v="No"/>
    <s v="MMIS"/>
    <s v="SouthRPU"/>
    <s v="P"/>
    <m/>
    <m/>
    <m/>
    <s v=""/>
    <s v="E0197179"/>
    <n v="0"/>
    <n v="0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JEWETT SUSAN"/>
    <m/>
    <m/>
    <m/>
    <m/>
    <s v="JEWETT SUSAN E"/>
    <s v="JEWETT SUSAN E"/>
    <s v="CORTLAND"/>
    <s v="NY"/>
    <s v="13045-1150"/>
    <s v="PHYSICIAN"/>
    <s v="M"/>
    <s v="No"/>
    <s v="MMIS"/>
    <s v="NorthRPU"/>
    <s v="P"/>
    <m/>
    <m/>
    <m/>
    <s v=""/>
    <s v="E0049767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BRATHWAITE JILLENE"/>
    <m/>
    <m/>
    <m/>
    <m/>
    <s v="BRATHWAITE JILLENE M"/>
    <s v="33-57 HARRISON STREE"/>
    <s v="JOHNSON CITY"/>
    <s v="NY"/>
    <s v="13790-2174"/>
    <s v="PHYSICIAN"/>
    <s v="M"/>
    <s v="No"/>
    <s v="MMIS"/>
    <s v="SouthRPU"/>
    <s v="P"/>
    <m/>
    <m/>
    <m/>
    <s v=""/>
    <s v="E0296313"/>
    <n v="1"/>
    <n v="1"/>
    <n v="0"/>
    <n v="1"/>
    <n v="1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JIMENEZ DOMINGO"/>
    <m/>
    <m/>
    <m/>
    <m/>
    <s v="JIMENEZ DOMINGO D MD"/>
    <s v="33 MITCHELL AVE"/>
    <s v="BINGHAMTON"/>
    <s v="NY"/>
    <s v="13903-1674"/>
    <s v="PHYSICIAN"/>
    <s v="M"/>
    <s v="No"/>
    <s v="MMIS"/>
    <s v="SouthRPU"/>
    <s v="P"/>
    <m/>
    <m/>
    <m/>
    <s v=""/>
    <s v="E0138924"/>
    <n v="1"/>
    <n v="1"/>
    <n v="0"/>
    <n v="1"/>
    <n v="1"/>
    <n v="1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1"/>
    <m/>
    <m/>
    <m/>
    <m/>
    <m/>
    <m/>
    <m/>
    <m/>
    <m/>
    <s v="JM MURRAY CENTER INC SMP"/>
    <s v="823 STATE ROUTE 13"/>
    <s v="CORTLAND"/>
    <s v="NY"/>
    <s v="13045-8835"/>
    <s v="HOME HEALTH AGENCY"/>
    <s v="M"/>
    <s v="No"/>
    <s v="MMIS"/>
    <s v="NorthRPU"/>
    <s v="P"/>
    <m/>
    <m/>
    <m/>
    <s v=""/>
    <s v="E0082930"/>
    <n v="1"/>
    <n v="0"/>
    <n v="0"/>
    <n v="1"/>
    <n v="1"/>
    <n v="0"/>
    <n v="0"/>
    <n v="0"/>
    <n v="0"/>
    <n v="0"/>
    <n v="0"/>
    <x v="1"/>
    <s v=""/>
    <s v=""/>
    <s v=""/>
    <s v=""/>
    <s v=""/>
    <s v=""/>
    <s v=""/>
    <s v=""/>
    <s v=""/>
    <s v=""/>
    <n v="1"/>
    <s v=""/>
  </r>
  <r>
    <x v="1"/>
    <m/>
    <m/>
    <m/>
    <m/>
    <m/>
    <m/>
    <m/>
    <m/>
    <m/>
    <s v="JM MURRAY CTR INC DAY"/>
    <s v="GROUP DAY HAB"/>
    <s v="CORTLAND"/>
    <s v="NY"/>
    <s v="13045-0589"/>
    <s v="HOME HEALTH AGENCY"/>
    <s v="M"/>
    <s v="No"/>
    <s v="MMIS"/>
    <s v="NorthRPU"/>
    <s v="P"/>
    <m/>
    <m/>
    <m/>
    <s v="JM MURRAY CTR INC DAY"/>
    <s v="E0030247"/>
    <s v="No"/>
    <s v="No"/>
    <s v="No"/>
    <s v="No"/>
    <s v="No"/>
    <s v="No"/>
    <s v="No"/>
    <s v="No"/>
    <n v="0"/>
    <s v="No"/>
    <s v="No"/>
    <x v="1"/>
    <s v=""/>
    <s v=""/>
    <s v=""/>
    <s v=""/>
    <s v=""/>
    <s v=""/>
    <s v=""/>
    <s v=""/>
    <s v=""/>
    <s v=""/>
    <n v="1"/>
    <s v=""/>
  </r>
  <r>
    <x v="0"/>
    <m/>
    <m/>
    <m/>
    <m/>
    <s v="ERNST JOANN"/>
    <m/>
    <m/>
    <m/>
    <m/>
    <s v="ERNST JOANN M"/>
    <s v="169 RIVERSIDE DR"/>
    <s v="BINGHAMTON"/>
    <s v="NY"/>
    <s v="13905-4246"/>
    <s v="PHYSICIAN"/>
    <s v="M"/>
    <s v="No"/>
    <s v="MMIS"/>
    <s v="SouthRPU"/>
    <s v="P"/>
    <m/>
    <m/>
    <m/>
    <s v="Jo Ann M. Ernst, FNP"/>
    <s v="E0369832"/>
    <s v="No"/>
    <s v="No"/>
    <s v="No"/>
    <s v="No"/>
    <s v="No"/>
    <s v="No"/>
    <s v="No"/>
    <s v="No"/>
    <n v="0"/>
    <s v="No"/>
    <s v="No"/>
    <x v="1"/>
    <n v="1"/>
    <s v=""/>
    <s v=""/>
    <s v=""/>
    <s v=""/>
    <s v=""/>
    <s v=""/>
    <s v=""/>
    <s v=""/>
    <s v=""/>
    <n v="1"/>
    <s v=""/>
  </r>
  <r>
    <x v="0"/>
    <m/>
    <m/>
    <m/>
    <m/>
    <s v="SPEICHER JOANNE"/>
    <m/>
    <m/>
    <m/>
    <m/>
    <s v="SPEICHER JOANNE ELIZABETH"/>
    <s v="22 E MAIN ST # 24"/>
    <s v="MARATHON"/>
    <s v="NY"/>
    <s v="13803-3208"/>
    <s v="MULTI-TYPE"/>
    <s v="M"/>
    <s v="No"/>
    <s v="MMIS"/>
    <s v="NorthRPU"/>
    <s v="P"/>
    <m/>
    <m/>
    <m/>
    <s v=""/>
    <s v="E0293606"/>
    <n v="1"/>
    <n v="1"/>
    <n v="0"/>
    <n v="0"/>
    <n v="1"/>
    <n v="1"/>
    <n v="0"/>
    <n v="0"/>
    <n v="1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STACKMAN JODY DR."/>
    <m/>
    <m/>
    <m/>
    <m/>
    <s v="STACKMAN JODY              MD"/>
    <s v="119 W BUFFALO ST"/>
    <s v="ITHACA"/>
    <s v="NY"/>
    <s v="14850-4131"/>
    <s v="PHYSICIAN"/>
    <s v="M"/>
    <s v="No"/>
    <s v="MMIS"/>
    <s v="NorthRPU"/>
    <s v="P"/>
    <m/>
    <m/>
    <m/>
    <s v=""/>
    <s v="E0228564"/>
    <n v="1"/>
    <n v="1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ALLEY JOHN"/>
    <m/>
    <m/>
    <m/>
    <m/>
    <s v="ALLEY JOHN A MD"/>
    <s v="150 BROAD ST"/>
    <s v="HAMILTON"/>
    <s v="NY"/>
    <s v="13346-9575"/>
    <s v="PHYSICIAN"/>
    <s v="M"/>
    <s v="No"/>
    <s v="MMIS"/>
    <s v="EastRPU"/>
    <s v="P"/>
    <m/>
    <m/>
    <m/>
    <s v=""/>
    <s v="E0081334"/>
    <n v="1"/>
    <n v="1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1"/>
    <m/>
    <m/>
    <m/>
    <m/>
    <s v="BEZIRGANIAN JOHN"/>
    <m/>
    <m/>
    <m/>
    <m/>
    <s v="BEZIRGANIAN JOHN B MD"/>
    <s v="CAYUGA MEDICAL CTR"/>
    <s v="ITHACA"/>
    <s v="NY"/>
    <s v="14850-1383"/>
    <s v="PHYSICIAN"/>
    <s v="M"/>
    <s v="No"/>
    <s v="MMIS"/>
    <s v="NorthRPU"/>
    <s v="P"/>
    <m/>
    <m/>
    <m/>
    <s v=""/>
    <s v="E0187825"/>
    <n v="1"/>
    <n v="1"/>
    <n v="0"/>
    <n v="0"/>
    <n v="0"/>
    <n v="0"/>
    <n v="0"/>
    <n v="0"/>
    <n v="0"/>
    <n v="0"/>
    <n v="0"/>
    <x v="1"/>
    <n v="1"/>
    <s v=""/>
    <s v=""/>
    <s v=""/>
    <n v="1"/>
    <s v=""/>
    <s v=""/>
    <s v=""/>
    <s v=""/>
    <s v=""/>
    <s v=""/>
    <s v=""/>
  </r>
  <r>
    <x v="0"/>
    <m/>
    <m/>
    <m/>
    <m/>
    <s v="BRADSHAW JOHN"/>
    <m/>
    <m/>
    <m/>
    <m/>
    <s v="BRADSHAW JOHN A MD"/>
    <s v="SOUTHERN TIER PEDIAT"/>
    <s v="ELMIRA"/>
    <s v="NY"/>
    <s v="14905-2292"/>
    <s v="PHYSICIAN"/>
    <s v="M"/>
    <s v="No"/>
    <s v="MMIS"/>
    <s v="WestRPU"/>
    <s v="P"/>
    <m/>
    <m/>
    <m/>
    <s v=""/>
    <s v="E0077724"/>
    <n v="0"/>
    <n v="0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COOKE JOHN"/>
    <m/>
    <m/>
    <m/>
    <m/>
    <s v="COOKE JOHN DAVID MD"/>
    <s v="4435 SENECA RD"/>
    <s v="TRUMANSBURG"/>
    <s v="NY"/>
    <s v="14886-9201"/>
    <s v="PHYSICIAN"/>
    <s v="M"/>
    <s v="No"/>
    <s v="MMIS"/>
    <s v="NorthRPU"/>
    <s v="P"/>
    <m/>
    <m/>
    <m/>
    <s v=""/>
    <s v="E0058953"/>
    <n v="1"/>
    <n v="1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COSTELLO JOHN"/>
    <m/>
    <m/>
    <m/>
    <m/>
    <s v="COSTELLO JOHN E"/>
    <s v="217 N AURORA ST"/>
    <s v="ITHACA"/>
    <s v="NY"/>
    <s v="14850-4345"/>
    <s v="PHYSICIAN"/>
    <s v="M"/>
    <s v="No"/>
    <s v="MMIS"/>
    <s v="NorthRPU"/>
    <s v="P"/>
    <m/>
    <m/>
    <m/>
    <s v=""/>
    <s v="E0228183"/>
    <n v="1"/>
    <n v="1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DIMENNA JOHN"/>
    <m/>
    <m/>
    <m/>
    <m/>
    <s v="DIMENNA JOHN D"/>
    <s v="STE 205"/>
    <s v="BINGHAMTON"/>
    <s v="NY"/>
    <s v="13905-4178"/>
    <s v="PHYSICIAN"/>
    <s v="M"/>
    <s v="No"/>
    <s v="MMIS"/>
    <s v="SouthRPU"/>
    <s v="P"/>
    <m/>
    <m/>
    <m/>
    <s v="John D. DiMenna, MD"/>
    <s v="E0191394"/>
    <s v="No"/>
    <s v="No"/>
    <s v="No"/>
    <s v="No"/>
    <s v="No"/>
    <s v="No"/>
    <s v="No"/>
    <s v="No"/>
    <n v="0"/>
    <s v="No"/>
    <s v="No"/>
    <x v="1"/>
    <n v="1"/>
    <s v=""/>
    <s v=""/>
    <s v=""/>
    <s v=""/>
    <s v=""/>
    <s v=""/>
    <s v=""/>
    <s v=""/>
    <s v=""/>
    <n v="1"/>
    <s v=""/>
  </r>
  <r>
    <x v="0"/>
    <m/>
    <m/>
    <m/>
    <m/>
    <s v="LAMBERT JOHN"/>
    <m/>
    <m/>
    <m/>
    <m/>
    <s v="LAMBERT JOHN Y III MD"/>
    <s v="STE H BTRMLK FLS PED"/>
    <s v="ITHACA"/>
    <s v="NY"/>
    <s v="14850-1397"/>
    <s v="PHYSICIAN"/>
    <s v="M"/>
    <s v="No"/>
    <s v="MMIS"/>
    <s v="NorthRPU"/>
    <s v="P"/>
    <m/>
    <m/>
    <m/>
    <s v=""/>
    <s v="E0184809"/>
    <n v="1"/>
    <n v="1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MECENAS JOHN DR."/>
    <m/>
    <m/>
    <m/>
    <m/>
    <s v="MECENAS JOHN A MD"/>
    <s v="1301 TRUMANSBURG RD"/>
    <s v="ITHACA"/>
    <s v="NY"/>
    <s v="14850-1397"/>
    <s v="PHYSICIAN"/>
    <s v="M"/>
    <s v="No"/>
    <s v="MMIS"/>
    <s v="NorthRPU"/>
    <s v="P"/>
    <m/>
    <m/>
    <m/>
    <s v=""/>
    <s v="E0071504"/>
    <n v="1"/>
    <n v="1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PENFIELD JOHN"/>
    <m/>
    <m/>
    <m/>
    <m/>
    <s v="PENFIELD JOHN FORRESTER"/>
    <s v="EMP OF CORTLAND CNTY"/>
    <s v="CORTLAND"/>
    <s v="NY"/>
    <s v="13045-1206"/>
    <s v="PHYSICIAN"/>
    <s v="M"/>
    <s v="No"/>
    <s v="MMIS"/>
    <s v="SouthRPU"/>
    <s v="P"/>
    <m/>
    <m/>
    <m/>
    <s v="John Penfield"/>
    <s v="E0086918"/>
    <s v="No"/>
    <s v="No"/>
    <s v="No"/>
    <s v="No"/>
    <s v="No"/>
    <s v="No"/>
    <s v="No"/>
    <s v="No"/>
    <n v="0"/>
    <s v="No"/>
    <s v="No"/>
    <x v="1"/>
    <n v="1"/>
    <s v=""/>
    <s v=""/>
    <s v=""/>
    <s v=""/>
    <s v=""/>
    <s v=""/>
    <s v=""/>
    <s v=""/>
    <s v=""/>
    <n v="1"/>
    <s v=""/>
  </r>
  <r>
    <x v="0"/>
    <m/>
    <m/>
    <m/>
    <m/>
    <s v="POWELL JOHN"/>
    <m/>
    <m/>
    <m/>
    <m/>
    <s v="POWELL JOHN WILLIAM"/>
    <s v="ELM AND CARLTON ST"/>
    <s v="BUFFALO"/>
    <s v="NY"/>
    <s v="14263-0001"/>
    <s v="PHYSICIAN"/>
    <s v="M"/>
    <s v="No"/>
    <s v="MMIS"/>
    <s v="NorthRPU"/>
    <s v="P"/>
    <m/>
    <m/>
    <m/>
    <s v=""/>
    <s v="E0342442"/>
    <n v="1"/>
    <n v="1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SUEN JOHN DR."/>
    <m/>
    <m/>
    <m/>
    <m/>
    <s v="SUEN JOHN SHAW-DER"/>
    <s v="1355 37TH ST STE 302"/>
    <s v="VERO BEACH"/>
    <s v="FL"/>
    <s v="32960-7320"/>
    <s v="PHYSICIAN"/>
    <s v="M"/>
    <s v="No"/>
    <s v="MMIS"/>
    <s v="NorthRPU"/>
    <s v="P"/>
    <m/>
    <m/>
    <m/>
    <s v=""/>
    <s v="E0384969"/>
    <n v="1"/>
    <n v="1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TASHMAN JOHN DR."/>
    <m/>
    <m/>
    <m/>
    <m/>
    <s v="TASHMAN JOHN S MD"/>
    <s v="101 DATES DR"/>
    <s v="ITHACA"/>
    <s v="NY"/>
    <s v="14850-1342"/>
    <s v="PHYSICIAN"/>
    <s v="M"/>
    <s v="No"/>
    <s v="MMIS"/>
    <s v="NorthRPU"/>
    <s v="P"/>
    <m/>
    <m/>
    <m/>
    <s v=""/>
    <s v="E0137517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MILLER JOHN"/>
    <m/>
    <m/>
    <m/>
    <m/>
    <s v="MILLER JOHN W MD"/>
    <s v="169 RIVERSIDE DR # M09"/>
    <s v="BINGHAMTON"/>
    <s v="NY"/>
    <s v="13905-4246"/>
    <s v="PHYSICIAN"/>
    <s v="M"/>
    <s v="No"/>
    <s v="MMIS"/>
    <s v="SouthRPU"/>
    <s v="P"/>
    <m/>
    <m/>
    <m/>
    <s v="John W. Miller, MD, FACS"/>
    <s v="E0153609"/>
    <s v="No"/>
    <s v="No"/>
    <s v="No"/>
    <s v="No"/>
    <s v="No"/>
    <s v="No"/>
    <s v="No"/>
    <s v="No"/>
    <n v="0"/>
    <s v="No"/>
    <s v="No"/>
    <x v="1"/>
    <n v="1"/>
    <s v=""/>
    <s v=""/>
    <s v=""/>
    <s v=""/>
    <s v=""/>
    <s v=""/>
    <s v=""/>
    <s v=""/>
    <s v=""/>
    <n v="1"/>
    <s v=""/>
  </r>
  <r>
    <x v="0"/>
    <m/>
    <m/>
    <m/>
    <m/>
    <s v="ZEVAN JOHN"/>
    <m/>
    <m/>
    <m/>
    <m/>
    <s v="ZEVAN JOHN PETER MD"/>
    <s v="UNITED MED ASSOC"/>
    <s v="JOHNSON CITY"/>
    <s v="NY"/>
    <s v="13790-2544"/>
    <s v="PHYSICIAN"/>
    <s v="M"/>
    <s v="No"/>
    <s v="MMIS"/>
    <s v="SouthRPU"/>
    <s v="P"/>
    <m/>
    <m/>
    <m/>
    <s v=""/>
    <s v="E0119448"/>
    <n v="1"/>
    <n v="1"/>
    <n v="0"/>
    <n v="1"/>
    <n v="1"/>
    <n v="0"/>
    <n v="0"/>
    <n v="0"/>
    <n v="0"/>
    <n v="0"/>
    <n v="0"/>
    <x v="2"/>
    <n v="1"/>
    <s v=""/>
    <s v=""/>
    <s v=""/>
    <s v=""/>
    <s v=""/>
    <s v=""/>
    <s v=""/>
    <s v=""/>
    <s v=""/>
    <s v=""/>
    <s v=""/>
  </r>
  <r>
    <x v="0"/>
    <m/>
    <m/>
    <m/>
    <m/>
    <s v="MEAD JOHN-PAUL DR."/>
    <m/>
    <m/>
    <m/>
    <m/>
    <s v="MEAD JOHN-PAUL D MD"/>
    <s v="CAYUGA MED CTR"/>
    <s v="ITHACA"/>
    <s v="NY"/>
    <s v="14850-1383"/>
    <s v="PHYSICIAN"/>
    <s v="M"/>
    <s v="No"/>
    <s v="MMIS"/>
    <s v="NorthRPU"/>
    <s v="P"/>
    <m/>
    <m/>
    <m/>
    <s v=""/>
    <s v="E0083910"/>
    <n v="1"/>
    <n v="1"/>
    <n v="0"/>
    <n v="0"/>
    <n v="0"/>
    <n v="0"/>
    <n v="0"/>
    <n v="0"/>
    <n v="1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JOHNSON GLEN DR."/>
    <m/>
    <m/>
    <m/>
    <m/>
    <s v="JOHNSON GLEN CARLBERG"/>
    <s v="GUTHRIE SQUARE"/>
    <s v="SAYRE"/>
    <s v="PA"/>
    <s v="18840"/>
    <s v="PHYSICIAN"/>
    <s v="M"/>
    <s v="No"/>
    <s v="MMIS"/>
    <s v="SouthRPU"/>
    <s v="P"/>
    <m/>
    <m/>
    <m/>
    <s v=""/>
    <s v="E0195788"/>
    <n v="1"/>
    <n v="1"/>
    <n v="0"/>
    <n v="0"/>
    <n v="0"/>
    <n v="0"/>
    <n v="0"/>
    <n v="0"/>
    <n v="0"/>
    <n v="1"/>
    <n v="0"/>
    <x v="1"/>
    <n v="1"/>
    <s v=""/>
    <s v=""/>
    <s v=""/>
    <s v=""/>
    <s v=""/>
    <s v=""/>
    <s v=""/>
    <s v=""/>
    <s v=""/>
    <n v="1"/>
    <s v=""/>
  </r>
  <r>
    <x v="0"/>
    <m/>
    <m/>
    <m/>
    <m/>
    <s v="JOHNSON JANET"/>
    <m/>
    <m/>
    <m/>
    <m/>
    <s v="JOHNSON JANET LEE MD"/>
    <s v="4077 WEST RD"/>
    <s v="CORTLAND"/>
    <s v="NY"/>
    <s v="13045-1637"/>
    <s v="PHYSICIAN"/>
    <s v="M"/>
    <s v="No"/>
    <s v="MMIS"/>
    <s v="NorthRPU"/>
    <s v="P"/>
    <m/>
    <m/>
    <m/>
    <s v="JOHNSON JANET"/>
    <s v="E0166744"/>
    <s v="No"/>
    <s v="No"/>
    <s v="No"/>
    <s v="No"/>
    <s v="No"/>
    <s v="No"/>
    <s v="No"/>
    <s v="No"/>
    <n v="0"/>
    <s v="No"/>
    <s v="No"/>
    <x v="2"/>
    <s v=""/>
    <s v=""/>
    <s v=""/>
    <s v=""/>
    <s v=""/>
    <s v=""/>
    <s v=""/>
    <s v=""/>
    <s v=""/>
    <s v=""/>
    <n v="1"/>
    <s v=""/>
  </r>
  <r>
    <x v="1"/>
    <m/>
    <m/>
    <m/>
    <m/>
    <s v="JOHNSON MARYELLEN MS."/>
    <m/>
    <m/>
    <m/>
    <m/>
    <s v="JOHNSON MARYELLEN RN"/>
    <s v="OB GYN HEALTH CARE A"/>
    <s v="VESTAL"/>
    <s v="NY"/>
    <s v="13850-3649"/>
    <s v="NURSE"/>
    <s v="M"/>
    <s v="No"/>
    <s v="MMIS"/>
    <s v="SouthRPU"/>
    <s v="P"/>
    <m/>
    <m/>
    <m/>
    <s v=""/>
    <s v="E0217549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BROOKS JONATHAN"/>
    <m/>
    <m/>
    <m/>
    <m/>
    <s v="BROOKS JONATHAN DAVID"/>
    <s v="4401 VESTAL PKWY E"/>
    <s v="VESTAL"/>
    <s v="NY"/>
    <s v="13850-3514"/>
    <s v="PHYSICIAN"/>
    <s v="M"/>
    <s v="No"/>
    <s v="MMIS"/>
    <s v="SouthRPU"/>
    <s v="P"/>
    <m/>
    <m/>
    <m/>
    <s v=""/>
    <s v="E0326412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CRYER JONATHAN"/>
    <m/>
    <m/>
    <m/>
    <m/>
    <s v="CRYER JONATHAN ERIC"/>
    <s v="2 ASCOT PL"/>
    <s v="ITHACA"/>
    <s v="NY"/>
    <s v="14850-1072"/>
    <s v="PHYSICIAN"/>
    <s v="M"/>
    <s v="No"/>
    <s v="MMIS"/>
    <s v="NorthRPU"/>
    <s v="P"/>
    <m/>
    <m/>
    <m/>
    <s v=""/>
    <s v="E0033371"/>
    <n v="1"/>
    <n v="1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BRIGGS JONATHAN MR."/>
    <m/>
    <m/>
    <m/>
    <m/>
    <s v="BRIGGS JONATHAN DAVID"/>
    <m/>
    <s v="VESTAL"/>
    <s v="NY"/>
    <s v="13850-2088"/>
    <s v="PHYSICIAN"/>
    <s v="M"/>
    <s v="No"/>
    <s v="MMIS"/>
    <s v="SouthRPU"/>
    <s v="P"/>
    <m/>
    <m/>
    <m/>
    <s v="Jonathan D. Briggs, FNP-BC"/>
    <s v="E0149613"/>
    <s v="No"/>
    <s v="No"/>
    <s v="No"/>
    <s v="No"/>
    <s v="No"/>
    <s v="No"/>
    <s v="No"/>
    <s v="No"/>
    <n v="0"/>
    <s v="No"/>
    <s v="No"/>
    <x v="2"/>
    <s v=""/>
    <s v=""/>
    <s v=""/>
    <s v=""/>
    <s v=""/>
    <s v=""/>
    <s v=""/>
    <s v=""/>
    <s v=""/>
    <s v=""/>
    <n v="1"/>
    <s v=""/>
  </r>
  <r>
    <x v="0"/>
    <m/>
    <m/>
    <m/>
    <m/>
    <s v="MAUSER JONATHAN DR."/>
    <m/>
    <m/>
    <m/>
    <m/>
    <s v="MAUSER JONATHAN FRANK MD"/>
    <s v="ITHACA CARDIO ASSOC"/>
    <s v="ITHACA"/>
    <s v="NY"/>
    <s v="14850-1345"/>
    <s v="PHYSICIAN"/>
    <s v="M"/>
    <s v="No"/>
    <s v="MMIS"/>
    <s v="NorthRPU"/>
    <s v="P"/>
    <m/>
    <m/>
    <m/>
    <s v=""/>
    <s v="E0147132"/>
    <n v="1"/>
    <n v="1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JONES EDWARD DR."/>
    <m/>
    <m/>
    <m/>
    <m/>
    <s v="JONES EDWARD LESLIE MD"/>
    <s v="GUTHRIE CLINIC LTD"/>
    <s v="SAYRE"/>
    <s v="PA"/>
    <s v="18840"/>
    <s v="PHYSICIAN"/>
    <s v="M"/>
    <s v="No"/>
    <s v="MMIS"/>
    <s v="SouthRPU"/>
    <s v="P"/>
    <m/>
    <m/>
    <m/>
    <s v=""/>
    <s v="E0220330"/>
    <n v="0"/>
    <n v="0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JONES KARA"/>
    <m/>
    <m/>
    <m/>
    <m/>
    <s v="EMMONS KARA E NP"/>
    <s v="601 RIVERSIDE DR"/>
    <s v="JOHNSON CITY"/>
    <s v="NY"/>
    <s v="13790-2544"/>
    <s v="PHYSICIAN"/>
    <s v="M"/>
    <s v="No"/>
    <s v="MMIS"/>
    <s v="SouthRPU"/>
    <s v="P"/>
    <m/>
    <m/>
    <m/>
    <s v=""/>
    <s v="E0285165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JONES KATHLEEN"/>
    <m/>
    <m/>
    <m/>
    <m/>
    <s v="JONES KATHLEEN"/>
    <s v="33-57 HARRISON ST"/>
    <s v="JOHNSON CITY"/>
    <s v="NY"/>
    <s v="13790-2107"/>
    <s v="PHYSICIAN"/>
    <s v="M"/>
    <s v="No"/>
    <s v="MMIS"/>
    <s v="SouthRPU"/>
    <s v="P"/>
    <m/>
    <m/>
    <m/>
    <s v=""/>
    <s v="E0283689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JONES THOMAS MR."/>
    <m/>
    <m/>
    <m/>
    <m/>
    <s v="JONES THOMAS RICHARD"/>
    <s v="276-280 ROBINSON ST"/>
    <s v="BINGHAMTON"/>
    <s v="NY"/>
    <s v="13904-1659"/>
    <s v="PHYSICIAN"/>
    <s v="M"/>
    <s v="No"/>
    <s v="MMIS"/>
    <s v="SouthRPU"/>
    <s v="P"/>
    <m/>
    <m/>
    <m/>
    <s v=""/>
    <s v="E0172706"/>
    <n v="1"/>
    <n v="1"/>
    <n v="0"/>
    <n v="1"/>
    <n v="1"/>
    <n v="0"/>
    <n v="0"/>
    <n v="0"/>
    <n v="0"/>
    <n v="0"/>
    <n v="0"/>
    <x v="2"/>
    <n v="1"/>
    <s v=""/>
    <s v=""/>
    <s v=""/>
    <s v=""/>
    <s v=""/>
    <s v=""/>
    <s v=""/>
    <s v=""/>
    <s v=""/>
    <n v="1"/>
    <s v=""/>
  </r>
  <r>
    <x v="0"/>
    <m/>
    <m/>
    <m/>
    <m/>
    <s v="DAVIDENKO JORGE"/>
    <m/>
    <m/>
    <m/>
    <m/>
    <s v="DAVIDENKO JORGE MARIO MD"/>
    <s v="100O EAST GENESEE ST"/>
    <s v="SYRACUSE"/>
    <s v="NY"/>
    <s v="13210"/>
    <s v="PHYSICIAN"/>
    <s v="M"/>
    <s v="No"/>
    <s v="MMIS"/>
    <s v="NorthRPU"/>
    <s v="P"/>
    <m/>
    <m/>
    <m/>
    <s v=""/>
    <s v="E0102086"/>
    <n v="1"/>
    <n v="1"/>
    <n v="0"/>
    <n v="0"/>
    <n v="1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JORGENSEN MARYLOU"/>
    <m/>
    <m/>
    <m/>
    <m/>
    <s v="JORGENSEN MARYLOU ANN"/>
    <s v="179 N BROAD ST"/>
    <s v="NORWICH"/>
    <s v="NY"/>
    <s v="13815-1019"/>
    <s v="PHYSICIAN"/>
    <s v="M"/>
    <s v="No"/>
    <s v="MMIS"/>
    <s v="EastRPU"/>
    <s v="P"/>
    <m/>
    <m/>
    <m/>
    <s v="Jorgensen Mary Lou"/>
    <s v="E0410005"/>
    <s v="No"/>
    <s v="No"/>
    <s v="No"/>
    <s v="No"/>
    <s v="No"/>
    <s v="No"/>
    <s v="No"/>
    <s v="No"/>
    <n v="0"/>
    <s v="No"/>
    <s v="No"/>
    <x v="2"/>
    <s v=""/>
    <s v=""/>
    <s v=""/>
    <s v=""/>
    <s v=""/>
    <s v=""/>
    <s v=""/>
    <s v=""/>
    <s v=""/>
    <s v=""/>
    <n v="1"/>
    <s v=""/>
  </r>
  <r>
    <x v="0"/>
    <m/>
    <m/>
    <m/>
    <m/>
    <s v="MATIBAG JOSE ANTONIO"/>
    <m/>
    <m/>
    <m/>
    <m/>
    <s v="MATIBAG JOSE ANTONIO MD"/>
    <s v="134 HOMER AVE"/>
    <s v="CORTLAND"/>
    <s v="NY"/>
    <s v="13045-1206"/>
    <s v="PHYSICIAN"/>
    <s v="M"/>
    <s v="No"/>
    <s v="MMIS"/>
    <s v="NorthRPU"/>
    <s v="P"/>
    <m/>
    <m/>
    <m/>
    <s v=""/>
    <s v="E0289751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TORRADO JOSE DR."/>
    <m/>
    <m/>
    <m/>
    <m/>
    <s v="TORRADO JOSE A MD"/>
    <s v="1301 TRUMANSBURG RD"/>
    <s v="ITHACA"/>
    <s v="NY"/>
    <s v="14850-1397"/>
    <s v="PHYSICIAN"/>
    <s v="M"/>
    <s v="No"/>
    <s v="MMIS"/>
    <s v="NorthRPU"/>
    <s v="P"/>
    <m/>
    <m/>
    <m/>
    <s v=""/>
    <s v="E0078284"/>
    <n v="1"/>
    <n v="1"/>
    <n v="0"/>
    <n v="0"/>
    <n v="0"/>
    <n v="0"/>
    <n v="0"/>
    <n v="0"/>
    <n v="0"/>
    <n v="0"/>
    <n v="0"/>
    <x v="2"/>
    <n v="1"/>
    <s v=""/>
    <s v=""/>
    <s v=""/>
    <s v=""/>
    <s v=""/>
    <s v=""/>
    <s v=""/>
    <s v=""/>
    <s v=""/>
    <n v="1"/>
    <s v=""/>
  </r>
  <r>
    <x v="0"/>
    <m/>
    <m/>
    <m/>
    <m/>
    <s v="BYLEBYL JOSEPH DR."/>
    <m/>
    <m/>
    <m/>
    <m/>
    <s v="BYLEBYL JOSEPH KAROL"/>
    <s v="220 STEUBEN ST"/>
    <s v="MONTOUR FALLS"/>
    <s v="NY"/>
    <s v="14865-9709"/>
    <s v="PHYSICIAN"/>
    <s v="M"/>
    <s v="No"/>
    <s v="MMIS"/>
    <s v="NorthRPU"/>
    <s v="P"/>
    <m/>
    <m/>
    <m/>
    <s v=""/>
    <s v="E0239562"/>
    <n v="1"/>
    <n v="1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FLANAGAN JOSEPH DR."/>
    <m/>
    <m/>
    <m/>
    <m/>
    <s v="FLANAGAN JOSEPH WILLIAM"/>
    <s v="840 HANSHAW RD"/>
    <s v="ITHACA"/>
    <s v="NY"/>
    <s v="14850-1589"/>
    <s v="PHYSICIAN"/>
    <s v="M"/>
    <s v="No"/>
    <s v="MMIS"/>
    <s v="NorthRPU"/>
    <s v="P"/>
    <m/>
    <m/>
    <m/>
    <s v=""/>
    <s v="E0000079"/>
    <n v="1"/>
    <n v="1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HINTERBERGER JOSEPH DR."/>
    <m/>
    <m/>
    <m/>
    <m/>
    <s v="HINTERBERGER JOSEPH WILLIAM"/>
    <s v="230 STEUBEN ST"/>
    <s v="MONTOUR FALLS"/>
    <s v="NY"/>
    <s v="14865-9648"/>
    <s v="PHYSICIAN"/>
    <s v="M"/>
    <s v="No"/>
    <s v="MMIS"/>
    <s v="NorthRPU"/>
    <s v="P"/>
    <m/>
    <m/>
    <m/>
    <s v=""/>
    <s v="E0140093"/>
    <n v="0"/>
    <n v="0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JOSEPH JASON"/>
    <m/>
    <m/>
    <m/>
    <m/>
    <s v="JOSEPH JASON MD"/>
    <s v="33-57 HARRISON ST"/>
    <s v="JOHNSON CITY"/>
    <s v="NY"/>
    <s v="13790-2107"/>
    <s v="PHYSICIAN"/>
    <s v="M"/>
    <s v="No"/>
    <s v="MMIS"/>
    <s v="SouthRPU"/>
    <s v="P"/>
    <m/>
    <m/>
    <m/>
    <s v=""/>
    <s v="E0009310"/>
    <n v="1"/>
    <n v="1"/>
    <n v="0"/>
    <n v="1"/>
    <n v="1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MANNINO JOSEPH"/>
    <m/>
    <m/>
    <m/>
    <m/>
    <s v="MANNINO JOSEPH ANDREW MD"/>
    <s v="85 COLLEGE ST"/>
    <s v="HAMILTON"/>
    <s v="NY"/>
    <s v="13346-1227"/>
    <s v="PHYSICIAN"/>
    <s v="M"/>
    <s v="No"/>
    <s v="MMIS"/>
    <s v="EastRPU"/>
    <s v="P"/>
    <m/>
    <m/>
    <m/>
    <s v=""/>
    <s v="E0086340"/>
    <n v="1"/>
    <n v="1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MCALLISTER JOSEPHINE"/>
    <m/>
    <m/>
    <m/>
    <m/>
    <s v="MCALLISTER JOSEPHINE CHU"/>
    <s v="90 PRESIDENTIAL PLZ FL 2"/>
    <s v="SYRACUSE"/>
    <s v="NY"/>
    <s v="13202-2240"/>
    <s v="PHYSICIAN"/>
    <s v="M"/>
    <s v="No"/>
    <s v="MMIS"/>
    <s v="NorthRPU"/>
    <s v="P"/>
    <m/>
    <m/>
    <m/>
    <s v=""/>
    <s v="E0296723"/>
    <n v="1"/>
    <n v="1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JOSHI ABHASH DR."/>
    <m/>
    <m/>
    <m/>
    <m/>
    <s v="JOSHI ABHASH"/>
    <s v="1 GUTHRIE SQ"/>
    <s v="SAYRE"/>
    <s v="PA"/>
    <s v="18840-1625"/>
    <s v="PHYSICIAN"/>
    <s v="M"/>
    <s v="No"/>
    <s v="MMIS"/>
    <s v="SouthRPU"/>
    <s v="P"/>
    <m/>
    <m/>
    <m/>
    <s v=""/>
    <s v="E0352187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1"/>
    <m/>
    <m/>
    <m/>
    <m/>
    <s v="JOWETT LINDA MRS."/>
    <m/>
    <m/>
    <m/>
    <m/>
    <s v="JOWETT LINDA"/>
    <s v="276-280 ROBINSON ST"/>
    <s v="BINGHAMTON"/>
    <s v="NY"/>
    <s v="13904-1659"/>
    <s v="PHYSICIAN"/>
    <s v="M"/>
    <s v="No"/>
    <s v="MMIS"/>
    <s v="SouthRPU"/>
    <s v="P"/>
    <m/>
    <m/>
    <m/>
    <s v="JOWETT LINDA MRS."/>
    <s v="E0103474"/>
    <s v="No"/>
    <s v="No"/>
    <s v="No"/>
    <s v="No"/>
    <s v="No"/>
    <s v="No"/>
    <s v="No"/>
    <s v="No"/>
    <n v="0"/>
    <s v="No"/>
    <s v="No"/>
    <x v="1"/>
    <n v="1"/>
    <s v=""/>
    <s v=""/>
    <s v=""/>
    <s v=""/>
    <s v=""/>
    <s v=""/>
    <s v=""/>
    <s v=""/>
    <s v=""/>
    <n v="1"/>
    <s v=""/>
  </r>
  <r>
    <x v="0"/>
    <m/>
    <m/>
    <m/>
    <m/>
    <s v="JOY CHRISTOPHER DR."/>
    <m/>
    <m/>
    <m/>
    <m/>
    <s v="JOY CHRISTOPHER R MD"/>
    <s v="GUTHRIE SQUARE"/>
    <s v="SAYRE"/>
    <s v="PA"/>
    <s v="18840-1625"/>
    <s v="PHYSICIAN"/>
    <s v="M"/>
    <s v="No"/>
    <s v="MMIS"/>
    <s v="SouthRPU"/>
    <s v="P"/>
    <m/>
    <m/>
    <m/>
    <s v=""/>
    <s v="E0142593"/>
    <n v="1"/>
    <n v="1"/>
    <n v="0"/>
    <n v="0"/>
    <n v="0"/>
    <n v="0"/>
    <n v="0"/>
    <n v="0"/>
    <n v="0"/>
    <n v="1"/>
    <n v="0"/>
    <x v="1"/>
    <n v="1"/>
    <s v=""/>
    <s v=""/>
    <s v=""/>
    <s v=""/>
    <s v=""/>
    <s v=""/>
    <s v=""/>
    <s v=""/>
    <s v=""/>
    <n v="1"/>
    <s v=""/>
  </r>
  <r>
    <x v="0"/>
    <m/>
    <m/>
    <m/>
    <m/>
    <s v="EARLE JOYLEEN"/>
    <m/>
    <m/>
    <m/>
    <m/>
    <s v="EARLE JOYLEEN E"/>
    <s v="161 RIVERSIDE DR STE 205"/>
    <s v="BINGHAMTON"/>
    <s v="NY"/>
    <s v="13905-4178"/>
    <s v="PHYSICIAN"/>
    <s v="M"/>
    <s v="No"/>
    <s v="MMIS"/>
    <s v="SouthRPU"/>
    <s v="P"/>
    <m/>
    <m/>
    <m/>
    <s v="Joyleen Earle, MD"/>
    <s v="E0209804"/>
    <s v="No"/>
    <s v="No"/>
    <s v="No"/>
    <s v="No"/>
    <s v="No"/>
    <s v="No"/>
    <s v="No"/>
    <s v="No"/>
    <n v="0"/>
    <s v="No"/>
    <s v="No"/>
    <x v="1"/>
    <n v="1"/>
    <s v=""/>
    <s v=""/>
    <s v=""/>
    <s v=""/>
    <s v=""/>
    <s v=""/>
    <s v=""/>
    <s v=""/>
    <s v=""/>
    <s v=""/>
    <s v=""/>
  </r>
  <r>
    <x v="0"/>
    <m/>
    <m/>
    <m/>
    <m/>
    <s v="ANDREWS JUDY MS."/>
    <m/>
    <m/>
    <m/>
    <m/>
    <s v="ANDREWS JUDY A RPA"/>
    <s v="502 5TH AVE"/>
    <s v="OWEGO"/>
    <s v="NY"/>
    <s v="13827-1635"/>
    <s v="PHYSICIAN"/>
    <s v="M"/>
    <s v="No"/>
    <s v="MMIS"/>
    <s v="SouthRPU"/>
    <s v="P"/>
    <m/>
    <m/>
    <m/>
    <s v=""/>
    <s v="E0014383"/>
    <n v="1"/>
    <n v="1"/>
    <n v="0"/>
    <n v="1"/>
    <n v="1"/>
    <n v="0"/>
    <n v="0"/>
    <n v="0"/>
    <n v="1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CAMPBELL JULIE"/>
    <m/>
    <m/>
    <m/>
    <m/>
    <s v="CAMPBELL JULIE LYNN"/>
    <s v="101 DATES DR"/>
    <s v="ITHACA"/>
    <s v="NY"/>
    <s v="14850-1342"/>
    <s v="PHYSICIAN"/>
    <s v="M"/>
    <s v="No"/>
    <s v="MMIS"/>
    <s v="NorthRPU"/>
    <s v="P"/>
    <m/>
    <m/>
    <m/>
    <s v=""/>
    <s v="E0323218"/>
    <n v="1"/>
    <n v="1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MCNAIRN JULIE"/>
    <m/>
    <m/>
    <m/>
    <m/>
    <s v="MCNAIRN JULIE DK MD"/>
    <s v="840 HANSHAW RD"/>
    <s v="ITHACA"/>
    <s v="NY"/>
    <s v="14850-1589"/>
    <s v="PHYSICIAN"/>
    <s v="M"/>
    <s v="No"/>
    <s v="MMIS"/>
    <s v="NorthRPU"/>
    <s v="P"/>
    <m/>
    <m/>
    <m/>
    <s v=""/>
    <s v="E0032752"/>
    <n v="1"/>
    <n v="1"/>
    <n v="0"/>
    <n v="1"/>
    <n v="1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LATORRE JULIUS"/>
    <m/>
    <m/>
    <m/>
    <m/>
    <s v="LATORRE JULIUS GENE SILVA MD"/>
    <s v="750 E ADAMS ST"/>
    <s v="SYRACUSE"/>
    <s v="NY"/>
    <s v="13210-2342"/>
    <s v="PHYSICIAN"/>
    <s v="M"/>
    <s v="No"/>
    <s v="MMIS"/>
    <s v="NorthRPU"/>
    <s v="P"/>
    <m/>
    <m/>
    <m/>
    <s v=""/>
    <s v="E0010127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FEDOR JUSTIN"/>
    <m/>
    <m/>
    <m/>
    <m/>
    <s v="FEDOR JUSTIN PHILLIP"/>
    <s v="5586 LEGIONNAIRE DR STE 1"/>
    <s v="CICERO"/>
    <s v="NY"/>
    <s v="13039-3504"/>
    <s v="PHYSICIAN"/>
    <s v="M"/>
    <s v="No"/>
    <s v="MMIS"/>
    <s v="NorthRPU"/>
    <s v="P"/>
    <m/>
    <m/>
    <m/>
    <s v=""/>
    <s v="E0347386"/>
    <n v="1"/>
    <n v="1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WALDMAN JUSTINE"/>
    <m/>
    <m/>
    <m/>
    <m/>
    <s v="WALDMAN JUSTINE LARA MD"/>
    <s v="105 MARYS AVE"/>
    <s v="KINGSTON"/>
    <s v="NY"/>
    <s v="12401-5848"/>
    <s v="PHYSICIAN"/>
    <s v="M"/>
    <s v="No"/>
    <s v="MMIS"/>
    <s v="NorthRPU"/>
    <s v="P"/>
    <m/>
    <m/>
    <m/>
    <s v=""/>
    <s v="E0070238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ZELESNIKAR KACY"/>
    <m/>
    <m/>
    <m/>
    <m/>
    <s v="ZELESNIKAR KACY LYNNE"/>
    <s v="4401 VESTAL PKWY E"/>
    <s v="VESTAL"/>
    <s v="NY"/>
    <s v="13850-3514"/>
    <s v="PHYSICIAN"/>
    <s v="M"/>
    <s v="No"/>
    <s v="MMIS"/>
    <s v="SouthRPU"/>
    <s v="P"/>
    <m/>
    <m/>
    <m/>
    <s v="Kacy H. Zelesnikar, RPA-C"/>
    <s v="E0314725"/>
    <s v="No"/>
    <s v="No"/>
    <s v="No"/>
    <s v="No"/>
    <s v="No"/>
    <s v="No"/>
    <s v="No"/>
    <s v="No"/>
    <n v="0"/>
    <s v="No"/>
    <s v="No"/>
    <x v="2"/>
    <s v=""/>
    <s v=""/>
    <s v=""/>
    <s v=""/>
    <s v=""/>
    <s v=""/>
    <s v=""/>
    <s v=""/>
    <s v=""/>
    <s v=""/>
    <n v="1"/>
    <s v=""/>
  </r>
  <r>
    <x v="0"/>
    <m/>
    <m/>
    <m/>
    <m/>
    <s v="KACYRAT JAMAL"/>
    <m/>
    <m/>
    <m/>
    <m/>
    <s v="KACYRAT JAMAL              MD"/>
    <m/>
    <s v="NORWICH"/>
    <s v="NY"/>
    <s v="13815-1756"/>
    <s v="PHYSICIAN"/>
    <s v="M"/>
    <s v="No"/>
    <s v="MMIS"/>
    <s v="EastRPU"/>
    <s v="P"/>
    <m/>
    <m/>
    <m/>
    <s v=""/>
    <s v="E0221410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1"/>
    <m/>
    <m/>
    <m/>
    <m/>
    <s v="KACZYNSKI TANYA"/>
    <m/>
    <m/>
    <m/>
    <m/>
    <s v="KONEFAL KACZYNSKI TANYA"/>
    <s v="40 ARCH ST"/>
    <s v="JOHNSON CITY"/>
    <s v="NY"/>
    <s v="13790-2102"/>
    <s v="PHYSICIAN"/>
    <s v="M"/>
    <s v="No"/>
    <s v="MMIS"/>
    <s v="SouthRPU"/>
    <s v="P"/>
    <m/>
    <m/>
    <m/>
    <s v=""/>
    <s v="E0138526"/>
    <n v="0"/>
    <n v="0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KAHN RONALD DR."/>
    <m/>
    <m/>
    <m/>
    <m/>
    <s v="KAHN RONALD LEE            MD"/>
    <s v="GUTHRIE CLINIC LTD"/>
    <s v="SAYRE"/>
    <s v="PA"/>
    <s v="18840"/>
    <s v="PHYSICIAN"/>
    <s v="M"/>
    <s v="No"/>
    <s v="MMIS"/>
    <s v="SouthRPU"/>
    <s v="P"/>
    <m/>
    <m/>
    <m/>
    <s v=""/>
    <s v="E0251303"/>
    <n v="1"/>
    <n v="1"/>
    <n v="0"/>
    <n v="1"/>
    <n v="1"/>
    <n v="0"/>
    <n v="0"/>
    <n v="0"/>
    <n v="0"/>
    <n v="0"/>
    <n v="0"/>
    <x v="2"/>
    <s v=""/>
    <s v=""/>
    <s v=""/>
    <s v=""/>
    <s v=""/>
    <s v=""/>
    <s v=""/>
    <s v=""/>
    <s v=""/>
    <s v=""/>
    <s v=""/>
    <s v=""/>
  </r>
  <r>
    <x v="0"/>
    <m/>
    <m/>
    <m/>
    <m/>
    <s v="KALUSKI EDO"/>
    <m/>
    <m/>
    <m/>
    <m/>
    <s v="KALUSKI EDO"/>
    <s v="1 GUTHRIE SQ"/>
    <s v="SAYRE"/>
    <s v="PA"/>
    <s v="18840-1625"/>
    <s v="PHYSICIAN"/>
    <s v="M"/>
    <s v="No"/>
    <s v="MMIS"/>
    <s v="SouthRPU"/>
    <s v="P"/>
    <m/>
    <m/>
    <m/>
    <s v=""/>
    <s v="E0340891"/>
    <n v="1"/>
    <n v="1"/>
    <n v="0"/>
    <n v="0"/>
    <n v="0"/>
    <n v="0"/>
    <n v="0"/>
    <n v="0"/>
    <n v="0"/>
    <n v="1"/>
    <n v="0"/>
    <x v="1"/>
    <n v="1"/>
    <s v=""/>
    <s v=""/>
    <s v=""/>
    <s v=""/>
    <s v=""/>
    <s v=""/>
    <s v=""/>
    <s v=""/>
    <s v=""/>
    <n v="1"/>
    <s v=""/>
  </r>
  <r>
    <x v="0"/>
    <m/>
    <m/>
    <m/>
    <m/>
    <s v="DUMONT KAREN MS."/>
    <m/>
    <m/>
    <m/>
    <m/>
    <s v="DUMONT KAREN M"/>
    <s v="101 DATES DR"/>
    <s v="ITHACA"/>
    <s v="NY"/>
    <s v="14850-1342"/>
    <s v="PHYSICIAN"/>
    <s v="M"/>
    <s v="No"/>
    <s v="MMIS"/>
    <s v="NorthRPU"/>
    <s v="P"/>
    <m/>
    <m/>
    <m/>
    <s v=""/>
    <s v="E0172767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LAFACE KAREN DR."/>
    <m/>
    <m/>
    <m/>
    <m/>
    <s v="LA FACE KAREN MARIE"/>
    <s v="1780 HANSHAW RD"/>
    <s v="ITHACA"/>
    <s v="NY"/>
    <s v="14850-9105"/>
    <s v="PHYSICIAN"/>
    <s v="M"/>
    <s v="No"/>
    <s v="MMIS"/>
    <s v="NorthRPU"/>
    <s v="P"/>
    <m/>
    <m/>
    <m/>
    <s v=""/>
    <s v="E0099182"/>
    <n v="1"/>
    <n v="1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1"/>
    <m/>
    <m/>
    <m/>
    <m/>
    <s v="KARN DANIEL"/>
    <m/>
    <m/>
    <m/>
    <m/>
    <s v="KARN DANIEL F"/>
    <s v="23 CENTRAL STREET"/>
    <s v="MORAVIA"/>
    <s v="NY"/>
    <s v="13118-3427"/>
    <s v="PHYSICIAN"/>
    <s v="M"/>
    <s v="No"/>
    <s v="MMIS"/>
    <s v="NorthRPU"/>
    <s v="P"/>
    <m/>
    <m/>
    <m/>
    <s v=""/>
    <s v="E0313385"/>
    <n v="1"/>
    <n v="1"/>
    <n v="0"/>
    <n v="0"/>
    <n v="1"/>
    <n v="1"/>
    <n v="0"/>
    <n v="0"/>
    <n v="1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KARP JEANNE"/>
    <m/>
    <m/>
    <m/>
    <m/>
    <s v="KARP JEANNE FRANCES"/>
    <s v="33 MITCHELL AVE STE 102"/>
    <s v="BINGHAMTON"/>
    <s v="NY"/>
    <s v="13903-1642"/>
    <s v="PHYSICIAN"/>
    <s v="M"/>
    <s v="No"/>
    <s v="MMIS"/>
    <s v="SouthRPU"/>
    <s v="P"/>
    <m/>
    <m/>
    <m/>
    <s v="KARP JEANNE"/>
    <s v="E0290165"/>
    <s v="No"/>
    <s v="No"/>
    <s v="No"/>
    <s v="No"/>
    <s v="No"/>
    <s v="No"/>
    <s v="No"/>
    <s v="No"/>
    <n v="0"/>
    <s v="No"/>
    <s v="No"/>
    <x v="1"/>
    <s v=""/>
    <s v=""/>
    <s v=""/>
    <s v=""/>
    <s v=""/>
    <s v=""/>
    <s v=""/>
    <s v=""/>
    <s v=""/>
    <s v=""/>
    <s v=""/>
    <n v="1"/>
  </r>
  <r>
    <x v="0"/>
    <m/>
    <m/>
    <m/>
    <m/>
    <s v="KASHOU HISHAM"/>
    <m/>
    <m/>
    <m/>
    <m/>
    <s v="KASHOU HISHAM EMILE MD"/>
    <s v="601 RIVERSIDE DR"/>
    <s v="JOHNSON CITY"/>
    <s v="NY"/>
    <s v="13790-2597"/>
    <s v="PHYSICIAN"/>
    <s v="M"/>
    <s v="No"/>
    <s v="MMIS"/>
    <s v="SouthRPU"/>
    <s v="P"/>
    <m/>
    <m/>
    <m/>
    <s v=""/>
    <s v="E0183202"/>
    <n v="1"/>
    <n v="1"/>
    <n v="0"/>
    <n v="1"/>
    <n v="1"/>
    <n v="0"/>
    <n v="0"/>
    <n v="0"/>
    <n v="0"/>
    <n v="0"/>
    <n v="0"/>
    <x v="2"/>
    <n v="1"/>
    <s v=""/>
    <s v=""/>
    <s v=""/>
    <s v=""/>
    <s v=""/>
    <s v=""/>
    <s v=""/>
    <s v=""/>
    <s v=""/>
    <s v=""/>
    <s v=""/>
  </r>
  <r>
    <x v="0"/>
    <m/>
    <m/>
    <m/>
    <m/>
    <s v="KASIVAJJULA HIMABINDU"/>
    <m/>
    <m/>
    <m/>
    <m/>
    <s v="KASIVAJJULA HIMABINDU"/>
    <s v="639 MAIN ST"/>
    <s v="JOHNSON CITY"/>
    <s v="NY"/>
    <s v="13790-1805"/>
    <s v="PHYSICIAN"/>
    <s v="M"/>
    <s v="No"/>
    <s v="MMIS"/>
    <s v="SouthRPU"/>
    <s v="P"/>
    <m/>
    <m/>
    <m/>
    <s v="KASIVAJJULA HIMABINDU"/>
    <s v="E0392690"/>
    <s v="No"/>
    <s v="No"/>
    <s v="No"/>
    <s v="No"/>
    <s v="No"/>
    <s v="No"/>
    <s v="No"/>
    <s v="No"/>
    <n v="0"/>
    <s v="No"/>
    <s v="No"/>
    <x v="2"/>
    <n v="1"/>
    <s v=""/>
    <s v=""/>
    <s v=""/>
    <s v=""/>
    <s v=""/>
    <s v=""/>
    <s v=""/>
    <s v=""/>
    <s v=""/>
    <n v="1"/>
    <s v=""/>
  </r>
  <r>
    <x v="0"/>
    <m/>
    <m/>
    <m/>
    <m/>
    <s v="KASSIS ISKANDAR"/>
    <m/>
    <m/>
    <m/>
    <m/>
    <s v="KASSIS ISKANDAR ILVAS      MD"/>
    <s v="40 ARCH ST"/>
    <s v="JOHNSON CITY"/>
    <s v="NY"/>
    <s v="13790-2102"/>
    <s v="PHYSICIAN"/>
    <s v="M"/>
    <s v="No"/>
    <s v="MMIS"/>
    <s v="SouthRPU"/>
    <s v="P"/>
    <m/>
    <m/>
    <m/>
    <s v=""/>
    <s v="E0215775"/>
    <n v="1"/>
    <n v="1"/>
    <n v="0"/>
    <n v="1"/>
    <n v="1"/>
    <n v="0"/>
    <n v="0"/>
    <n v="0"/>
    <n v="0"/>
    <n v="0"/>
    <n v="0"/>
    <x v="2"/>
    <n v="1"/>
    <s v=""/>
    <s v=""/>
    <s v=""/>
    <s v=""/>
    <s v=""/>
    <s v=""/>
    <s v=""/>
    <s v=""/>
    <s v=""/>
    <n v="1"/>
    <s v=""/>
  </r>
  <r>
    <x v="0"/>
    <m/>
    <m/>
    <m/>
    <m/>
    <s v="HOLMES KATHERINE"/>
    <m/>
    <m/>
    <m/>
    <m/>
    <s v="HOLMES KATHERINE M MD"/>
    <s v="4435 SENECA RD"/>
    <s v="TRUMANSBURG"/>
    <s v="NY"/>
    <s v="14886-9201"/>
    <s v="PHYSICIAN"/>
    <s v="M"/>
    <s v="No"/>
    <s v="MMIS"/>
    <s v="NorthRPU"/>
    <s v="P"/>
    <m/>
    <m/>
    <m/>
    <s v=""/>
    <s v="E0324026"/>
    <n v="1"/>
    <n v="1"/>
    <n v="0"/>
    <n v="1"/>
    <n v="1"/>
    <n v="1"/>
    <n v="0"/>
    <n v="0"/>
    <n v="1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RUDERT KATHERINE"/>
    <m/>
    <m/>
    <m/>
    <m/>
    <s v="RUDERT KATHERINE G"/>
    <s v="10 GRAHAM RD W"/>
    <s v="ITHACA"/>
    <s v="NY"/>
    <s v="14850-1055"/>
    <s v="PHYSICIAN"/>
    <s v="M"/>
    <s v="No"/>
    <s v="MMIS"/>
    <s v="NorthRPU"/>
    <s v="P"/>
    <m/>
    <m/>
    <m/>
    <s v="Katherine Rudert"/>
    <s v="E0385191"/>
    <s v="No"/>
    <s v="No"/>
    <s v="No"/>
    <s v="No"/>
    <s v="No"/>
    <s v="No"/>
    <s v="No"/>
    <s v="No"/>
    <n v="0"/>
    <s v="No"/>
    <s v="No"/>
    <x v="1"/>
    <n v="1"/>
    <s v=""/>
    <s v=""/>
    <s v=""/>
    <s v=""/>
    <s v=""/>
    <s v=""/>
    <s v=""/>
    <s v=""/>
    <s v=""/>
    <s v=""/>
    <s v=""/>
  </r>
  <r>
    <x v="0"/>
    <m/>
    <m/>
    <m/>
    <m/>
    <s v="BLOSS KATHERINE"/>
    <m/>
    <m/>
    <m/>
    <m/>
    <s v="BLOSS KATHERINE ELIZABETH"/>
    <s v="117 HAWLEY ST"/>
    <s v="BINGHAMTON"/>
    <s v="NY"/>
    <s v="13901-3903"/>
    <s v="PHYSICIAN"/>
    <s v="M"/>
    <s v="No"/>
    <s v="MMIS"/>
    <s v="SouthRPU"/>
    <s v="P"/>
    <m/>
    <m/>
    <m/>
    <s v=""/>
    <s v="E0339349"/>
    <n v="0"/>
    <n v="0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GARDNER KATHLEEN"/>
    <m/>
    <m/>
    <m/>
    <m/>
    <s v="GARDNER KATHLEEN ELIZABETH"/>
    <s v="20 ARROWOOD DR"/>
    <s v="ITHACA"/>
    <s v="NY"/>
    <s v="14850-1857"/>
    <s v="PHYSICIAN"/>
    <s v="M"/>
    <s v="No"/>
    <s v="MMIS"/>
    <s v="NorthRPU"/>
    <s v="P"/>
    <m/>
    <m/>
    <m/>
    <s v=""/>
    <s v="E0029863"/>
    <n v="1"/>
    <n v="1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MURPHY KATHLEEN"/>
    <m/>
    <m/>
    <m/>
    <m/>
    <s v="MURPHY KATHLEEN J RPA"/>
    <s v="600 ROE AVE"/>
    <s v="ELMIRA"/>
    <s v="NY"/>
    <s v="14905-1629"/>
    <s v="PHYSICIAN"/>
    <s v="M"/>
    <s v="No"/>
    <s v="MMIS"/>
    <s v="NorthRPU"/>
    <s v="P"/>
    <m/>
    <m/>
    <m/>
    <s v="Kathleen Murphy"/>
    <s v="E0033286"/>
    <s v="No"/>
    <s v="No"/>
    <s v="No"/>
    <s v="No"/>
    <s v="No"/>
    <s v="No"/>
    <s v="No"/>
    <s v="No"/>
    <n v="0"/>
    <s v="No"/>
    <s v="No"/>
    <x v="1"/>
    <n v="1"/>
    <s v=""/>
    <s v=""/>
    <s v=""/>
    <s v=""/>
    <s v=""/>
    <s v=""/>
    <s v=""/>
    <s v=""/>
    <s v=""/>
    <s v=""/>
    <s v=""/>
  </r>
  <r>
    <x v="0"/>
    <m/>
    <m/>
    <m/>
    <m/>
    <s v="HOOPER KATHRYN MS."/>
    <m/>
    <m/>
    <m/>
    <m/>
    <s v="HOOPER KATHRYN"/>
    <s v="184 COURT ST"/>
    <s v="BINGHAMTON"/>
    <s v="NY"/>
    <s v="13901-3515"/>
    <s v="PHYSICIAN"/>
    <s v="M"/>
    <s v="No"/>
    <s v="MMIS"/>
    <s v="SouthRPU"/>
    <s v="P"/>
    <m/>
    <m/>
    <m/>
    <s v="Kathryn A. Hooper, FNP"/>
    <s v="E0341074"/>
    <s v="No"/>
    <s v="No"/>
    <s v="No"/>
    <s v="No"/>
    <s v="No"/>
    <s v="No"/>
    <s v="No"/>
    <s v="No"/>
    <n v="0"/>
    <s v="No"/>
    <s v="No"/>
    <x v="1"/>
    <n v="1"/>
    <s v=""/>
    <s v=""/>
    <s v=""/>
    <n v="1"/>
    <s v=""/>
    <s v=""/>
    <s v=""/>
    <s v=""/>
    <s v=""/>
    <n v="1"/>
    <s v=""/>
  </r>
  <r>
    <x v="0"/>
    <m/>
    <m/>
    <m/>
    <m/>
    <s v="ROOTH KATHRYN"/>
    <m/>
    <m/>
    <m/>
    <m/>
    <s v="ROOTH KATHRYN MARIE"/>
    <s v="101 DATES DR"/>
    <s v="ITHACA"/>
    <s v="NY"/>
    <s v="14850-1342"/>
    <s v="PHYSICIAN"/>
    <s v="M"/>
    <s v="No"/>
    <s v="MMIS"/>
    <s v="NorthRPU"/>
    <s v="P"/>
    <m/>
    <m/>
    <m/>
    <s v=""/>
    <s v="E0339228"/>
    <n v="1"/>
    <n v="1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s v=""/>
    <s v=""/>
  </r>
  <r>
    <x v="1"/>
    <m/>
    <m/>
    <m/>
    <m/>
    <s v="KEATING CATHERINE"/>
    <m/>
    <m/>
    <m/>
    <m/>
    <s v="KEATING CATHERINE I"/>
    <s v="20 ELM ST"/>
    <s v="PITTSFIELD"/>
    <s v="MA"/>
    <s v="01201-6502"/>
    <s v="PHYSICIAN"/>
    <s v="M"/>
    <s v="No"/>
    <s v="MMIS"/>
    <s v="NorthRPU"/>
    <s v="P"/>
    <m/>
    <m/>
    <m/>
    <s v=""/>
    <s v="E0001991"/>
    <n v="0"/>
    <n v="0"/>
    <n v="0"/>
    <n v="0"/>
    <n v="0"/>
    <n v="0"/>
    <n v="0"/>
    <n v="0"/>
    <n v="0"/>
    <n v="0"/>
    <n v="0"/>
    <x v="2"/>
    <n v="1"/>
    <s v=""/>
    <s v=""/>
    <s v=""/>
    <s v=""/>
    <s v=""/>
    <s v=""/>
    <s v=""/>
    <s v=""/>
    <s v=""/>
    <n v="1"/>
    <s v=""/>
  </r>
  <r>
    <x v="0"/>
    <m/>
    <m/>
    <m/>
    <m/>
    <s v="WERNER KELLY"/>
    <m/>
    <m/>
    <m/>
    <m/>
    <s v="WERNER KELLY A"/>
    <s v="169 RIVERSIDE DR"/>
    <s v="BINGHAMTON"/>
    <s v="NY"/>
    <s v="13905-4246"/>
    <s v="PHYSICIAN"/>
    <s v="M"/>
    <s v="No"/>
    <s v="MMIS"/>
    <s v="SouthRPU"/>
    <s v="P"/>
    <m/>
    <m/>
    <m/>
    <s v="Kelly A. Werner, PA-C"/>
    <s v="E0397555"/>
    <s v="No"/>
    <s v="No"/>
    <s v="No"/>
    <s v="No"/>
    <s v="No"/>
    <s v="No"/>
    <s v="No"/>
    <s v="No"/>
    <n v="0"/>
    <s v="No"/>
    <s v="No"/>
    <x v="1"/>
    <n v="1"/>
    <s v=""/>
    <s v=""/>
    <s v=""/>
    <s v=""/>
    <s v=""/>
    <s v=""/>
    <s v=""/>
    <s v=""/>
    <s v=""/>
    <s v=""/>
    <s v=""/>
  </r>
  <r>
    <x v="0"/>
    <m/>
    <m/>
    <m/>
    <m/>
    <s v="BUTLER KELLY"/>
    <m/>
    <m/>
    <m/>
    <m/>
    <s v="BUTLER KELLY ANN"/>
    <s v="179 RIVER ST"/>
    <s v="ONEONTA"/>
    <s v="NY"/>
    <s v="13820-2239"/>
    <s v="PHYSICIAN"/>
    <s v="M"/>
    <s v="No"/>
    <s v="MMIS"/>
    <s v="EastRPU"/>
    <s v="P"/>
    <m/>
    <m/>
    <m/>
    <s v=""/>
    <s v="E0015384"/>
    <n v="0"/>
    <n v="0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REYNOLDS KELLY"/>
    <m/>
    <m/>
    <m/>
    <m/>
    <s v="REYNOLDS KELLY M"/>
    <s v="4417 VESTAL PKWY E"/>
    <s v="VESTAL"/>
    <s v="NY"/>
    <s v="13850-3556"/>
    <s v="PHYSICIAN"/>
    <s v="M"/>
    <s v="No"/>
    <s v="MMIS"/>
    <s v="SouthRPU"/>
    <s v="P"/>
    <m/>
    <m/>
    <m/>
    <s v=""/>
    <s v="E0347070"/>
    <n v="1"/>
    <n v="1"/>
    <n v="0"/>
    <n v="1"/>
    <n v="1"/>
    <n v="0"/>
    <n v="0"/>
    <n v="0"/>
    <n v="0"/>
    <n v="1"/>
    <n v="0"/>
    <x v="1"/>
    <n v="1"/>
    <s v=""/>
    <s v=""/>
    <s v=""/>
    <s v=""/>
    <s v=""/>
    <s v=""/>
    <s v=""/>
    <s v=""/>
    <s v=""/>
    <n v="1"/>
    <s v=""/>
  </r>
  <r>
    <x v="0"/>
    <m/>
    <m/>
    <m/>
    <m/>
    <s v="WILMARTH KELLY"/>
    <m/>
    <m/>
    <m/>
    <m/>
    <s v="WILMARTH KELLY J"/>
    <s v="3101 SHIPPERS RD STE 203"/>
    <s v="VESTAL"/>
    <s v="NY"/>
    <s v="13850-2003"/>
    <s v="PHYSICIAN"/>
    <s v="M"/>
    <s v="No"/>
    <s v="MMIS"/>
    <s v="SouthRPU"/>
    <s v="P"/>
    <m/>
    <m/>
    <m/>
    <s v="Kelly S. Wilmarth, FNP"/>
    <s v="E0395537"/>
    <s v="No"/>
    <s v="No"/>
    <s v="No"/>
    <s v="No"/>
    <s v="No"/>
    <s v="No"/>
    <s v="No"/>
    <s v="No"/>
    <n v="0"/>
    <s v="No"/>
    <s v="No"/>
    <x v="2"/>
    <n v="1"/>
    <s v=""/>
    <s v=""/>
    <s v=""/>
    <s v=""/>
    <s v=""/>
    <s v=""/>
    <s v=""/>
    <s v=""/>
    <s v=""/>
    <n v="1"/>
    <s v=""/>
  </r>
  <r>
    <x v="0"/>
    <m/>
    <m/>
    <m/>
    <m/>
    <s v="LUCAS KENNETH"/>
    <s v="210 E GRAY ST, STE 601"/>
    <s v="LOUISVILLE"/>
    <s v="KY"/>
    <s v="402023902"/>
    <m/>
    <m/>
    <m/>
    <m/>
    <m/>
    <m/>
    <s v="M"/>
    <s v="No"/>
    <s v="NPI only"/>
    <s v="SouthRPU"/>
    <s v="P"/>
    <m/>
    <m/>
    <m/>
    <s v="Kenneth G. Lucas, MD"/>
    <m/>
    <s v="No"/>
    <s v="No"/>
    <s v="No"/>
    <s v="No"/>
    <s v="No"/>
    <s v="No"/>
    <s v="No"/>
    <s v="No"/>
    <n v="0"/>
    <s v="No"/>
    <s v="No"/>
    <x v="1"/>
    <s v=""/>
    <s v=""/>
    <s v=""/>
    <s v=""/>
    <s v=""/>
    <s v=""/>
    <s v=""/>
    <s v=""/>
    <s v=""/>
    <s v=""/>
    <s v=""/>
    <n v="1"/>
  </r>
  <r>
    <x v="0"/>
    <m/>
    <m/>
    <m/>
    <m/>
    <s v="KENNY JOSEPH"/>
    <m/>
    <m/>
    <m/>
    <m/>
    <s v="KENNY JOSEPH"/>
    <s v="33-57 HARRISON ST PI"/>
    <s v="JOHNSON CITY"/>
    <s v="NY"/>
    <s v="13790"/>
    <s v="THERAPIST"/>
    <s v="M"/>
    <s v="No"/>
    <s v="MMIS"/>
    <s v="SouthRPU"/>
    <s v="P"/>
    <m/>
    <m/>
    <m/>
    <s v="KENNY JOSEPH"/>
    <s v="E0339792"/>
    <s v="No"/>
    <s v="No"/>
    <s v="No"/>
    <s v="No"/>
    <s v="No"/>
    <s v="No"/>
    <s v="No"/>
    <s v="No"/>
    <n v="0"/>
    <s v="No"/>
    <s v="No"/>
    <x v="1"/>
    <s v=""/>
    <s v=""/>
    <s v=""/>
    <s v=""/>
    <s v=""/>
    <s v=""/>
    <s v=""/>
    <s v=""/>
    <s v=""/>
    <s v=""/>
    <s v=""/>
    <n v="1"/>
  </r>
  <r>
    <x v="0"/>
    <m/>
    <m/>
    <m/>
    <m/>
    <s v="KERNER CHERYL MRS."/>
    <m/>
    <m/>
    <m/>
    <m/>
    <s v="KERNER CHERYL R NP"/>
    <s v="14 KENNEDY PKWY"/>
    <s v="CORTLAND"/>
    <s v="NY"/>
    <s v="13045-1435"/>
    <s v="PHYSICIAN"/>
    <s v="M"/>
    <s v="No"/>
    <s v="MMIS"/>
    <s v="NorthRPU"/>
    <s v="P"/>
    <m/>
    <m/>
    <m/>
    <s v=""/>
    <s v="E0018465"/>
    <n v="0"/>
    <n v="0"/>
    <n v="0"/>
    <n v="0"/>
    <n v="0"/>
    <n v="0"/>
    <n v="0"/>
    <n v="0"/>
    <n v="0"/>
    <n v="0"/>
    <n v="0"/>
    <x v="1"/>
    <n v="1"/>
    <s v=""/>
    <s v=""/>
    <s v=""/>
    <n v="1"/>
    <s v=""/>
    <s v=""/>
    <s v=""/>
    <s v=""/>
    <s v=""/>
    <s v=""/>
    <s v=""/>
  </r>
  <r>
    <x v="1"/>
    <m/>
    <m/>
    <m/>
    <m/>
    <s v="KERR CHERYL"/>
    <m/>
    <m/>
    <m/>
    <m/>
    <s v="KERR CHERYL MD"/>
    <s v="UNITED HLTH SVC HOSP"/>
    <s v="BINGHAMTON"/>
    <s v="NY"/>
    <s v="13903-1617"/>
    <s v="PHYSICIAN"/>
    <s v="M"/>
    <s v="No"/>
    <s v="MMIS"/>
    <s v="SouthRPU"/>
    <s v="P"/>
    <m/>
    <m/>
    <m/>
    <s v=""/>
    <s v="E0237468"/>
    <n v="0"/>
    <n v="0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PATEL KETAN"/>
    <m/>
    <m/>
    <m/>
    <m/>
    <s v="PATEL KETAN ARVINDBHAI MD"/>
    <s v="100 HIGH ST"/>
    <s v="BUFFALO"/>
    <s v="NY"/>
    <s v="14203-1126"/>
    <s v="PHYSICIAN"/>
    <s v="M"/>
    <s v="No"/>
    <s v="MMIS"/>
    <s v="SouthRPU"/>
    <s v="P"/>
    <m/>
    <m/>
    <m/>
    <s v=""/>
    <s v="E0039701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KHAN AHMED DR."/>
    <m/>
    <m/>
    <m/>
    <m/>
    <s v="KHAN AHMED MOHAMMAD"/>
    <m/>
    <m/>
    <m/>
    <m/>
    <s v="PHYSICIAN"/>
    <s v="M"/>
    <s v="No"/>
    <s v="MMIS"/>
    <s v="SouthRPU"/>
    <s v="P"/>
    <m/>
    <m/>
    <m/>
    <s v="Khan Ahmed"/>
    <s v="E0443061"/>
    <s v="No"/>
    <s v="No"/>
    <s v="No"/>
    <s v="No"/>
    <s v="No"/>
    <s v="No"/>
    <s v="No"/>
    <s v="No"/>
    <n v="0"/>
    <s v="No"/>
    <s v="No"/>
    <x v="1"/>
    <n v="1"/>
    <s v=""/>
    <s v=""/>
    <s v=""/>
    <s v=""/>
    <s v=""/>
    <s v=""/>
    <s v=""/>
    <s v=""/>
    <s v=""/>
    <s v=""/>
    <s v=""/>
  </r>
  <r>
    <x v="0"/>
    <m/>
    <m/>
    <m/>
    <m/>
    <s v="KHAN MAHMUD"/>
    <m/>
    <m/>
    <m/>
    <m/>
    <s v="KHAN MAHMUD MD"/>
    <s v="116 N JENSEN RD"/>
    <s v="VESTAL"/>
    <s v="NY"/>
    <s v="13850-2128"/>
    <s v="PHYSICIAN"/>
    <s v="M"/>
    <s v="No"/>
    <s v="MMIS"/>
    <s v="SouthRPU"/>
    <s v="P"/>
    <m/>
    <m/>
    <m/>
    <s v=""/>
    <s v="E0025317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1"/>
    <m/>
    <m/>
    <m/>
    <m/>
    <s v="KHAN ROWSHANUL DR."/>
    <m/>
    <m/>
    <m/>
    <m/>
    <s v="KHAN ROWSHANUL ISLAM"/>
    <s v="130 CENTER WAY"/>
    <s v="CORNING"/>
    <s v="NY"/>
    <s v="14830-2255"/>
    <s v="PHYSICIAN"/>
    <s v="M"/>
    <s v="No"/>
    <s v="MMIS"/>
    <s v="WestRPU"/>
    <s v="P"/>
    <m/>
    <m/>
    <m/>
    <s v=""/>
    <s v="E0083932"/>
    <n v="1"/>
    <n v="1"/>
    <n v="0"/>
    <n v="0"/>
    <n v="0"/>
    <n v="0"/>
    <n v="0"/>
    <n v="1"/>
    <n v="1"/>
    <n v="1"/>
    <n v="0"/>
    <x v="2"/>
    <s v=""/>
    <s v=""/>
    <s v=""/>
    <s v=""/>
    <s v=""/>
    <s v=""/>
    <s v=""/>
    <s v=""/>
    <s v=""/>
    <s v=""/>
    <n v="1"/>
    <s v=""/>
  </r>
  <r>
    <x v="0"/>
    <m/>
    <m/>
    <m/>
    <m/>
    <s v="REHMAN KHAULA DR."/>
    <m/>
    <m/>
    <m/>
    <m/>
    <s v="REHMAN KHAULA MD"/>
    <s v="7603 STATE ROUTE 54"/>
    <s v="BATH"/>
    <s v="NY"/>
    <s v="14810-7930"/>
    <s v="PHYSICIAN"/>
    <s v="M"/>
    <s v="No"/>
    <s v="MMIS"/>
    <s v="SouthRPU"/>
    <s v="P"/>
    <m/>
    <m/>
    <m/>
    <s v="Khaula Rehman, MD"/>
    <s v="E0043818"/>
    <s v="No"/>
    <s v="No"/>
    <s v="No"/>
    <s v="No"/>
    <s v="No"/>
    <s v="No"/>
    <s v="No"/>
    <s v="No"/>
    <n v="1"/>
    <s v="No"/>
    <s v="No"/>
    <x v="2"/>
    <n v="1"/>
    <s v=""/>
    <s v=""/>
    <s v=""/>
    <s v=""/>
    <s v=""/>
    <s v=""/>
    <s v=""/>
    <s v=""/>
    <s v=""/>
    <n v="1"/>
    <s v=""/>
  </r>
  <r>
    <x v="0"/>
    <m/>
    <m/>
    <m/>
    <m/>
    <s v="KHETI YATIN DR."/>
    <m/>
    <m/>
    <m/>
    <m/>
    <s v="KHETI YATIN"/>
    <s v="134 HOMER AVE"/>
    <s v="CORTLAND"/>
    <s v="NY"/>
    <s v="13045-1257"/>
    <s v="PHYSICIAN"/>
    <s v="M"/>
    <s v="No"/>
    <s v="MMIS"/>
    <s v="NorthRPU"/>
    <s v="P"/>
    <m/>
    <m/>
    <m/>
    <s v="KHETI YATIN DR."/>
    <s v="E0412734"/>
    <s v="No"/>
    <s v="No"/>
    <s v="No"/>
    <s v="No"/>
    <s v="No"/>
    <s v="No"/>
    <s v="No"/>
    <s v="No"/>
    <n v="0"/>
    <s v="No"/>
    <s v="No"/>
    <x v="2"/>
    <s v=""/>
    <s v=""/>
    <s v=""/>
    <s v=""/>
    <s v=""/>
    <s v=""/>
    <s v=""/>
    <s v=""/>
    <s v=""/>
    <s v=""/>
    <s v=""/>
    <s v=""/>
  </r>
  <r>
    <x v="0"/>
    <m/>
    <m/>
    <m/>
    <m/>
    <s v="HWANG KIM"/>
    <m/>
    <m/>
    <m/>
    <m/>
    <s v="HWANG KIM S MD"/>
    <s v="BUFFALO GEN X-RAY"/>
    <s v="BUFFALO"/>
    <s v="NY"/>
    <s v="14203-1126"/>
    <s v="PHYSICIAN"/>
    <s v="M"/>
    <s v="No"/>
    <s v="MMIS"/>
    <s v="NorthRPU"/>
    <s v="P"/>
    <m/>
    <m/>
    <m/>
    <s v=""/>
    <s v="E0140636"/>
    <n v="1"/>
    <n v="1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KIM JIN"/>
    <m/>
    <m/>
    <m/>
    <m/>
    <s v="KIM JIN BAI MD"/>
    <s v="STE 108"/>
    <s v="BINGHAMTON"/>
    <s v="NY"/>
    <s v="13903-1642"/>
    <s v="PHYSICIAN"/>
    <s v="M"/>
    <s v="No"/>
    <s v="MMIS"/>
    <s v="SouthRPU"/>
    <s v="P"/>
    <m/>
    <m/>
    <m/>
    <s v=""/>
    <s v="E0184815"/>
    <n v="1"/>
    <n v="1"/>
    <n v="0"/>
    <n v="1"/>
    <n v="1"/>
    <n v="0"/>
    <n v="0"/>
    <n v="0"/>
    <n v="0"/>
    <n v="0"/>
    <n v="1"/>
    <x v="1"/>
    <n v="1"/>
    <s v=""/>
    <s v=""/>
    <s v=""/>
    <s v=""/>
    <s v=""/>
    <s v=""/>
    <s v=""/>
    <s v=""/>
    <s v=""/>
    <s v=""/>
    <s v=""/>
  </r>
  <r>
    <x v="0"/>
    <m/>
    <m/>
    <m/>
    <m/>
    <s v="YOUNG KIMBERLY DR."/>
    <m/>
    <m/>
    <m/>
    <m/>
    <s v="CARNEY YOUNG KIMBERLY"/>
    <s v="1301 TRUMANSBURG RD"/>
    <s v="ITHACA"/>
    <s v="NY"/>
    <s v="14850-1397"/>
    <s v="PHYSICIAN"/>
    <s v="M"/>
    <s v="No"/>
    <s v="MMIS"/>
    <s v="NorthRPU"/>
    <s v="P"/>
    <m/>
    <m/>
    <m/>
    <s v=""/>
    <s v="E0311369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KING JOSEPH DR."/>
    <m/>
    <m/>
    <m/>
    <m/>
    <s v="KING JOSEPH TAK-PUN"/>
    <s v="GUTHRIE CLINIC LTD"/>
    <s v="SAYRE"/>
    <s v="PA"/>
    <s v="18840"/>
    <s v="PHYSICIAN"/>
    <s v="M"/>
    <s v="No"/>
    <s v="MMIS"/>
    <s v="SouthRPU"/>
    <s v="P"/>
    <m/>
    <m/>
    <m/>
    <s v=""/>
    <s v="E0220329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MEHTA KINNER DR."/>
    <m/>
    <m/>
    <m/>
    <m/>
    <s v="MEHTA KINNER ARVIND MD"/>
    <s v="3101 SHIPPERS ROAD  STE 202"/>
    <s v="VESTAL"/>
    <s v="NY"/>
    <s v="13850-2003"/>
    <s v="PHYSICIAN"/>
    <s v="M"/>
    <s v="No"/>
    <s v="MMIS"/>
    <s v="SouthRPU"/>
    <s v="P"/>
    <m/>
    <m/>
    <m/>
    <s v="Kinner Mehta, MD"/>
    <s v="E0286698"/>
    <s v="No"/>
    <s v="No"/>
    <s v="No"/>
    <s v="No"/>
    <s v="No"/>
    <s v="No"/>
    <s v="No"/>
    <s v="No"/>
    <n v="0"/>
    <s v="No"/>
    <s v="No"/>
    <x v="2"/>
    <s v=""/>
    <s v=""/>
    <s v=""/>
    <s v=""/>
    <s v=""/>
    <s v=""/>
    <s v=""/>
    <s v=""/>
    <s v=""/>
    <s v=""/>
    <n v="1"/>
    <s v=""/>
  </r>
  <r>
    <x v="0"/>
    <m/>
    <m/>
    <m/>
    <m/>
    <s v="RAYALAM KIRAN"/>
    <m/>
    <m/>
    <m/>
    <m/>
    <s v="RAYALAM KIRAN REDDY"/>
    <s v="500 5TH AVE"/>
    <s v="OWEGO"/>
    <s v="NY"/>
    <s v="13827-1620"/>
    <s v="PHYSICIAN"/>
    <s v="M"/>
    <s v="No"/>
    <s v="MMIS"/>
    <s v="SouthRPU"/>
    <s v="P"/>
    <m/>
    <m/>
    <m/>
    <s v="Kiran Rayalam, MD, MPH"/>
    <s v="E0376378"/>
    <s v="No"/>
    <s v="No"/>
    <s v="No"/>
    <s v="No"/>
    <s v="No"/>
    <s v="No"/>
    <s v="No"/>
    <s v="No"/>
    <n v="0"/>
    <s v="No"/>
    <s v="No"/>
    <x v="2"/>
    <s v=""/>
    <s v=""/>
    <s v=""/>
    <s v=""/>
    <s v=""/>
    <s v=""/>
    <s v=""/>
    <s v=""/>
    <s v=""/>
    <s v=""/>
    <n v="1"/>
    <s v=""/>
  </r>
  <r>
    <x v="0"/>
    <m/>
    <m/>
    <m/>
    <m/>
    <s v="KISSI HARRY DR."/>
    <m/>
    <m/>
    <m/>
    <m/>
    <s v="KISSI HARRY A"/>
    <s v="38A CLASSIC ST"/>
    <s v="SHERBURNE"/>
    <s v="NY"/>
    <s v="13460-9723"/>
    <s v="PHYSICIAN"/>
    <s v="M"/>
    <s v="No"/>
    <s v="MMIS"/>
    <s v="EastRPU"/>
    <s v="P"/>
    <m/>
    <m/>
    <m/>
    <s v=""/>
    <s v="E0310657"/>
    <n v="0"/>
    <n v="0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1"/>
    <m/>
    <m/>
    <m/>
    <m/>
    <s v="KLEIN ELEANOR"/>
    <m/>
    <m/>
    <m/>
    <m/>
    <s v="KLEIN ELEANOR CHRISTINE"/>
    <s v="2805 CINCINNATUS RD"/>
    <s v="CINCINNATUS"/>
    <s v="NY"/>
    <s v="13040-9685"/>
    <s v="PHYSICIAN"/>
    <s v="M"/>
    <s v="No"/>
    <s v="MMIS"/>
    <s v="NorthRPU"/>
    <s v="P"/>
    <m/>
    <m/>
    <m/>
    <s v=""/>
    <s v="E0049766"/>
    <n v="1"/>
    <n v="1"/>
    <n v="0"/>
    <n v="0"/>
    <n v="1"/>
    <n v="1"/>
    <n v="0"/>
    <n v="0"/>
    <n v="1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KLIMENT ANDREW MR."/>
    <m/>
    <m/>
    <m/>
    <m/>
    <s v="KLIMENT ANDREW TAYLOR"/>
    <s v="174 OAKDALE RD"/>
    <s v="JOHNSON CITY"/>
    <s v="NY"/>
    <s v="13790-1049"/>
    <s v="THERAPIST"/>
    <s v="M"/>
    <s v="No"/>
    <s v="MMIS"/>
    <s v="SouthRPU"/>
    <s v="P"/>
    <m/>
    <m/>
    <m/>
    <s v=""/>
    <s v="E0368255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KOH HAN DR."/>
    <m/>
    <m/>
    <m/>
    <m/>
    <s v="KOH HAN SUK MD"/>
    <s v="GUTHRIE SQUARE"/>
    <s v="SAYRE"/>
    <s v="PA"/>
    <s v="18840"/>
    <s v="PHYSICIAN"/>
    <s v="M"/>
    <s v="No"/>
    <s v="MMIS"/>
    <s v="SouthRPU"/>
    <s v="P"/>
    <m/>
    <m/>
    <m/>
    <s v=""/>
    <s v="E0080495"/>
    <n v="1"/>
    <n v="1"/>
    <n v="0"/>
    <n v="0"/>
    <n v="0"/>
    <n v="0"/>
    <n v="0"/>
    <n v="0"/>
    <n v="0"/>
    <n v="1"/>
    <n v="0"/>
    <x v="2"/>
    <n v="1"/>
    <s v=""/>
    <s v=""/>
    <s v=""/>
    <s v=""/>
    <s v=""/>
    <s v=""/>
    <s v=""/>
    <s v=""/>
    <s v=""/>
    <n v="1"/>
    <s v=""/>
  </r>
  <r>
    <x v="0"/>
    <m/>
    <m/>
    <m/>
    <m/>
    <s v="KOHN DANIEL DR."/>
    <m/>
    <m/>
    <m/>
    <m/>
    <s v="KOHN DANIEL MICHAEL"/>
    <s v="1 GUTHRIE SQ"/>
    <s v="SAYRE"/>
    <s v="PA"/>
    <s v="18840-1625"/>
    <s v="PHYSICIAN"/>
    <s v="M"/>
    <s v="No"/>
    <s v="MMIS"/>
    <s v="SouthRPU"/>
    <s v="P"/>
    <m/>
    <m/>
    <m/>
    <s v=""/>
    <s v="E0343524"/>
    <n v="0"/>
    <n v="0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KOLADE VICTOR DR."/>
    <m/>
    <m/>
    <m/>
    <m/>
    <s v="KOLADE VICTOR O"/>
    <s v="1 GUTHRIE SQ"/>
    <s v="SAYRE"/>
    <s v="PA"/>
    <s v="18840-1625"/>
    <s v="PHYSICIAN"/>
    <s v="M"/>
    <s v="No"/>
    <s v="MMIS"/>
    <s v="NorthRPU"/>
    <s v="P"/>
    <m/>
    <m/>
    <m/>
    <s v="Kolade Victor"/>
    <s v="E0036860"/>
    <s v="No"/>
    <s v="No"/>
    <s v="No"/>
    <s v="No"/>
    <s v="No"/>
    <s v="No"/>
    <s v="No"/>
    <s v="No"/>
    <n v="0"/>
    <s v="No"/>
    <s v="No"/>
    <x v="2"/>
    <n v="1"/>
    <s v=""/>
    <s v=""/>
    <s v=""/>
    <s v=""/>
    <s v=""/>
    <s v=""/>
    <s v=""/>
    <s v=""/>
    <s v=""/>
    <n v="1"/>
    <s v=""/>
  </r>
  <r>
    <x v="0"/>
    <m/>
    <m/>
    <m/>
    <m/>
    <s v="KOMATINSKY PAUL MR."/>
    <m/>
    <m/>
    <m/>
    <m/>
    <s v="KOMATINSKY PAUL J"/>
    <s v="257 MAIN ST"/>
    <s v="BINGHAMTON"/>
    <s v="NY"/>
    <s v="13905-2522"/>
    <s v="CLINICAL SOCIAL WORKER (CSW)"/>
    <s v="M"/>
    <s v="No"/>
    <s v="MMIS"/>
    <s v="SouthRPU"/>
    <s v="P"/>
    <m/>
    <m/>
    <m/>
    <s v=""/>
    <s v="E0068647"/>
    <n v="0"/>
    <n v="0"/>
    <n v="0"/>
    <n v="0"/>
    <n v="0"/>
    <n v="0"/>
    <n v="0"/>
    <n v="0"/>
    <n v="0"/>
    <n v="0"/>
    <n v="0"/>
    <x v="1"/>
    <n v="1"/>
    <s v=""/>
    <s v=""/>
    <s v=""/>
    <n v="1"/>
    <s v=""/>
    <s v=""/>
    <s v=""/>
    <s v=""/>
    <s v=""/>
    <s v=""/>
    <s v=""/>
  </r>
  <r>
    <x v="0"/>
    <m/>
    <m/>
    <m/>
    <m/>
    <s v="KONDRUP JAMES DR."/>
    <m/>
    <m/>
    <m/>
    <m/>
    <s v="KONDRUP JAMES DANA MD"/>
    <s v="161 RIVERSIDE DR STE 109"/>
    <s v="BINGHAMTON"/>
    <s v="NY"/>
    <s v="13905-4178"/>
    <s v="PHYSICIAN"/>
    <s v="M"/>
    <s v="No"/>
    <s v="MMIS"/>
    <s v="SouthRPU"/>
    <s v="P"/>
    <m/>
    <m/>
    <m/>
    <s v="KONDRUP JAMES DR."/>
    <s v="E0190541"/>
    <s v="No"/>
    <s v="No"/>
    <s v="No"/>
    <s v="No"/>
    <s v="No"/>
    <s v="No"/>
    <s v="No"/>
    <s v="No"/>
    <n v="0"/>
    <s v="No"/>
    <s v="No"/>
    <x v="1"/>
    <n v="1"/>
    <s v=""/>
    <s v=""/>
    <s v=""/>
    <s v=""/>
    <s v=""/>
    <s v=""/>
    <s v=""/>
    <s v=""/>
    <s v=""/>
    <n v="1"/>
    <s v=""/>
  </r>
  <r>
    <x v="0"/>
    <m/>
    <m/>
    <m/>
    <m/>
    <s v="KOWALSKI TADEUS DR."/>
    <m/>
    <m/>
    <m/>
    <m/>
    <s v="KOWALSKI TADEUS EDWARD"/>
    <s v="135 N MAIN ST"/>
    <s v="CORTLAND"/>
    <s v="NY"/>
    <s v="13045-1226"/>
    <s v="PHYSICIAN"/>
    <s v="M"/>
    <s v="No"/>
    <s v="MMIS"/>
    <s v="NorthRPU"/>
    <s v="P"/>
    <m/>
    <m/>
    <m/>
    <s v="KOWALSKI TADEUS EDWARD"/>
    <s v="E0406653"/>
    <s v="No"/>
    <s v="No"/>
    <s v="No"/>
    <s v="No"/>
    <s v="No"/>
    <s v="No"/>
    <s v="No"/>
    <s v="No"/>
    <n v="0"/>
    <s v="No"/>
    <s v="No"/>
    <x v="1"/>
    <n v="1"/>
    <s v=""/>
    <s v=""/>
    <s v=""/>
    <n v="1"/>
    <s v=""/>
    <s v=""/>
    <s v=""/>
    <s v=""/>
    <s v=""/>
    <s v=""/>
    <s v=""/>
  </r>
  <r>
    <x v="0"/>
    <m/>
    <m/>
    <m/>
    <m/>
    <s v="ROBILLARD KRISTEN DR."/>
    <m/>
    <m/>
    <m/>
    <m/>
    <s v="ROBILLARD KRISTEN E MD"/>
    <s v="LOURDES FAM PRAC"/>
    <s v="OWEGO"/>
    <s v="NY"/>
    <s v="13827-1603"/>
    <s v="PHYSICIAN"/>
    <s v="M"/>
    <s v="No"/>
    <s v="MMIS"/>
    <s v="SouthRPU"/>
    <s v="P"/>
    <m/>
    <m/>
    <m/>
    <s v="Kristen E. Robillard, MD"/>
    <s v="E0143939"/>
    <s v="No"/>
    <s v="No"/>
    <s v="No"/>
    <s v="No"/>
    <s v="No"/>
    <s v="No"/>
    <s v="No"/>
    <s v="No"/>
    <n v="0"/>
    <s v="No"/>
    <s v="No"/>
    <x v="2"/>
    <s v=""/>
    <s v=""/>
    <s v=""/>
    <s v=""/>
    <s v=""/>
    <s v=""/>
    <s v=""/>
    <s v=""/>
    <s v=""/>
    <s v=""/>
    <n v="1"/>
    <s v=""/>
  </r>
  <r>
    <x v="0"/>
    <m/>
    <m/>
    <m/>
    <m/>
    <s v="ISENBERG KRISTIN MISS"/>
    <m/>
    <m/>
    <m/>
    <m/>
    <s v="ISENBERG KRISTIN J RPA"/>
    <s v="169 RIVERSIDE DR"/>
    <s v="BINGHAMTON"/>
    <s v="NY"/>
    <s v="13905-4246"/>
    <s v="PHYSICIAN"/>
    <s v="M"/>
    <s v="No"/>
    <s v="MMIS"/>
    <s v="SouthRPU"/>
    <s v="P"/>
    <m/>
    <m/>
    <m/>
    <s v="Kristin J. Isenberg, RPA-C"/>
    <s v="E0008827"/>
    <s v="No"/>
    <s v="No"/>
    <s v="No"/>
    <s v="No"/>
    <s v="No"/>
    <s v="No"/>
    <s v="No"/>
    <s v="No"/>
    <n v="0"/>
    <s v="No"/>
    <s v="No"/>
    <x v="1"/>
    <n v="1"/>
    <s v=""/>
    <s v=""/>
    <s v=""/>
    <s v=""/>
    <s v=""/>
    <s v=""/>
    <s v=""/>
    <s v=""/>
    <s v=""/>
    <n v="1"/>
    <s v=""/>
  </r>
  <r>
    <x v="1"/>
    <m/>
    <m/>
    <m/>
    <m/>
    <s v="CUMMINGS KRISTINA"/>
    <m/>
    <m/>
    <m/>
    <m/>
    <s v="CUMMINGS KRISTINA MAE"/>
    <s v="230 STEUBEN ST"/>
    <s v="MONTOUR FALLS"/>
    <s v="NY"/>
    <s v="14865-9648"/>
    <s v="PHYSICIAN"/>
    <s v="M"/>
    <s v="No"/>
    <s v="MMIS"/>
    <s v="NorthRPU"/>
    <s v="P"/>
    <m/>
    <m/>
    <m/>
    <s v=""/>
    <s v="E0288299"/>
    <n v="1"/>
    <n v="1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KRIZAN BRUCE"/>
    <m/>
    <m/>
    <m/>
    <m/>
    <s v="KRIZAN BRUCE"/>
    <s v="257 MAIN ST"/>
    <s v="BINGHAMTON"/>
    <s v="NY"/>
    <s v="13905-2522"/>
    <s v="CLINICAL SOCIAL WORKER (CSW)"/>
    <s v="M"/>
    <s v="No"/>
    <s v="MMIS"/>
    <s v="SouthRPU"/>
    <s v="P"/>
    <m/>
    <m/>
    <m/>
    <s v="KRIZAN BRUCE"/>
    <s v="E0287466"/>
    <s v="No"/>
    <s v="No"/>
    <s v="No"/>
    <s v="No"/>
    <s v="No"/>
    <s v="No"/>
    <s v="No"/>
    <s v="No"/>
    <n v="0"/>
    <s v="No"/>
    <s v="No"/>
    <x v="1"/>
    <s v=""/>
    <s v=""/>
    <s v=""/>
    <s v=""/>
    <s v=""/>
    <s v=""/>
    <s v=""/>
    <s v=""/>
    <s v=""/>
    <s v=""/>
    <s v=""/>
    <n v="1"/>
  </r>
  <r>
    <x v="0"/>
    <m/>
    <m/>
    <m/>
    <m/>
    <s v="KUNTZ BRUCE DR."/>
    <m/>
    <m/>
    <m/>
    <m/>
    <s v="KUNTZ BRUCE L MD"/>
    <s v="1780 HANSHAW RD"/>
    <s v="ITHACA"/>
    <s v="NY"/>
    <s v="14850-9105"/>
    <s v="PHYSICIAN"/>
    <s v="M"/>
    <s v="No"/>
    <s v="MMIS"/>
    <s v="NorthRPU"/>
    <s v="P"/>
    <m/>
    <m/>
    <m/>
    <s v=""/>
    <s v="E0077749"/>
    <n v="1"/>
    <n v="1"/>
    <n v="0"/>
    <n v="0"/>
    <n v="0"/>
    <n v="0"/>
    <n v="0"/>
    <n v="1"/>
    <n v="1"/>
    <n v="1"/>
    <n v="0"/>
    <x v="2"/>
    <s v=""/>
    <s v=""/>
    <s v=""/>
    <s v=""/>
    <s v=""/>
    <s v=""/>
    <s v=""/>
    <s v=""/>
    <s v=""/>
    <s v=""/>
    <n v="1"/>
    <s v=""/>
  </r>
  <r>
    <x v="0"/>
    <m/>
    <m/>
    <m/>
    <m/>
    <s v="NICOLETTE JENNIFER"/>
    <m/>
    <m/>
    <m/>
    <m/>
    <s v="NICOLETTE JENNIFER L"/>
    <s v="134 HOMER AVE"/>
    <s v="CORTLAND"/>
    <s v="NY"/>
    <s v="13045-1206"/>
    <s v="PHYSICIAN"/>
    <s v="M"/>
    <s v="No"/>
    <s v="MMIS"/>
    <s v="NorthRPU"/>
    <s v="P"/>
    <m/>
    <m/>
    <m/>
    <s v=""/>
    <s v="E0365554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1"/>
    <m/>
    <m/>
    <m/>
    <m/>
    <s v="ADUSEI KWAME"/>
    <m/>
    <m/>
    <m/>
    <m/>
    <s v="ADUSEI KWAME A MD"/>
    <s v="CROUSE IRVING MEM"/>
    <s v="SYRACUSE"/>
    <s v="NY"/>
    <s v="13210-1687"/>
    <s v="PHYSICIAN"/>
    <s v="M"/>
    <s v="No"/>
    <s v="MMIS"/>
    <s v="NorthRPU"/>
    <s v="P"/>
    <m/>
    <m/>
    <m/>
    <s v=""/>
    <s v="E0118348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KWIATKOWSKI DAVID"/>
    <m/>
    <m/>
    <m/>
    <m/>
    <s v="KWIATKOWSKI DAVID E MD"/>
    <s v="CANDOR FAM CARE CTR"/>
    <s v="CANDOR"/>
    <s v="NY"/>
    <s v="13743"/>
    <s v="PHYSICIAN"/>
    <s v="M"/>
    <s v="No"/>
    <s v="MMIS"/>
    <s v="SouthRPU"/>
    <s v="P"/>
    <m/>
    <m/>
    <m/>
    <s v=""/>
    <s v="E0125291"/>
    <n v="1"/>
    <n v="1"/>
    <n v="0"/>
    <n v="1"/>
    <n v="1"/>
    <n v="0"/>
    <n v="0"/>
    <n v="0"/>
    <n v="1"/>
    <n v="0"/>
    <n v="0"/>
    <x v="2"/>
    <s v=""/>
    <s v=""/>
    <s v=""/>
    <s v=""/>
    <s v=""/>
    <s v=""/>
    <s v=""/>
    <s v=""/>
    <s v=""/>
    <s v=""/>
    <n v="1"/>
    <s v=""/>
  </r>
  <r>
    <x v="1"/>
    <m/>
    <m/>
    <m/>
    <m/>
    <s v="L WOERNER INC"/>
    <m/>
    <m/>
    <m/>
    <m/>
    <s v="L WOERNER INC"/>
    <s v="6007 FAIR LAKES RD STE 200"/>
    <s v="EAST SYRACUSE"/>
    <s v="NY"/>
    <s v="13057-1253"/>
    <s v="HOME HEALTH AGENCY"/>
    <s v="M"/>
    <s v="No"/>
    <s v="MMIS"/>
    <s v="NorthRPU"/>
    <s v="P"/>
    <m/>
    <m/>
    <m/>
    <s v=""/>
    <s v="E0338878"/>
    <n v="0"/>
    <n v="0"/>
    <n v="0"/>
    <n v="0"/>
    <n v="0"/>
    <n v="0"/>
    <n v="0"/>
    <n v="0"/>
    <n v="0"/>
    <n v="0"/>
    <n v="0"/>
    <x v="1"/>
    <s v=""/>
    <s v=""/>
    <s v=""/>
    <s v=""/>
    <s v=""/>
    <s v=""/>
    <s v=""/>
    <s v=""/>
    <n v="1"/>
    <s v=""/>
    <n v="1"/>
    <s v=""/>
  </r>
  <r>
    <x v="0"/>
    <m/>
    <m/>
    <m/>
    <m/>
    <s v="L WOERNER INC"/>
    <m/>
    <m/>
    <m/>
    <m/>
    <s v="L WOERNER INC"/>
    <s v="6 N WEST ST STE 5"/>
    <s v="HOMER"/>
    <s v="NY"/>
    <s v="13077-1049"/>
    <s v="HOME HEALTH AGENCY"/>
    <s v="M"/>
    <s v="No"/>
    <s v="MMIS"/>
    <s v="NorthRPU"/>
    <s v="P"/>
    <m/>
    <m/>
    <m/>
    <s v=""/>
    <s v="E0338896"/>
    <n v="0"/>
    <n v="0"/>
    <n v="0"/>
    <n v="0"/>
    <n v="0"/>
    <n v="0"/>
    <n v="0"/>
    <n v="0"/>
    <n v="0"/>
    <n v="0"/>
    <n v="0"/>
    <x v="1"/>
    <s v=""/>
    <s v=""/>
    <s v=""/>
    <s v=""/>
    <s v=""/>
    <s v=""/>
    <s v=""/>
    <s v=""/>
    <s v=""/>
    <s v=""/>
    <n v="1"/>
    <s v=""/>
  </r>
  <r>
    <x v="1"/>
    <m/>
    <m/>
    <m/>
    <m/>
    <s v="L WOERNER INC"/>
    <m/>
    <m/>
    <m/>
    <m/>
    <s v="L WOERNER INC"/>
    <s v="5 1/2 MAIN ST"/>
    <s v="DELHI"/>
    <s v="NY"/>
    <s v="13753-1109"/>
    <s v="HOME HEALTH AGENCY"/>
    <s v="M"/>
    <s v="No"/>
    <s v="MMIS"/>
    <s v="EastRPU"/>
    <s v="P"/>
    <m/>
    <m/>
    <m/>
    <s v=""/>
    <s v="E0338625"/>
    <n v="0"/>
    <n v="0"/>
    <n v="0"/>
    <n v="0"/>
    <n v="0"/>
    <n v="0"/>
    <n v="0"/>
    <n v="0"/>
    <n v="0"/>
    <n v="0"/>
    <n v="0"/>
    <x v="1"/>
    <s v=""/>
    <s v=""/>
    <s v=""/>
    <s v=""/>
    <s v=""/>
    <s v=""/>
    <s v=""/>
    <s v=""/>
    <n v="1"/>
    <s v=""/>
    <n v="1"/>
    <s v=""/>
  </r>
  <r>
    <x v="1"/>
    <m/>
    <m/>
    <m/>
    <m/>
    <s v="LAKEVIEW MENTAL HEALTH SERVICES, INC."/>
    <m/>
    <m/>
    <m/>
    <m/>
    <s v="LAKEVIEW HEALTH SERVICES INC"/>
    <s v="611 WEST WASHINGTON ST"/>
    <s v="GENEVA"/>
    <s v="NY"/>
    <s v="14456-2119"/>
    <s v="HOME HEALTH AGENCY"/>
    <s v="M"/>
    <s v="No"/>
    <s v="MMIS"/>
    <s v="NorthRPU"/>
    <s v="P"/>
    <m/>
    <m/>
    <m/>
    <s v=""/>
    <s v="E0148197"/>
    <n v="0"/>
    <n v="0"/>
    <n v="0"/>
    <n v="0"/>
    <n v="0"/>
    <n v="0"/>
    <n v="0"/>
    <n v="0"/>
    <n v="0"/>
    <n v="0"/>
    <n v="0"/>
    <x v="1"/>
    <s v=""/>
    <s v=""/>
    <s v=""/>
    <n v="1"/>
    <n v="1"/>
    <s v=""/>
    <s v=""/>
    <s v=""/>
    <s v=""/>
    <s v=""/>
    <s v=""/>
    <s v=""/>
  </r>
  <r>
    <x v="0"/>
    <m/>
    <m/>
    <m/>
    <m/>
    <s v="SANIVARAPU LAKSHMI"/>
    <m/>
    <m/>
    <m/>
    <m/>
    <s v="SANIVARAPU LAKSHMI KIRAN"/>
    <m/>
    <m/>
    <m/>
    <m/>
    <s v="PHYSICIAN"/>
    <s v="M"/>
    <s v="No"/>
    <s v="MMIS"/>
    <s v="SouthRPU"/>
    <s v="P"/>
    <m/>
    <m/>
    <m/>
    <s v="Lakshmi Sanivarapu, MD"/>
    <s v="E0443071"/>
    <s v="No"/>
    <s v="No"/>
    <s v="No"/>
    <s v="No"/>
    <s v="No"/>
    <s v="No"/>
    <s v="No"/>
    <s v="No"/>
    <n v="1"/>
    <s v="No"/>
    <s v="No"/>
    <x v="2"/>
    <s v=""/>
    <s v=""/>
    <s v=""/>
    <s v=""/>
    <s v=""/>
    <s v=""/>
    <s v=""/>
    <s v=""/>
    <s v=""/>
    <s v=""/>
    <n v="1"/>
    <s v=""/>
  </r>
  <r>
    <x v="0"/>
    <m/>
    <m/>
    <m/>
    <m/>
    <s v="LAND RAMONA MS."/>
    <m/>
    <m/>
    <m/>
    <m/>
    <s v="LAND RAMONA M"/>
    <s v="117 HAWLEY ST"/>
    <s v="BINGHAMTON"/>
    <s v="NY"/>
    <s v="13901-3903"/>
    <s v="PHYSICIAN"/>
    <s v="M"/>
    <s v="No"/>
    <s v="MMIS"/>
    <s v="SouthRPU"/>
    <s v="P"/>
    <m/>
    <m/>
    <m/>
    <s v=""/>
    <s v="E0342919"/>
    <n v="1"/>
    <n v="1"/>
    <n v="0"/>
    <n v="1"/>
    <n v="1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LANDRY GERALD DR."/>
    <m/>
    <m/>
    <m/>
    <m/>
    <s v="LANDRY GERALD ALBERT MD"/>
    <s v="BASSETT HC SHARON SP"/>
    <s v="SHARON SPRINGS"/>
    <s v="NY"/>
    <s v="13459"/>
    <s v="PHYSICIAN"/>
    <s v="M"/>
    <s v="No"/>
    <s v="MMIS"/>
    <s v="EastRPU"/>
    <s v="P"/>
    <m/>
    <m/>
    <m/>
    <s v="Landry Gerald"/>
    <s v="E0132498"/>
    <s v="No"/>
    <s v="No"/>
    <s v="No"/>
    <s v="No"/>
    <s v="No"/>
    <s v="No"/>
    <s v="No"/>
    <s v="No"/>
    <n v="0"/>
    <s v="No"/>
    <s v="No"/>
    <x v="2"/>
    <s v=""/>
    <s v=""/>
    <s v=""/>
    <s v=""/>
    <s v=""/>
    <s v=""/>
    <s v=""/>
    <s v=""/>
    <s v=""/>
    <s v=""/>
    <n v="1"/>
    <s v=""/>
  </r>
  <r>
    <x v="0"/>
    <m/>
    <m/>
    <m/>
    <m/>
    <m/>
    <m/>
    <m/>
    <m/>
    <m/>
    <s v="LARSON  HENRY C MD"/>
    <s v="30 HARRISON ST"/>
    <s v="JOHNSON CITY"/>
    <s v="NY"/>
    <s v="13790-2176"/>
    <s v="PHYSICIAN"/>
    <s v="M"/>
    <s v="No"/>
    <s v="MMIS"/>
    <s v="SouthRPU"/>
    <s v="P"/>
    <m/>
    <m/>
    <m/>
    <s v="LARSON  HENRY C MD"/>
    <s v="E0016135"/>
    <s v="No"/>
    <s v="No"/>
    <s v="No"/>
    <s v="No"/>
    <s v="No"/>
    <s v="No"/>
    <s v="No"/>
    <s v="No"/>
    <n v="0"/>
    <s v="No"/>
    <s v="No"/>
    <x v="1"/>
    <s v=""/>
    <s v=""/>
    <s v=""/>
    <s v=""/>
    <s v=""/>
    <s v=""/>
    <s v=""/>
    <s v=""/>
    <s v=""/>
    <s v=""/>
    <s v=""/>
    <n v="1"/>
  </r>
  <r>
    <x v="0"/>
    <m/>
    <m/>
    <m/>
    <m/>
    <s v="LARSON ROBERT DR."/>
    <m/>
    <m/>
    <m/>
    <m/>
    <s v="LARSON ROBERT ANTHONY MD"/>
    <s v="1 GUTHRIE SQ"/>
    <s v="SAYRE"/>
    <s v="PA"/>
    <s v="18840-1625"/>
    <s v="PHYSICIAN"/>
    <s v="M"/>
    <s v="No"/>
    <s v="MMIS"/>
    <s v="SouthRPU"/>
    <s v="P"/>
    <m/>
    <m/>
    <m/>
    <s v=""/>
    <s v="E0083933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LASH BRADLEY"/>
    <m/>
    <m/>
    <m/>
    <m/>
    <s v="LASH BRADLEY WALTER"/>
    <s v="GUTHRIE SQUARE"/>
    <s v="SAYRE"/>
    <s v="PA"/>
    <s v="18840-1625"/>
    <s v="PHYSICIAN"/>
    <s v="M"/>
    <s v="No"/>
    <s v="MMIS"/>
    <s v="SouthRPU"/>
    <s v="P"/>
    <m/>
    <m/>
    <m/>
    <s v=""/>
    <s v="E0290995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CONNOR LAURA"/>
    <m/>
    <m/>
    <m/>
    <m/>
    <s v="CONNOR LAURA R"/>
    <s v="220 STEUBEN ST"/>
    <s v="MONTOUR FALLS"/>
    <s v="NY"/>
    <s v="14865-9740"/>
    <s v="PHYSICIAN"/>
    <s v="M"/>
    <s v="No"/>
    <s v="MMIS"/>
    <s v="NorthRPU"/>
    <s v="P"/>
    <m/>
    <m/>
    <m/>
    <s v=""/>
    <s v="E0370480"/>
    <n v="1"/>
    <n v="1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CRANE LAUREN"/>
    <m/>
    <m/>
    <m/>
    <m/>
    <s v="CRANE LAUREN E"/>
    <s v="5 COLLEGE AVE"/>
    <s v="WINDSOR"/>
    <s v="NY"/>
    <s v="13865-4109"/>
    <s v="PHYSICIAN"/>
    <s v="M"/>
    <s v="No"/>
    <s v="MMIS"/>
    <s v="SouthRPU"/>
    <s v="P"/>
    <m/>
    <m/>
    <m/>
    <s v="Lauren Crane, NP"/>
    <s v="E0325027"/>
    <s v="No"/>
    <s v="No"/>
    <s v="No"/>
    <s v="No"/>
    <s v="No"/>
    <s v="No"/>
    <s v="No"/>
    <s v="No"/>
    <n v="1"/>
    <s v="No"/>
    <s v="No"/>
    <x v="2"/>
    <s v=""/>
    <s v=""/>
    <s v=""/>
    <s v=""/>
    <s v=""/>
    <s v=""/>
    <s v=""/>
    <s v=""/>
    <s v=""/>
    <s v=""/>
    <n v="1"/>
    <s v=""/>
  </r>
  <r>
    <x v="0"/>
    <m/>
    <m/>
    <m/>
    <m/>
    <s v="LAUTERBACH STEPHEN"/>
    <m/>
    <m/>
    <m/>
    <m/>
    <s v="LAUTERBACH STEPHEN"/>
    <s v="1676 SUNSET AVE"/>
    <s v="UTICA"/>
    <s v="NY"/>
    <s v="13502-5416"/>
    <s v="PHYSICIAN"/>
    <s v="M"/>
    <s v="No"/>
    <s v="MMIS"/>
    <s v="SouthRPU"/>
    <s v="P"/>
    <m/>
    <m/>
    <m/>
    <s v="LAUTERBACH STEPHEN"/>
    <s v="E0297182"/>
    <s v="No"/>
    <s v="No"/>
    <s v="No"/>
    <s v="No"/>
    <s v="No"/>
    <s v="No"/>
    <s v="No"/>
    <s v="No"/>
    <n v="0"/>
    <s v="No"/>
    <s v="No"/>
    <x v="1"/>
    <n v="1"/>
    <s v=""/>
    <s v=""/>
    <s v=""/>
    <s v=""/>
    <s v=""/>
    <s v=""/>
    <s v=""/>
    <s v=""/>
    <s v=""/>
    <n v="1"/>
    <s v=""/>
  </r>
  <r>
    <x v="0"/>
    <m/>
    <m/>
    <m/>
    <m/>
    <s v="LAWRENCE CAMELIA DR."/>
    <m/>
    <m/>
    <m/>
    <m/>
    <s v="LAWRENCE CAMELIA ARLENE"/>
    <s v="30 HARRISON ST STE 455"/>
    <s v="JOHNSON CITY"/>
    <s v="NY"/>
    <s v="13790-2176"/>
    <s v="PHYSICIAN"/>
    <s v="M"/>
    <s v="No"/>
    <s v="MMIS"/>
    <s v="SouthRPU"/>
    <s v="P"/>
    <m/>
    <m/>
    <m/>
    <s v=""/>
    <s v="E0321489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ENDO LAWRENCE DR."/>
    <m/>
    <m/>
    <m/>
    <m/>
    <s v="ENDO LAWRENCE PAUL         MD"/>
    <s v="201 DATES DR"/>
    <s v="ITHACA"/>
    <s v="NY"/>
    <s v="14850-1345"/>
    <s v="PHYSICIAN"/>
    <s v="M"/>
    <s v="No"/>
    <s v="MMIS"/>
    <s v="NorthRPU"/>
    <s v="P"/>
    <m/>
    <m/>
    <m/>
    <s v=""/>
    <s v="E0202906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LAWRENCE ERIN MS."/>
    <m/>
    <m/>
    <m/>
    <m/>
    <s v="LAWRENCE ERIN MARIE RPA"/>
    <s v="1301 TRUMANSBURG RD STE R"/>
    <s v="ITHACA"/>
    <s v="NY"/>
    <s v="14850-1397"/>
    <s v="PHYSICIAN"/>
    <s v="M"/>
    <s v="No"/>
    <s v="MMIS"/>
    <s v="NorthRPU"/>
    <s v="P"/>
    <m/>
    <m/>
    <m/>
    <s v="LAWRENCE ERIN MS."/>
    <s v="E0049150"/>
    <s v="No"/>
    <s v="No"/>
    <s v="No"/>
    <s v="No"/>
    <s v="No"/>
    <s v="No"/>
    <s v="No"/>
    <s v="No"/>
    <n v="0"/>
    <s v="No"/>
    <s v="No"/>
    <x v="1"/>
    <n v="1"/>
    <s v=""/>
    <s v=""/>
    <s v=""/>
    <s v=""/>
    <s v=""/>
    <s v=""/>
    <s v=""/>
    <s v=""/>
    <s v=""/>
    <n v="1"/>
    <s v=""/>
  </r>
  <r>
    <x v="0"/>
    <m/>
    <m/>
    <m/>
    <m/>
    <s v="LAWYER DAWN MS."/>
    <m/>
    <m/>
    <m/>
    <m/>
    <s v="LAWYER DAWN CATHERINE NP"/>
    <s v="1 ATWELL RD"/>
    <s v="COOPERSTOWN"/>
    <s v="NY"/>
    <s v="13326-1301"/>
    <s v="PHYSICIAN"/>
    <s v="M"/>
    <s v="No"/>
    <s v="MMIS"/>
    <s v="EastRPU"/>
    <s v="P"/>
    <m/>
    <m/>
    <m/>
    <s v=""/>
    <s v="E0030091"/>
    <n v="1"/>
    <n v="1"/>
    <n v="0"/>
    <n v="1"/>
    <n v="1"/>
    <n v="0"/>
    <n v="0"/>
    <n v="0"/>
    <n v="1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LEE FERROL DR."/>
    <m/>
    <m/>
    <m/>
    <m/>
    <s v="LEE FERROL JOSEPH MD"/>
    <s v="GUTHRIE SQUARE"/>
    <s v="SAYRE"/>
    <s v="PA"/>
    <s v="18840"/>
    <s v="PHYSICIAN"/>
    <s v="M"/>
    <s v="No"/>
    <s v="MMIS"/>
    <s v="SouthRPU"/>
    <s v="P"/>
    <m/>
    <m/>
    <m/>
    <s v=""/>
    <s v="E0220447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LEE RACHEL DR."/>
    <m/>
    <m/>
    <m/>
    <m/>
    <s v="LEE RACHEL D  MD"/>
    <s v="600 IVY ST"/>
    <s v="ELMIRA"/>
    <s v="NY"/>
    <s v="14905-1627"/>
    <s v="PHYSICIAN"/>
    <s v="M"/>
    <s v="No"/>
    <s v="MMIS"/>
    <s v="WestRPU"/>
    <s v="P"/>
    <m/>
    <m/>
    <m/>
    <s v=""/>
    <s v="E0218670"/>
    <n v="1"/>
    <n v="1"/>
    <n v="0"/>
    <n v="0"/>
    <n v="0"/>
    <n v="0"/>
    <n v="0"/>
    <n v="0"/>
    <n v="0"/>
    <n v="1"/>
    <n v="0"/>
    <x v="1"/>
    <n v="1"/>
    <s v=""/>
    <s v=""/>
    <s v=""/>
    <s v=""/>
    <s v=""/>
    <s v=""/>
    <s v=""/>
    <s v=""/>
    <s v=""/>
    <n v="1"/>
    <s v=""/>
  </r>
  <r>
    <x v="0"/>
    <m/>
    <m/>
    <m/>
    <m/>
    <s v="LEE SALLY DR."/>
    <m/>
    <m/>
    <m/>
    <m/>
    <s v="LEE SALLY S MD"/>
    <s v="111 E 210TH ST"/>
    <s v="BRONX"/>
    <s v="NY"/>
    <s v="10467-2401"/>
    <s v="PHYSICIAN"/>
    <s v="M"/>
    <s v="No"/>
    <s v="MMIS"/>
    <s v="SouthRPU"/>
    <s v="P"/>
    <m/>
    <m/>
    <m/>
    <s v=""/>
    <s v="E0058964"/>
    <n v="1"/>
    <n v="1"/>
    <n v="0"/>
    <n v="0"/>
    <n v="0"/>
    <n v="0"/>
    <n v="0"/>
    <n v="0"/>
    <n v="0"/>
    <n v="1"/>
    <n v="0"/>
    <x v="1"/>
    <n v="1"/>
    <s v=""/>
    <s v=""/>
    <s v=""/>
    <s v=""/>
    <s v=""/>
    <s v=""/>
    <s v=""/>
    <s v=""/>
    <s v=""/>
    <n v="1"/>
    <s v=""/>
  </r>
  <r>
    <x v="0"/>
    <m/>
    <m/>
    <m/>
    <m/>
    <s v="LEESON THOMAS"/>
    <m/>
    <m/>
    <m/>
    <m/>
    <s v="LEESON THOMAS A"/>
    <s v="1 GUTHRIE SQ"/>
    <s v="SAYRE"/>
    <s v="PA"/>
    <s v="18840-1625"/>
    <s v="PHYSICIAN"/>
    <s v="M"/>
    <s v="No"/>
    <s v="MMIS"/>
    <s v="SouthRPU"/>
    <s v="P"/>
    <m/>
    <m/>
    <m/>
    <s v=""/>
    <s v="E0351757"/>
    <n v="1"/>
    <n v="1"/>
    <n v="0"/>
    <n v="0"/>
    <n v="0"/>
    <n v="0"/>
    <n v="0"/>
    <n v="1"/>
    <n v="1"/>
    <n v="1"/>
    <n v="0"/>
    <x v="2"/>
    <s v=""/>
    <s v=""/>
    <s v=""/>
    <s v=""/>
    <s v=""/>
    <s v=""/>
    <s v=""/>
    <s v=""/>
    <s v=""/>
    <s v=""/>
    <n v="1"/>
    <s v=""/>
  </r>
  <r>
    <x v="0"/>
    <m/>
    <m/>
    <m/>
    <m/>
    <s v="LEONARD KELLY MRS."/>
    <m/>
    <m/>
    <m/>
    <m/>
    <s v="LEONARD KELLY ANNE"/>
    <s v="82 COPELAND AVE"/>
    <s v="HOMER"/>
    <s v="NY"/>
    <s v="13077-1528"/>
    <s v="PHYSICIAN"/>
    <s v="M"/>
    <s v="No"/>
    <s v="MMIS"/>
    <s v="NorthRPU"/>
    <s v="P"/>
    <m/>
    <m/>
    <m/>
    <s v="Leonard Kelly"/>
    <s v="E0393408"/>
    <s v="No"/>
    <s v="No"/>
    <s v="No"/>
    <s v="No"/>
    <s v="No"/>
    <s v="No"/>
    <s v="No"/>
    <s v="No"/>
    <n v="0"/>
    <s v="No"/>
    <s v="No"/>
    <x v="1"/>
    <n v="1"/>
    <s v=""/>
    <s v=""/>
    <s v=""/>
    <s v=""/>
    <s v=""/>
    <s v=""/>
    <s v=""/>
    <s v=""/>
    <s v=""/>
    <s v=""/>
    <s v=""/>
  </r>
  <r>
    <x v="1"/>
    <m/>
    <m/>
    <m/>
    <m/>
    <s v="LESLIE JOYCE"/>
    <m/>
    <m/>
    <m/>
    <m/>
    <s v="LESLIE JOYCE RUTH"/>
    <s v="4435 SENECA RD"/>
    <s v="TRUMANSBURG"/>
    <s v="NY"/>
    <s v="14886-9201"/>
    <s v="PHYSICIAN"/>
    <s v="M"/>
    <s v="No"/>
    <s v="MMIS"/>
    <s v="NorthRPU"/>
    <s v="P"/>
    <m/>
    <m/>
    <m/>
    <s v=""/>
    <s v="E0234446"/>
    <n v="0"/>
    <n v="0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LEWIS PAULETTE DR."/>
    <m/>
    <m/>
    <m/>
    <m/>
    <s v="LEWIS PAULETTE V MD"/>
    <s v="OXFORD HLTH CTRS"/>
    <s v="BROOKLYN"/>
    <s v="NY"/>
    <s v="11212-5638"/>
    <s v="PHYSICIAN"/>
    <s v="M"/>
    <s v="No"/>
    <s v="MMIS"/>
    <s v="WestRPU"/>
    <s v="P"/>
    <m/>
    <m/>
    <m/>
    <s v=""/>
    <s v="E0123898"/>
    <n v="1"/>
    <n v="1"/>
    <n v="0"/>
    <n v="0"/>
    <n v="0"/>
    <n v="0"/>
    <n v="0"/>
    <n v="1"/>
    <n v="1"/>
    <n v="1"/>
    <n v="0"/>
    <x v="2"/>
    <s v=""/>
    <s v=""/>
    <s v=""/>
    <s v=""/>
    <s v=""/>
    <s v=""/>
    <s v=""/>
    <s v=""/>
    <s v=""/>
    <s v=""/>
    <n v="1"/>
    <s v=""/>
  </r>
  <r>
    <x v="0"/>
    <m/>
    <m/>
    <m/>
    <m/>
    <m/>
    <m/>
    <m/>
    <m/>
    <m/>
    <m/>
    <m/>
    <m/>
    <m/>
    <m/>
    <m/>
    <s v="M"/>
    <s v="No"/>
    <s v="No NPI or MMIS"/>
    <s v="NorthRPU"/>
    <s v="P"/>
    <m/>
    <m/>
    <m/>
    <s v=""/>
    <s v="Liberty Resources"/>
    <n v="1"/>
    <n v="1"/>
    <s v="No"/>
    <s v="No"/>
    <s v="No"/>
    <s v="No"/>
    <s v="No"/>
    <s v="No"/>
    <n v="0"/>
    <s v="No"/>
    <s v="No"/>
    <x v="1"/>
    <s v=""/>
    <s v=""/>
    <s v=""/>
    <s v=""/>
    <s v=""/>
    <s v=""/>
    <s v=""/>
    <s v=""/>
    <s v=""/>
    <n v="1"/>
    <s v=""/>
    <s v=""/>
  </r>
  <r>
    <x v="0"/>
    <m/>
    <m/>
    <m/>
    <m/>
    <m/>
    <m/>
    <m/>
    <m/>
    <m/>
    <s v="LIBERTY RESOURCES INC"/>
    <s v="1045 JAMES ST"/>
    <s v="SYRACUSE"/>
    <s v="NY"/>
    <s v="13203-2730"/>
    <s v="HOME HEALTH AGENCY"/>
    <s v="M"/>
    <s v="No"/>
    <s v="MMIS"/>
    <s v="NorthRPU"/>
    <s v="P"/>
    <m/>
    <m/>
    <m/>
    <s v="LIBERTY RESOURCES INC"/>
    <s v="E0376750"/>
    <s v="No"/>
    <s v="No"/>
    <s v="No"/>
    <s v="No"/>
    <s v="No"/>
    <s v="No"/>
    <s v="No"/>
    <s v="No"/>
    <n v="0"/>
    <s v="No"/>
    <s v="No"/>
    <x v="1"/>
    <s v=""/>
    <s v=""/>
    <s v=""/>
    <s v=""/>
    <s v=""/>
    <s v=""/>
    <s v=""/>
    <s v=""/>
    <s v=""/>
    <s v=""/>
    <s v=""/>
    <n v="1"/>
  </r>
  <r>
    <x v="0"/>
    <m/>
    <m/>
    <m/>
    <m/>
    <m/>
    <m/>
    <m/>
    <m/>
    <m/>
    <s v="LIBERTY RESOURCES INC TBI"/>
    <s v="45 TOMPKINS ST"/>
    <s v="CORTLAND"/>
    <s v="NY"/>
    <s v="13045-2555"/>
    <s v="HOME HEALTH AGENCY"/>
    <s v="M"/>
    <s v="No"/>
    <s v="MMIS"/>
    <s v="NorthRPU"/>
    <s v="P"/>
    <m/>
    <m/>
    <m/>
    <s v=""/>
    <s v="E0315228"/>
    <n v="1"/>
    <n v="1"/>
    <n v="0"/>
    <n v="0"/>
    <n v="0"/>
    <n v="0"/>
    <n v="0"/>
    <n v="0"/>
    <n v="0"/>
    <n v="0"/>
    <n v="0"/>
    <x v="1"/>
    <s v=""/>
    <s v=""/>
    <s v=""/>
    <s v=""/>
    <s v=""/>
    <s v=""/>
    <s v=""/>
    <s v=""/>
    <s v=""/>
    <s v=""/>
    <n v="1"/>
    <s v=""/>
  </r>
  <r>
    <x v="1"/>
    <m/>
    <m/>
    <m/>
    <m/>
    <s v="LIBERTY RESOURCES INC."/>
    <m/>
    <m/>
    <m/>
    <m/>
    <s v="LIBERTY RESOURCES INC MR TS"/>
    <s v="1045 JAMES ST"/>
    <s v="SYRACUSE"/>
    <s v="NY"/>
    <s v="13203-2703"/>
    <s v="MULTI-TYPE"/>
    <s v="M"/>
    <s v="No"/>
    <s v="MMIS"/>
    <s v="EastRPU"/>
    <s v="P"/>
    <m/>
    <m/>
    <m/>
    <s v=""/>
    <s v="E0001939"/>
    <n v="1"/>
    <n v="1"/>
    <n v="0"/>
    <n v="0"/>
    <n v="0"/>
    <n v="0"/>
    <n v="0"/>
    <n v="0"/>
    <n v="0"/>
    <n v="0"/>
    <n v="0"/>
    <x v="1"/>
    <s v=""/>
    <s v=""/>
    <s v=""/>
    <n v="1"/>
    <n v="1"/>
    <n v="1"/>
    <s v=""/>
    <s v=""/>
    <s v=""/>
    <s v=""/>
    <n v="1"/>
    <s v=""/>
  </r>
  <r>
    <x v="0"/>
    <m/>
    <m/>
    <m/>
    <m/>
    <m/>
    <m/>
    <m/>
    <m/>
    <m/>
    <s v="LIBERTY RESOURCES INC"/>
    <s v="# C8244440"/>
    <s v="ONEIDA"/>
    <s v="NY"/>
    <s v="13421-1806"/>
    <s v="HOME HEALTH AGENCY"/>
    <s v="M"/>
    <s v="No"/>
    <s v="MMIS"/>
    <s v="EastRPU"/>
    <s v="P"/>
    <m/>
    <m/>
    <m/>
    <s v="Liberty Resources, Inc."/>
    <s v="E0161289"/>
    <s v="No"/>
    <s v="No"/>
    <s v="No"/>
    <s v="No"/>
    <s v="No"/>
    <s v="No"/>
    <s v="No"/>
    <s v="No"/>
    <n v="0"/>
    <s v="No"/>
    <s v="No"/>
    <x v="1"/>
    <s v=""/>
    <s v=""/>
    <s v=""/>
    <s v=""/>
    <s v=""/>
    <s v=""/>
    <s v=""/>
    <s v=""/>
    <s v=""/>
    <s v=""/>
    <s v=""/>
    <n v="1"/>
  </r>
  <r>
    <x v="1"/>
    <m/>
    <m/>
    <m/>
    <m/>
    <m/>
    <m/>
    <m/>
    <m/>
    <m/>
    <s v="LIBERTY RESOURCES INC MR TS"/>
    <s v="218 LIBERTY ST"/>
    <s v="ONEIDA"/>
    <s v="NY"/>
    <s v="13421-1626"/>
    <s v="HOME HEALTH AGENCY"/>
    <s v="M"/>
    <s v="No"/>
    <s v="MMIS"/>
    <s v="EastRPU"/>
    <s v="P"/>
    <m/>
    <m/>
    <m/>
    <s v=""/>
    <s v="E0001939"/>
    <n v="1"/>
    <n v="1"/>
    <n v="0"/>
    <n v="0"/>
    <n v="0"/>
    <n v="0"/>
    <n v="0"/>
    <n v="0"/>
    <n v="0"/>
    <n v="0"/>
    <n v="0"/>
    <x v="1"/>
    <s v=""/>
    <s v=""/>
    <s v=""/>
    <n v="1"/>
    <n v="1"/>
    <n v="1"/>
    <s v=""/>
    <s v=""/>
    <s v=""/>
    <s v=""/>
    <n v="1"/>
    <s v=""/>
  </r>
  <r>
    <x v="1"/>
    <m/>
    <m/>
    <m/>
    <m/>
    <m/>
    <m/>
    <m/>
    <m/>
    <m/>
    <s v="LIBERTY RESOURCES INC"/>
    <s v="A/7241441 PAD SUPP A"/>
    <s v="ONEIDA"/>
    <s v="NY"/>
    <s v="13421"/>
    <s v="HOME HEALTH AGENCY"/>
    <s v="M"/>
    <s v="No"/>
    <s v="MMIS"/>
    <s v="EastRPU"/>
    <s v="P"/>
    <m/>
    <m/>
    <m/>
    <s v=""/>
    <s v="E0001939"/>
    <n v="1"/>
    <n v="1"/>
    <n v="0"/>
    <n v="0"/>
    <n v="0"/>
    <n v="0"/>
    <n v="0"/>
    <n v="0"/>
    <n v="0"/>
    <n v="0"/>
    <n v="0"/>
    <x v="1"/>
    <s v=""/>
    <s v=""/>
    <s v=""/>
    <n v="1"/>
    <n v="1"/>
    <n v="1"/>
    <s v=""/>
    <s v=""/>
    <s v=""/>
    <s v=""/>
    <n v="1"/>
    <s v=""/>
  </r>
  <r>
    <x v="0"/>
    <m/>
    <m/>
    <m/>
    <m/>
    <s v="LOFASO LILIANA"/>
    <m/>
    <m/>
    <m/>
    <m/>
    <s v="LOFASO LILIANA MD"/>
    <s v="BINGHAMTON GEN HOSP"/>
    <s v="BINGHAMTON"/>
    <s v="NY"/>
    <s v="13903"/>
    <s v="PHYSICIAN"/>
    <s v="M"/>
    <s v="No"/>
    <s v="MMIS"/>
    <s v="SouthRPU"/>
    <s v="P"/>
    <m/>
    <m/>
    <m/>
    <s v=""/>
    <s v="E0203912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TUYN LINDA"/>
    <m/>
    <m/>
    <m/>
    <m/>
    <s v="TUYN LINDA KATHLEEN"/>
    <s v="169 RIVERSIDE DR"/>
    <s v="BINGHAMTON"/>
    <s v="NY"/>
    <s v="13905-4246"/>
    <s v="PHYSICIAN"/>
    <s v="M"/>
    <s v="No"/>
    <s v="MMIS"/>
    <s v="SouthRPU"/>
    <s v="P"/>
    <m/>
    <m/>
    <m/>
    <s v="Linda K. Tuyn, FNP"/>
    <s v="E0067206"/>
    <s v="No"/>
    <s v="No"/>
    <s v="No"/>
    <s v="No"/>
    <s v="No"/>
    <s v="No"/>
    <s v="No"/>
    <s v="No"/>
    <n v="0"/>
    <s v="No"/>
    <s v="No"/>
    <x v="1"/>
    <n v="1"/>
    <s v=""/>
    <s v=""/>
    <s v=""/>
    <s v=""/>
    <s v=""/>
    <s v=""/>
    <s v=""/>
    <s v=""/>
    <s v=""/>
    <n v="1"/>
    <s v=""/>
  </r>
  <r>
    <x v="0"/>
    <m/>
    <m/>
    <m/>
    <m/>
    <s v="LINDEMANN TIMOTHY"/>
    <m/>
    <m/>
    <m/>
    <m/>
    <s v="LINDEMANN TIMOTHY LYNN"/>
    <s v="1 GUTHRIE SQ"/>
    <s v="SAYRE"/>
    <s v="PA"/>
    <s v="18840-1625"/>
    <s v="PHYSICIAN"/>
    <s v="M"/>
    <s v="No"/>
    <s v="MMIS"/>
    <s v="SouthRPU"/>
    <s v="P"/>
    <m/>
    <m/>
    <m/>
    <s v=""/>
    <s v="E0346119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TAMBORELLE LINDSAY DR."/>
    <m/>
    <m/>
    <m/>
    <m/>
    <s v="TAMBORELLE LINDSAY B"/>
    <s v="10 GRAHAM RD W"/>
    <s v="ITHACA"/>
    <s v="NY"/>
    <s v="14850-1055"/>
    <s v="PHYSICIAN"/>
    <s v="M"/>
    <s v="No"/>
    <s v="MMIS"/>
    <s v="NorthRPU"/>
    <s v="P"/>
    <m/>
    <m/>
    <m/>
    <s v="Lindsay Tamborelle"/>
    <s v="E0406644"/>
    <s v="No"/>
    <s v="No"/>
    <s v="No"/>
    <s v="No"/>
    <s v="No"/>
    <s v="No"/>
    <s v="No"/>
    <s v="No"/>
    <n v="0"/>
    <s v="No"/>
    <s v="No"/>
    <x v="2"/>
    <n v="1"/>
    <s v=""/>
    <s v=""/>
    <s v=""/>
    <s v=""/>
    <s v=""/>
    <s v=""/>
    <s v=""/>
    <s v=""/>
    <s v=""/>
    <n v="1"/>
    <s v=""/>
  </r>
  <r>
    <x v="0"/>
    <m/>
    <m/>
    <m/>
    <m/>
    <s v="ONG LING"/>
    <m/>
    <m/>
    <m/>
    <m/>
    <s v="ONG LING SWIE"/>
    <s v="LING S ONG MD"/>
    <s v="ROCHESTER"/>
    <s v="NY"/>
    <s v="14607-4000"/>
    <s v="PHYSICIAN"/>
    <s v="M"/>
    <s v="No"/>
    <s v="MMIS"/>
    <s v="NorthRPU"/>
    <s v="P"/>
    <m/>
    <m/>
    <m/>
    <s v=""/>
    <s v="E0250943"/>
    <n v="1"/>
    <n v="1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BACLAWSKI LISA"/>
    <m/>
    <m/>
    <m/>
    <m/>
    <s v="BACLAWSKI LISA MARIE"/>
    <s v="20 ARROWOOD DR"/>
    <s v="ITHACA"/>
    <s v="NY"/>
    <s v="14850-1869"/>
    <s v="PHYSICIAN"/>
    <s v="M"/>
    <s v="No"/>
    <s v="MMIS"/>
    <s v="NorthRPU"/>
    <s v="P"/>
    <m/>
    <m/>
    <m/>
    <s v=""/>
    <s v="E0359283"/>
    <n v="1"/>
    <n v="1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SNYDER LISA"/>
    <m/>
    <m/>
    <m/>
    <m/>
    <s v="SNYDER LISA SIMONETTA"/>
    <s v="134 HOMER AVE"/>
    <s v="CORTLAND"/>
    <s v="NY"/>
    <s v="13045-1206"/>
    <s v="PHYSICIAN"/>
    <s v="M"/>
    <s v="No"/>
    <s v="MMIS"/>
    <s v="NorthRPU"/>
    <s v="P"/>
    <m/>
    <m/>
    <m/>
    <s v=""/>
    <s v="E0094341"/>
    <n v="1"/>
    <n v="1"/>
    <n v="0"/>
    <n v="0"/>
    <n v="1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LITTLE RYAN"/>
    <m/>
    <m/>
    <m/>
    <m/>
    <s v="LITTLE RYAN DANIEL NP"/>
    <s v="33 MITCHELL AVE"/>
    <s v="BINGHAMTON"/>
    <s v="NY"/>
    <s v="13903-1674"/>
    <s v="PHYSICIAN"/>
    <s v="M"/>
    <s v="No"/>
    <s v="MMIS"/>
    <s v="SouthRPU"/>
    <s v="P"/>
    <m/>
    <m/>
    <m/>
    <s v=""/>
    <s v="E0019665"/>
    <n v="1"/>
    <n v="1"/>
    <n v="0"/>
    <n v="1"/>
    <n v="1"/>
    <n v="0"/>
    <n v="0"/>
    <n v="0"/>
    <n v="1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LITVIN YAIR"/>
    <m/>
    <m/>
    <m/>
    <m/>
    <s v="LITVIN YAIR"/>
    <s v="1259 FISHER AVE"/>
    <s v="CORTLAND"/>
    <s v="NY"/>
    <s v="13045-1012"/>
    <s v="PHYSICIAN"/>
    <s v="M"/>
    <s v="No"/>
    <s v="MMIS"/>
    <s v="NorthRPU"/>
    <s v="P"/>
    <m/>
    <m/>
    <m/>
    <s v="LITVIN YAIR"/>
    <s v="E0205750"/>
    <s v="No"/>
    <s v="No"/>
    <s v="No"/>
    <s v="No"/>
    <s v="No"/>
    <s v="No"/>
    <s v="No"/>
    <s v="No"/>
    <n v="0"/>
    <s v="No"/>
    <s v="No"/>
    <x v="1"/>
    <n v="1"/>
    <s v=""/>
    <s v=""/>
    <s v=""/>
    <s v=""/>
    <s v=""/>
    <s v=""/>
    <s v=""/>
    <s v=""/>
    <s v=""/>
    <s v=""/>
    <s v=""/>
  </r>
  <r>
    <x v="0"/>
    <m/>
    <m/>
    <m/>
    <m/>
    <s v="DARLOW LLOYD DR."/>
    <m/>
    <m/>
    <m/>
    <m/>
    <s v="DARLOW LLOYD ALAN MD"/>
    <s v="209 W STATE ST"/>
    <s v="ITHACA"/>
    <s v="NY"/>
    <s v="14850-5489"/>
    <s v="PHYSICIAN"/>
    <s v="M"/>
    <s v="No"/>
    <s v="MMIS"/>
    <s v="NorthRPU"/>
    <s v="P"/>
    <m/>
    <m/>
    <m/>
    <s v=""/>
    <s v="E0092112"/>
    <n v="1"/>
    <n v="1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LOCKARD JOHN DR."/>
    <m/>
    <m/>
    <m/>
    <m/>
    <s v="LOCKARD JOHN W JR MD"/>
    <s v="GUTHRIE CLINIC LTD"/>
    <s v="SAYRE"/>
    <s v="PA"/>
    <s v="18840"/>
    <s v="PHYSICIAN"/>
    <s v="M"/>
    <s v="No"/>
    <s v="MMIS"/>
    <s v="SouthRPU"/>
    <s v="P"/>
    <m/>
    <m/>
    <m/>
    <s v=""/>
    <s v="E0164487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LODI YAHIA"/>
    <m/>
    <m/>
    <m/>
    <m/>
    <s v="LODI YAHIA M MD"/>
    <s v="750 E ADAMS ST"/>
    <s v="SYRACUSE"/>
    <s v="NY"/>
    <s v="13210-2342"/>
    <s v="PHYSICIAN"/>
    <s v="M"/>
    <s v="No"/>
    <s v="MMIS"/>
    <s v="NorthRPU"/>
    <s v="P"/>
    <m/>
    <m/>
    <m/>
    <s v=""/>
    <s v="E0092030"/>
    <n v="1"/>
    <n v="1"/>
    <n v="0"/>
    <n v="1"/>
    <n v="1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LOOMIS LISA"/>
    <m/>
    <m/>
    <m/>
    <m/>
    <s v="LOOMIS LISA MARIE"/>
    <s v="71 MAIN ST"/>
    <s v="CORTLAND"/>
    <s v="NY"/>
    <s v="13045-2610"/>
    <s v="CLINICAL SOCIAL WORKER (CSW)"/>
    <s v="M"/>
    <s v="No"/>
    <s v="MMIS"/>
    <s v="NorthRPU"/>
    <s v="P"/>
    <m/>
    <m/>
    <m/>
    <s v=""/>
    <s v="E0283654"/>
    <n v="0"/>
    <n v="0"/>
    <n v="0"/>
    <n v="0"/>
    <n v="0"/>
    <n v="0"/>
    <n v="0"/>
    <n v="0"/>
    <n v="0"/>
    <n v="0"/>
    <n v="0"/>
    <x v="1"/>
    <n v="1"/>
    <s v=""/>
    <s v=""/>
    <s v=""/>
    <n v="1"/>
    <s v=""/>
    <s v=""/>
    <s v=""/>
    <s v=""/>
    <s v=""/>
    <s v=""/>
    <s v=""/>
  </r>
  <r>
    <x v="0"/>
    <m/>
    <m/>
    <m/>
    <m/>
    <s v="LORD AMY"/>
    <m/>
    <m/>
    <m/>
    <m/>
    <s v="LORD AMY ELIZABETH"/>
    <s v="ENDICOTT MEDICENTER"/>
    <s v="ENDICOTT"/>
    <s v="NY"/>
    <s v="13760-5430"/>
    <s v="PHYSICIAN"/>
    <s v="M"/>
    <s v="No"/>
    <s v="MMIS"/>
    <s v="SouthRPU"/>
    <s v="P"/>
    <m/>
    <m/>
    <m/>
    <s v=""/>
    <s v="E0119437"/>
    <n v="1"/>
    <n v="1"/>
    <n v="0"/>
    <n v="1"/>
    <n v="1"/>
    <n v="0"/>
    <n v="0"/>
    <n v="0"/>
    <n v="1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WOLSH LOREN"/>
    <m/>
    <m/>
    <m/>
    <m/>
    <s v="WOLSH LOREN"/>
    <s v="WOLSH LOREN"/>
    <s v="JOHNSON CITY"/>
    <s v="NY"/>
    <s v="13790-2107"/>
    <s v="PHYSICIAN"/>
    <s v="M"/>
    <s v="No"/>
    <s v="MMIS"/>
    <s v="SouthRPU"/>
    <s v="P"/>
    <m/>
    <m/>
    <m/>
    <s v=""/>
    <s v="E0077753"/>
    <n v="1"/>
    <n v="1"/>
    <n v="0"/>
    <n v="1"/>
    <n v="1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SMITH LORI MS."/>
    <m/>
    <m/>
    <m/>
    <m/>
    <s v="SMITH LORI A"/>
    <s v="169 RIVERSIDE DR"/>
    <s v="BINGHAMTON"/>
    <s v="NY"/>
    <s v="13905-4246"/>
    <s v="PHYSICIAN"/>
    <s v="M"/>
    <s v="No"/>
    <s v="MMIS"/>
    <s v="SouthRPU"/>
    <s v="P"/>
    <m/>
    <m/>
    <m/>
    <s v="Lori B. Smith, RPA"/>
    <s v="E0043805"/>
    <s v="No"/>
    <s v="No"/>
    <s v="No"/>
    <s v="No"/>
    <s v="No"/>
    <s v="No"/>
    <s v="No"/>
    <s v="No"/>
    <n v="0"/>
    <s v="No"/>
    <s v="No"/>
    <x v="1"/>
    <n v="1"/>
    <s v=""/>
    <s v=""/>
    <s v=""/>
    <s v=""/>
    <s v=""/>
    <s v=""/>
    <s v=""/>
    <s v=""/>
    <s v=""/>
    <n v="1"/>
    <s v=""/>
  </r>
  <r>
    <x v="0"/>
    <m/>
    <m/>
    <m/>
    <m/>
    <s v="LORMAN KATHRYN MS."/>
    <m/>
    <m/>
    <m/>
    <m/>
    <s v="LORMAN KATHRYN A"/>
    <s v="161 RIVERSIDE DR"/>
    <s v="BINGHAMTON"/>
    <s v="NY"/>
    <s v="13905-4176"/>
    <s v="PHYSICIAN"/>
    <s v="M"/>
    <s v="No"/>
    <s v="MMIS"/>
    <s v="SouthRPU"/>
    <s v="P"/>
    <m/>
    <m/>
    <m/>
    <s v=""/>
    <s v="E0049775"/>
    <n v="1"/>
    <n v="1"/>
    <n v="0"/>
    <n v="1"/>
    <n v="1"/>
    <n v="0"/>
    <n v="0"/>
    <n v="0"/>
    <n v="1"/>
    <n v="0"/>
    <n v="0"/>
    <x v="1"/>
    <n v="1"/>
    <s v=""/>
    <s v=""/>
    <s v=""/>
    <s v=""/>
    <s v=""/>
    <s v=""/>
    <s v=""/>
    <s v=""/>
    <s v=""/>
    <n v="1"/>
    <s v=""/>
  </r>
  <r>
    <x v="1"/>
    <m/>
    <m/>
    <m/>
    <m/>
    <s v="CAMPBELL LORNE"/>
    <m/>
    <m/>
    <m/>
    <m/>
    <s v="CAMPBELL LORNE RICHARD SR MD"/>
    <s v="1461 KENSINGTON AVE"/>
    <s v="BUFFALO"/>
    <s v="NY"/>
    <s v="14215-1436"/>
    <s v="PHYSICIAN"/>
    <s v="M"/>
    <s v="No"/>
    <s v="MMIS"/>
    <s v="SouthRPU"/>
    <s v="P"/>
    <m/>
    <m/>
    <m/>
    <s v="Lorne Campbell, MD"/>
    <s v="E0195522"/>
    <s v="No"/>
    <s v="No"/>
    <s v="No"/>
    <s v="No"/>
    <s v="No"/>
    <s v="No"/>
    <s v="No"/>
    <s v="No"/>
    <n v="1"/>
    <s v="No"/>
    <s v="No"/>
    <x v="2"/>
    <s v=""/>
    <s v=""/>
    <s v=""/>
    <s v=""/>
    <s v=""/>
    <s v=""/>
    <s v=""/>
    <s v=""/>
    <s v=""/>
    <s v=""/>
    <n v="1"/>
    <s v=""/>
  </r>
  <r>
    <x v="0"/>
    <m/>
    <m/>
    <m/>
    <m/>
    <s v="LORRAINE ERIC"/>
    <m/>
    <m/>
    <m/>
    <m/>
    <s v="LORRAINE ERIC JOSEPH"/>
    <s v="415 HOOPER RD"/>
    <s v="ENDWELL"/>
    <s v="NY"/>
    <s v="13760-3646"/>
    <s v="PHYSICIAN"/>
    <s v="M"/>
    <s v="No"/>
    <s v="MMIS"/>
    <s v="SouthRPU"/>
    <s v="P"/>
    <m/>
    <m/>
    <m/>
    <s v="LORRAINE ERIC"/>
    <s v="E0354725"/>
    <s v="No"/>
    <s v="No"/>
    <s v="No"/>
    <s v="No"/>
    <s v="No"/>
    <s v="No"/>
    <s v="No"/>
    <s v="No"/>
    <n v="0"/>
    <s v="No"/>
    <s v="No"/>
    <x v="2"/>
    <s v=""/>
    <s v=""/>
    <s v=""/>
    <s v=""/>
    <s v=""/>
    <s v=""/>
    <s v=""/>
    <s v=""/>
    <s v=""/>
    <s v=""/>
    <n v="1"/>
    <s v=""/>
  </r>
  <r>
    <x v="0"/>
    <m/>
    <m/>
    <m/>
    <m/>
    <s v="LOURDES HEALTH SUPPORT, LLC"/>
    <m/>
    <m/>
    <m/>
    <m/>
    <s v="LOURDES HEALTH SUPPORT LLC"/>
    <s v="1155 UPPER FRONT ST"/>
    <s v="BINGHAMTON"/>
    <s v="NY"/>
    <s v="13905-1117"/>
    <s v="MEDICAL APPLIANCE DEALER"/>
    <s v="M"/>
    <s v="No"/>
    <s v="MMIS"/>
    <s v="SouthRPU"/>
    <s v="P"/>
    <m/>
    <m/>
    <m/>
    <s v="LOURDES HEALTH SUPPORT, LLC"/>
    <s v="E0062988"/>
    <s v="No"/>
    <s v="No"/>
    <s v="No"/>
    <s v="No"/>
    <s v="No"/>
    <s v="No"/>
    <s v="No"/>
    <s v="No"/>
    <n v="0"/>
    <s v="No"/>
    <s v="No"/>
    <x v="1"/>
    <s v=""/>
    <s v=""/>
    <s v=""/>
    <s v=""/>
    <s v=""/>
    <s v=""/>
    <s v=""/>
    <s v=""/>
    <s v=""/>
    <s v=""/>
    <s v=""/>
    <n v="1"/>
  </r>
  <r>
    <x v="0"/>
    <m/>
    <m/>
    <m/>
    <m/>
    <s v="LOWRIE RYAN"/>
    <m/>
    <m/>
    <m/>
    <m/>
    <s v="LOWRIE RYAN PAUL"/>
    <s v="4401 VESTAL PKWY E"/>
    <s v="VESTAL"/>
    <s v="NY"/>
    <s v="13850-3514"/>
    <s v="PHYSICIAN"/>
    <s v="M"/>
    <s v="No"/>
    <s v="MMIS"/>
    <s v="SouthRPU"/>
    <s v="P"/>
    <m/>
    <m/>
    <m/>
    <s v=""/>
    <s v="E0313526"/>
    <n v="1"/>
    <n v="1"/>
    <n v="0"/>
    <n v="1"/>
    <n v="1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LOWRY PHILIP DR."/>
    <m/>
    <m/>
    <m/>
    <m/>
    <s v="LOWRY PHILIP ANDREW MD"/>
    <s v="1 GUTHRIE SQUARE"/>
    <s v="SAYRE"/>
    <s v="PA"/>
    <s v="18840-1625"/>
    <s v="PHYSICIAN"/>
    <s v="M"/>
    <s v="No"/>
    <s v="MMIS"/>
    <s v="SouthRPU"/>
    <s v="P"/>
    <m/>
    <m/>
    <m/>
    <s v=""/>
    <s v="E0046745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1"/>
    <m/>
    <m/>
    <m/>
    <m/>
    <s v="LOYOLA RECOVERY FOUNDATION, INC."/>
    <m/>
    <m/>
    <m/>
    <m/>
    <s v="LOYOLA RECOVERY FOUNDATION"/>
    <s v="801 WEST AVE"/>
    <s v="ROCHESTER"/>
    <s v="NY"/>
    <s v="14611-2453"/>
    <s v="HOSPITAL"/>
    <s v="M"/>
    <s v="No"/>
    <s v="MMIS"/>
    <s v="WestRPU"/>
    <s v="P"/>
    <m/>
    <m/>
    <m/>
    <s v="LOYOLA RECOVERY FOUNDATION, INC."/>
    <s v="E0230729"/>
    <s v="No"/>
    <s v="No"/>
    <s v="No"/>
    <s v="No"/>
    <s v="No"/>
    <s v="No"/>
    <s v="No"/>
    <s v="No"/>
    <n v="0"/>
    <s v="No"/>
    <s v="No"/>
    <x v="1"/>
    <s v=""/>
    <s v=""/>
    <s v=""/>
    <s v=""/>
    <n v="1"/>
    <n v="1"/>
    <s v=""/>
    <s v=""/>
    <s v=""/>
    <s v=""/>
    <n v="1"/>
    <s v=""/>
  </r>
  <r>
    <x v="0"/>
    <m/>
    <m/>
    <m/>
    <m/>
    <s v="LUBELL RICHARD DR."/>
    <m/>
    <m/>
    <m/>
    <m/>
    <s v="LUBELL RICHARD R MD"/>
    <s v="GUTHRIE CLINIC"/>
    <s v="SAYRE"/>
    <s v="PA"/>
    <s v="18840"/>
    <s v="PHYSICIAN"/>
    <s v="M"/>
    <s v="No"/>
    <s v="MMIS"/>
    <s v="SouthRPU"/>
    <s v="P"/>
    <m/>
    <m/>
    <m/>
    <s v=""/>
    <s v="E0036837"/>
    <n v="1"/>
    <n v="1"/>
    <n v="0"/>
    <n v="0"/>
    <n v="0"/>
    <n v="0"/>
    <n v="0"/>
    <n v="0"/>
    <n v="0"/>
    <n v="1"/>
    <n v="0"/>
    <x v="1"/>
    <n v="1"/>
    <s v=""/>
    <s v=""/>
    <s v=""/>
    <s v=""/>
    <s v=""/>
    <s v=""/>
    <s v=""/>
    <s v=""/>
    <s v=""/>
    <n v="1"/>
    <s v=""/>
  </r>
  <r>
    <x v="0"/>
    <m/>
    <m/>
    <m/>
    <m/>
    <s v="JANDER LUCIA"/>
    <m/>
    <m/>
    <m/>
    <m/>
    <s v="JANDER LUCIA MD"/>
    <s v="217 N AURORA ST"/>
    <s v="ITHACA"/>
    <s v="NY"/>
    <s v="14850-4345"/>
    <s v="PHYSICIAN"/>
    <s v="M"/>
    <s v="No"/>
    <s v="MMIS"/>
    <s v="NorthRPU"/>
    <s v="P"/>
    <m/>
    <m/>
    <m/>
    <s v=""/>
    <s v="E0063349"/>
    <n v="1"/>
    <n v="1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m/>
    <m/>
    <m/>
    <m/>
    <m/>
    <s v="LUKOSE JOSEPH M PC MD"/>
    <s v="THE HOSPITAL"/>
    <s v="SIDNEY"/>
    <s v="NY"/>
    <s v="13838"/>
    <s v="PHYSICIAN"/>
    <s v="M"/>
    <s v="No"/>
    <s v="MMIS"/>
    <s v="EastRPU"/>
    <s v="P"/>
    <m/>
    <m/>
    <m/>
    <s v="LUKOSE JOSEPH DR."/>
    <s v="E0249813"/>
    <s v="No"/>
    <s v="No"/>
    <s v="No"/>
    <s v="No"/>
    <s v="No"/>
    <s v="No"/>
    <s v="No"/>
    <s v="No"/>
    <n v="0"/>
    <s v="No"/>
    <s v="No"/>
    <x v="1"/>
    <s v=""/>
    <s v=""/>
    <s v=""/>
    <s v=""/>
    <s v=""/>
    <s v=""/>
    <s v=""/>
    <s v=""/>
    <s v=""/>
    <s v=""/>
    <s v=""/>
    <n v="1"/>
  </r>
  <r>
    <x v="0"/>
    <m/>
    <m/>
    <m/>
    <m/>
    <s v="LYNCH CYNTHIA DR."/>
    <m/>
    <m/>
    <m/>
    <m/>
    <s v="LYNCH CYNTHIA ANNE"/>
    <s v="1 GUTHRIE SQ"/>
    <s v="SAYRE"/>
    <s v="PA"/>
    <s v="18840-1625"/>
    <s v="PHYSICIAN"/>
    <s v="M"/>
    <s v="No"/>
    <s v="MMIS"/>
    <s v="SouthRPU"/>
    <s v="P"/>
    <m/>
    <m/>
    <m/>
    <s v=""/>
    <s v="E0315741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1"/>
    <m/>
    <m/>
    <m/>
    <m/>
    <s v="VERDUIN LYNN"/>
    <m/>
    <m/>
    <m/>
    <m/>
    <s v="VERDUIN LYNN M"/>
    <s v="13293 ROUTE 38"/>
    <s v="RICHFORD"/>
    <s v="NY"/>
    <s v="13835-0001"/>
    <s v="PHYSICIAN"/>
    <s v="M"/>
    <s v="No"/>
    <s v="MMIS"/>
    <s v="SouthRPU"/>
    <s v="P"/>
    <m/>
    <m/>
    <m/>
    <s v="Lynn M. Verduin, FNP-C"/>
    <s v="E0067205"/>
    <s v="No"/>
    <s v="No"/>
    <s v="No"/>
    <s v="No"/>
    <s v="No"/>
    <s v="No"/>
    <s v="No"/>
    <s v="No"/>
    <n v="0"/>
    <s v="No"/>
    <s v="No"/>
    <x v="2"/>
    <s v=""/>
    <s v=""/>
    <s v=""/>
    <s v=""/>
    <s v=""/>
    <s v=""/>
    <s v=""/>
    <s v=""/>
    <s v=""/>
    <s v=""/>
    <n v="1"/>
    <s v=""/>
  </r>
  <r>
    <x v="0"/>
    <m/>
    <m/>
    <m/>
    <m/>
    <s v="SWISHER LYNN"/>
    <m/>
    <m/>
    <m/>
    <m/>
    <s v="SWISHER LYNN MD"/>
    <s v="CORTLAND HOSPITAL"/>
    <s v="CORTLAND"/>
    <s v="NY"/>
    <s v="13045"/>
    <s v="PHYSICIAN"/>
    <s v="M"/>
    <s v="No"/>
    <s v="MMIS"/>
    <s v="NorthRPU"/>
    <s v="P"/>
    <m/>
    <m/>
    <m/>
    <s v=""/>
    <s v="E0154569"/>
    <n v="1"/>
    <n v="1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MACAPINLAC ERIC MR."/>
    <m/>
    <m/>
    <m/>
    <m/>
    <s v="MACAPINLAC ERIC VICTOR AGUAS MD"/>
    <s v="1 GUTHRIE SQ"/>
    <s v="SAYRE"/>
    <s v="PA"/>
    <s v="18840-1625"/>
    <s v="PHYSICIAN"/>
    <s v="M"/>
    <s v="No"/>
    <s v="MMIS"/>
    <s v="SouthRPU"/>
    <s v="P"/>
    <m/>
    <m/>
    <m/>
    <s v=""/>
    <s v="E0309124"/>
    <n v="1"/>
    <n v="1"/>
    <n v="0"/>
    <n v="0"/>
    <n v="0"/>
    <n v="0"/>
    <n v="0"/>
    <n v="0"/>
    <n v="0"/>
    <n v="1"/>
    <n v="0"/>
    <x v="1"/>
    <n v="1"/>
    <s v=""/>
    <s v=""/>
    <s v=""/>
    <s v=""/>
    <s v=""/>
    <s v=""/>
    <s v=""/>
    <s v=""/>
    <s v=""/>
    <n v="1"/>
    <s v=""/>
  </r>
  <r>
    <x v="0"/>
    <m/>
    <m/>
    <m/>
    <m/>
    <s v="BHOOMIREDDI MADHUKAR"/>
    <m/>
    <m/>
    <m/>
    <m/>
    <s v="BHOOMIREDDI MADHUKAR MD"/>
    <s v="169 RIVERSIDE DR"/>
    <s v="BINGHAMTON"/>
    <s v="NY"/>
    <s v="13905-4246"/>
    <s v="PHYSICIAN"/>
    <s v="M"/>
    <s v="No"/>
    <s v="MMIS"/>
    <s v="SouthRPU"/>
    <s v="P"/>
    <m/>
    <m/>
    <m/>
    <s v="Madhukar Bhoomireddi, MD"/>
    <s v="E0019544"/>
    <s v="No"/>
    <s v="No"/>
    <s v="No"/>
    <s v="No"/>
    <s v="No"/>
    <s v="No"/>
    <s v="No"/>
    <s v="No"/>
    <n v="0"/>
    <s v="No"/>
    <s v="No"/>
    <x v="2"/>
    <n v="1"/>
    <s v=""/>
    <s v=""/>
    <s v=""/>
    <s v=""/>
    <s v=""/>
    <s v=""/>
    <s v=""/>
    <s v=""/>
    <s v=""/>
    <s v=""/>
    <s v=""/>
  </r>
  <r>
    <x v="1"/>
    <m/>
    <m/>
    <m/>
    <m/>
    <s v="NYSARC INC."/>
    <m/>
    <m/>
    <m/>
    <m/>
    <s v="MADISON CO CHAP NYSARC INC"/>
    <s v="588 BROAD ST"/>
    <s v="ONEIDA"/>
    <s v="NY"/>
    <s v="13421-2465"/>
    <s v="DIAGNOSTIC AND TREATMENT CENTER"/>
    <s v="M"/>
    <s v="No"/>
    <s v="MMIS"/>
    <s v="EastRPU"/>
    <s v="P"/>
    <m/>
    <m/>
    <m/>
    <s v=""/>
    <s v="E0154483"/>
    <n v="0"/>
    <n v="0"/>
    <n v="0"/>
    <n v="0"/>
    <n v="0"/>
    <n v="0"/>
    <n v="0"/>
    <n v="0"/>
    <n v="0"/>
    <n v="0"/>
    <n v="0"/>
    <x v="1"/>
    <s v=""/>
    <s v=""/>
    <s v=""/>
    <s v=""/>
    <s v=""/>
    <s v=""/>
    <s v=""/>
    <s v=""/>
    <s v=""/>
    <s v=""/>
    <n v="1"/>
    <s v=""/>
  </r>
  <r>
    <x v="0"/>
    <m/>
    <m/>
    <m/>
    <m/>
    <s v="LOCKETT MAEGAN"/>
    <m/>
    <m/>
    <m/>
    <m/>
    <s v="LOCKETT MAEGAN M"/>
    <s v="91 CHENANGO BRIDGE RD"/>
    <s v="BINGHAMTON"/>
    <s v="NY"/>
    <s v="13901-1293"/>
    <s v="PHYSICIAN"/>
    <s v="M"/>
    <s v="No"/>
    <s v="MMIS"/>
    <s v="SouthRPU"/>
    <s v="P"/>
    <m/>
    <m/>
    <m/>
    <s v=""/>
    <s v="E0365139"/>
    <n v="1"/>
    <n v="1"/>
    <n v="0"/>
    <n v="1"/>
    <n v="1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MAGAI COLLEEN MS."/>
    <m/>
    <m/>
    <m/>
    <m/>
    <s v="MAGAI COLLEEN S RPA"/>
    <s v="28650 STATE HIGHWAY 23"/>
    <s v="STAMFORD"/>
    <s v="NY"/>
    <s v="12167-1712"/>
    <s v="PHYSICIAN"/>
    <s v="M"/>
    <s v="No"/>
    <s v="MMIS"/>
    <s v="EastRPU"/>
    <s v="P"/>
    <m/>
    <m/>
    <m/>
    <s v=""/>
    <s v="E0025861"/>
    <n v="0"/>
    <n v="0"/>
    <n v="0"/>
    <n v="0"/>
    <n v="0"/>
    <n v="0"/>
    <n v="0"/>
    <n v="0"/>
    <n v="0"/>
    <n v="0"/>
    <n v="0"/>
    <x v="2"/>
    <n v="1"/>
    <s v=""/>
    <s v=""/>
    <s v=""/>
    <s v=""/>
    <s v=""/>
    <s v=""/>
    <s v=""/>
    <s v=""/>
    <s v=""/>
    <s v=""/>
    <s v=""/>
  </r>
  <r>
    <x v="0"/>
    <m/>
    <m/>
    <m/>
    <m/>
    <s v="HOHN MAGDALENA DR."/>
    <m/>
    <m/>
    <m/>
    <m/>
    <s v="HOHN MAGDALENA D MD"/>
    <s v="101 DATES DR"/>
    <s v="ITHACA"/>
    <s v="NY"/>
    <s v="14850-1342"/>
    <s v="PHYSICIAN"/>
    <s v="M"/>
    <s v="No"/>
    <s v="MMIS"/>
    <s v="NorthRPU"/>
    <s v="P"/>
    <m/>
    <m/>
    <m/>
    <s v=""/>
    <s v="E0017039"/>
    <n v="1"/>
    <n v="1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AHMED MAHMOOD"/>
    <m/>
    <m/>
    <m/>
    <m/>
    <s v="BUTT MAHMOOD"/>
    <s v="33-57 HARRISON ST"/>
    <s v="JOHNSON CITY"/>
    <s v="NY"/>
    <s v="13790-2107"/>
    <s v="PHYSICIAN"/>
    <s v="M"/>
    <s v="No"/>
    <s v="MMIS"/>
    <s v="SouthRPU"/>
    <s v="P"/>
    <m/>
    <m/>
    <m/>
    <s v=""/>
    <s v="E0062954"/>
    <n v="0"/>
    <n v="0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MAJOR LESLIE DR."/>
    <m/>
    <m/>
    <m/>
    <m/>
    <s v="MAJOR LESLIE F             MD"/>
    <s v="BINGHAMTON GEN HOSP"/>
    <s v="BINGHAMTON"/>
    <s v="NY"/>
    <s v="13903"/>
    <s v="PHYSICIAN"/>
    <s v="M"/>
    <s v="No"/>
    <s v="MMIS"/>
    <s v="SouthRPU"/>
    <s v="P"/>
    <m/>
    <m/>
    <m/>
    <s v=""/>
    <s v="E0256811"/>
    <n v="1"/>
    <n v="1"/>
    <n v="0"/>
    <n v="1"/>
    <n v="1"/>
    <n v="0"/>
    <n v="0"/>
    <n v="0"/>
    <n v="0"/>
    <n v="0"/>
    <n v="0"/>
    <x v="1"/>
    <n v="1"/>
    <s v=""/>
    <s v=""/>
    <s v=""/>
    <n v="1"/>
    <s v=""/>
    <s v=""/>
    <s v=""/>
    <s v=""/>
    <s v=""/>
    <s v=""/>
    <s v=""/>
  </r>
  <r>
    <x v="1"/>
    <m/>
    <m/>
    <m/>
    <m/>
    <s v="MAKLAD SAFA DR."/>
    <m/>
    <m/>
    <m/>
    <m/>
    <s v="MAKLAD SAFA A"/>
    <s v="40 ARCH ST"/>
    <s v="JOHNSON CITY"/>
    <s v="NY"/>
    <s v="13790-2102"/>
    <s v="PHYSICIAN"/>
    <s v="M"/>
    <s v="No"/>
    <s v="MMIS"/>
    <s v="SouthRPU"/>
    <s v="P"/>
    <m/>
    <m/>
    <m/>
    <s v=""/>
    <s v="E0299855"/>
    <n v="1"/>
    <n v="1"/>
    <n v="0"/>
    <n v="1"/>
    <n v="1"/>
    <n v="1"/>
    <n v="0"/>
    <n v="0"/>
    <n v="1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MALAVET ANGEL DR."/>
    <m/>
    <m/>
    <m/>
    <m/>
    <s v="MALAVET ANGEL L MD"/>
    <s v="130 CENTER WAY"/>
    <s v="CORNING"/>
    <s v="NY"/>
    <s v="14830-2255"/>
    <s v="PHYSICIAN"/>
    <s v="M"/>
    <s v="No"/>
    <s v="MMIS"/>
    <s v="WestRPU"/>
    <s v="P"/>
    <m/>
    <m/>
    <m/>
    <s v=""/>
    <s v="E0142503"/>
    <n v="1"/>
    <n v="1"/>
    <n v="0"/>
    <n v="0"/>
    <n v="0"/>
    <n v="0"/>
    <n v="0"/>
    <n v="1"/>
    <n v="1"/>
    <n v="1"/>
    <n v="0"/>
    <x v="2"/>
    <s v=""/>
    <s v=""/>
    <s v=""/>
    <s v=""/>
    <s v=""/>
    <s v=""/>
    <s v=""/>
    <s v=""/>
    <s v=""/>
    <s v=""/>
    <n v="1"/>
    <s v=""/>
  </r>
  <r>
    <x v="0"/>
    <m/>
    <m/>
    <m/>
    <m/>
    <s v="BRAND MALCOLM"/>
    <m/>
    <m/>
    <m/>
    <m/>
    <s v="BRAND MALCOLM DOUGLAS MD"/>
    <s v="STE 102"/>
    <s v="ITHACA"/>
    <s v="NY"/>
    <s v="14850-1345"/>
    <s v="PHYSICIAN"/>
    <s v="M"/>
    <s v="No"/>
    <s v="MMIS"/>
    <s v="NorthRPU"/>
    <s v="P"/>
    <m/>
    <m/>
    <m/>
    <s v=""/>
    <s v="E0085354"/>
    <n v="1"/>
    <n v="1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MANEK MEGHA"/>
    <m/>
    <m/>
    <m/>
    <m/>
    <s v="MANEK MEGHA BHARAT"/>
    <s v="1 GUTHRIE SQ"/>
    <s v="SAYRE"/>
    <s v="PA"/>
    <s v="18840-1625"/>
    <s v="PHYSICIAN"/>
    <s v="M"/>
    <s v="No"/>
    <s v="MMIS"/>
    <s v="SouthRPU"/>
    <s v="P"/>
    <m/>
    <m/>
    <m/>
    <s v=""/>
    <s v="E0322185"/>
    <n v="0"/>
    <n v="0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MANGOURI GHASSEM"/>
    <m/>
    <m/>
    <m/>
    <m/>
    <s v="GHASSEM MANGOURI MD"/>
    <s v="WILSON HOSPITAL"/>
    <s v="JOHNSON CITY"/>
    <s v="NY"/>
    <s v="13790"/>
    <s v="PHYSICIAN"/>
    <s v="M"/>
    <s v="No"/>
    <s v="MMIS"/>
    <s v="SouthRPU"/>
    <s v="P"/>
    <m/>
    <m/>
    <m/>
    <s v=""/>
    <s v="E0222165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MANN NATHAN DR."/>
    <m/>
    <m/>
    <m/>
    <m/>
    <s v="MANN NATHAN ANDREW"/>
    <s v="1302 E MAIN ST"/>
    <s v="ENDICOTT"/>
    <s v="NY"/>
    <s v="13760-5430"/>
    <s v="PHYSICIAN"/>
    <s v="M"/>
    <s v="No"/>
    <s v="MMIS"/>
    <s v="SouthRPU"/>
    <s v="P"/>
    <m/>
    <m/>
    <m/>
    <s v="MANN NATHAN DR."/>
    <s v="E0295855"/>
    <s v="No"/>
    <s v="No"/>
    <s v="No"/>
    <s v="No"/>
    <s v="No"/>
    <s v="No"/>
    <s v="No"/>
    <s v="No"/>
    <n v="0"/>
    <s v="No"/>
    <s v="No"/>
    <x v="1"/>
    <s v=""/>
    <s v=""/>
    <s v=""/>
    <s v=""/>
    <s v=""/>
    <s v=""/>
    <s v=""/>
    <s v=""/>
    <s v=""/>
    <s v=""/>
    <s v=""/>
    <n v="1"/>
  </r>
  <r>
    <x v="1"/>
    <m/>
    <m/>
    <m/>
    <m/>
    <s v="KUMAR MANOJ"/>
    <m/>
    <m/>
    <m/>
    <m/>
    <s v="KUMAR MANOJ KOYAMPARAMBATH"/>
    <s v="64 POMEROY ST"/>
    <s v="CORTLAND"/>
    <s v="NY"/>
    <s v="13045-2708"/>
    <s v="PHYSICIAN"/>
    <s v="M"/>
    <s v="No"/>
    <s v="MMIS"/>
    <s v="NorthRPU"/>
    <s v="P"/>
    <m/>
    <m/>
    <m/>
    <s v=""/>
    <s v="E0019534"/>
    <n v="1"/>
    <n v="1"/>
    <n v="0"/>
    <n v="0"/>
    <n v="1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BAKER MARC DR."/>
    <m/>
    <m/>
    <m/>
    <m/>
    <s v="BAKER MARC LOUIS"/>
    <s v="134 HOMER AVE"/>
    <s v="CORTLAND"/>
    <s v="NY"/>
    <s v="13045-1206"/>
    <s v="PHYSICIAN"/>
    <s v="M"/>
    <s v="No"/>
    <s v="MMIS"/>
    <s v="NorthRPU"/>
    <s v="P"/>
    <m/>
    <m/>
    <m/>
    <s v=""/>
    <s v="E0308653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IMMERMAN MARC"/>
    <m/>
    <m/>
    <m/>
    <m/>
    <s v="IMMERMAN MARC MD"/>
    <s v="555 E MARKET ST"/>
    <s v="ELMIRA"/>
    <s v="NY"/>
    <s v="14901-3223"/>
    <s v="PHYSICIAN"/>
    <s v="M"/>
    <s v="No"/>
    <s v="MMIS"/>
    <s v="WestRPU"/>
    <s v="P"/>
    <m/>
    <m/>
    <m/>
    <s v=""/>
    <s v="E0185435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SETTINERI MARC DR."/>
    <m/>
    <m/>
    <m/>
    <m/>
    <s v="SETTINERI MARC HENRI MD"/>
    <s v="134 HOMER AVE"/>
    <s v="CORTLAND"/>
    <s v="NY"/>
    <s v="13045-1206"/>
    <s v="PHYSICIAN"/>
    <s v="M"/>
    <s v="No"/>
    <s v="MMIS"/>
    <s v="NorthRPU"/>
    <s v="P"/>
    <m/>
    <m/>
    <m/>
    <s v=""/>
    <s v="E0133007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GAWEL MAREK"/>
    <m/>
    <m/>
    <m/>
    <m/>
    <s v="GAWEL MAREK MARIAN MD"/>
    <s v="9785 QUEENS BLVD"/>
    <s v="REGO PARK"/>
    <s v="NY"/>
    <s v="11374-3319"/>
    <s v="PHYSICIAN"/>
    <s v="M"/>
    <s v="No"/>
    <s v="MMIS"/>
    <s v="SouthRPU"/>
    <s v="P"/>
    <m/>
    <m/>
    <m/>
    <s v="Marek M. Gawel, MD"/>
    <s v="E0039728"/>
    <s v="No"/>
    <s v="No"/>
    <s v="No"/>
    <s v="No"/>
    <s v="No"/>
    <s v="No"/>
    <s v="No"/>
    <s v="No"/>
    <n v="1"/>
    <s v="No"/>
    <s v="No"/>
    <x v="2"/>
    <s v=""/>
    <s v=""/>
    <s v=""/>
    <s v=""/>
    <s v=""/>
    <s v=""/>
    <s v=""/>
    <s v=""/>
    <s v=""/>
    <s v=""/>
    <n v="1"/>
    <s v=""/>
  </r>
  <r>
    <x v="1"/>
    <m/>
    <m/>
    <m/>
    <m/>
    <s v="DOWNING MARGARET"/>
    <m/>
    <m/>
    <m/>
    <m/>
    <s v="DOWNING MARGARET APELLANIZ"/>
    <s v="135 N MAIN ST"/>
    <s v="CORTLAND"/>
    <s v="NY"/>
    <s v="13045-1226"/>
    <s v="PHYSICIAN"/>
    <s v="M"/>
    <s v="No"/>
    <s v="MMIS"/>
    <s v="NorthRPU"/>
    <s v="P"/>
    <m/>
    <m/>
    <m/>
    <s v=""/>
    <s v="E0172780"/>
    <n v="1"/>
    <n v="1"/>
    <n v="0"/>
    <n v="0"/>
    <n v="1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UPHOFF MARGUERITE DR."/>
    <m/>
    <m/>
    <m/>
    <m/>
    <s v="UPHOFF MARGUERITE H MCKAY  MD"/>
    <s v="10 GRAHAM RD WEST"/>
    <s v="ITHACA"/>
    <s v="NY"/>
    <s v="14850-1055"/>
    <s v="PHYSICIAN"/>
    <s v="M"/>
    <s v="No"/>
    <s v="MMIS"/>
    <s v="NorthRPU"/>
    <s v="P"/>
    <m/>
    <m/>
    <m/>
    <s v=""/>
    <s v="E0252741"/>
    <n v="1"/>
    <n v="1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BERRY MARIA"/>
    <m/>
    <m/>
    <m/>
    <m/>
    <s v="BERRY MARIA"/>
    <s v="1130 UPPER FRONT ST"/>
    <s v="BINGHAMTON"/>
    <s v="NY"/>
    <s v="13905-1118"/>
    <s v="PHYSICIAN"/>
    <s v="M"/>
    <s v="No"/>
    <s v="MMIS"/>
    <s v="SouthRPU"/>
    <s v="P"/>
    <m/>
    <m/>
    <m/>
    <s v="Maria C. Berry, FNP"/>
    <s v="E0366640"/>
    <s v="No"/>
    <s v="No"/>
    <s v="No"/>
    <s v="No"/>
    <s v="No"/>
    <s v="No"/>
    <s v="No"/>
    <s v="No"/>
    <n v="0"/>
    <s v="No"/>
    <s v="No"/>
    <x v="2"/>
    <s v=""/>
    <s v=""/>
    <s v=""/>
    <s v=""/>
    <s v=""/>
    <s v=""/>
    <s v=""/>
    <s v=""/>
    <s v=""/>
    <s v=""/>
    <n v="1"/>
    <s v=""/>
  </r>
  <r>
    <x v="0"/>
    <m/>
    <m/>
    <m/>
    <m/>
    <s v="PIERETTI MARIAH DR."/>
    <m/>
    <m/>
    <m/>
    <m/>
    <s v="PIERETTI MARIAH MAGARGEE"/>
    <m/>
    <s v="NEW YORK"/>
    <s v="NY"/>
    <s v="10032-1559"/>
    <s v="PHYSICIAN"/>
    <s v="M"/>
    <s v="No"/>
    <s v="MMIS"/>
    <s v="NorthRPU"/>
    <s v="P"/>
    <m/>
    <m/>
    <m/>
    <s v=""/>
    <s v="E0020382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MARICA SILVIU DR."/>
    <m/>
    <m/>
    <m/>
    <m/>
    <s v="MARICA SILVIU CATALIN MD"/>
    <s v="1 GUTHRIE SQ"/>
    <s v="SAYRE"/>
    <s v="PA"/>
    <s v="18840-1625"/>
    <s v="PHYSICIAN"/>
    <s v="M"/>
    <s v="No"/>
    <s v="MMIS"/>
    <s v="SouthRPU"/>
    <s v="P"/>
    <m/>
    <m/>
    <m/>
    <s v=""/>
    <s v="E0289506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1"/>
    <m/>
    <m/>
    <m/>
    <m/>
    <s v="LANGEVIN MARJORIE MS."/>
    <m/>
    <m/>
    <m/>
    <m/>
    <s v="LANGEVIN MARJORIE ELIZABETH"/>
    <s v="303 MAIN ST"/>
    <s v="BINGHAMTON"/>
    <s v="NY"/>
    <s v="13905-2539"/>
    <s v="PHYSICIAN"/>
    <s v="M"/>
    <s v="No"/>
    <s v="MMIS"/>
    <s v="SouthRPU"/>
    <s v="P"/>
    <m/>
    <m/>
    <m/>
    <s v="Marjorie E. Langevin, FNP-C"/>
    <s v="E0103415"/>
    <s v="No"/>
    <s v="No"/>
    <s v="No"/>
    <s v="No"/>
    <s v="No"/>
    <s v="No"/>
    <s v="No"/>
    <s v="No"/>
    <n v="0"/>
    <s v="No"/>
    <s v="No"/>
    <x v="2"/>
    <s v=""/>
    <s v=""/>
    <s v=""/>
    <s v=""/>
    <s v=""/>
    <s v=""/>
    <s v=""/>
    <s v=""/>
    <s v=""/>
    <s v=""/>
    <n v="1"/>
    <s v=""/>
  </r>
  <r>
    <x v="0"/>
    <m/>
    <m/>
    <m/>
    <m/>
    <s v="SPEICHER MARK"/>
    <m/>
    <m/>
    <m/>
    <m/>
    <s v="SPEICHER MARK P MD"/>
    <s v="3 GROW AVE"/>
    <s v="MONTROSE"/>
    <s v="PA"/>
    <s v="18801-1103"/>
    <s v="PHYSICIAN"/>
    <s v="M"/>
    <s v="No"/>
    <s v="MMIS"/>
    <s v="SouthRPU"/>
    <s v="P"/>
    <m/>
    <m/>
    <m/>
    <s v=""/>
    <s v="E0094843"/>
    <n v="1"/>
    <n v="1"/>
    <n v="0"/>
    <n v="1"/>
    <n v="1"/>
    <n v="0"/>
    <n v="0"/>
    <n v="0"/>
    <n v="0"/>
    <n v="0"/>
    <n v="0"/>
    <x v="2"/>
    <s v=""/>
    <s v=""/>
    <s v=""/>
    <s v=""/>
    <s v=""/>
    <s v=""/>
    <s v=""/>
    <s v=""/>
    <s v=""/>
    <s v=""/>
    <s v=""/>
    <s v=""/>
  </r>
  <r>
    <x v="0"/>
    <m/>
    <m/>
    <m/>
    <m/>
    <s v="MARKS BETH"/>
    <m/>
    <m/>
    <m/>
    <m/>
    <s v="MARKS BETH A RPA"/>
    <s v="STE 4"/>
    <s v="SARANAC LAKE"/>
    <s v="NY"/>
    <s v="12983-5405"/>
    <s v="PHYSICIAN"/>
    <s v="M"/>
    <s v="No"/>
    <s v="MMIS"/>
    <s v="EastRPU"/>
    <s v="P"/>
    <m/>
    <m/>
    <m/>
    <s v=""/>
    <s v="E0036626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OSHAE MARNE"/>
    <m/>
    <m/>
    <m/>
    <m/>
    <s v="O'SHAE MARNE MD"/>
    <s v="10 ARROWOOD DR"/>
    <s v="ITHACA"/>
    <s v="NY"/>
    <s v="14850-1857"/>
    <s v="PHYSICIAN"/>
    <s v="M"/>
    <s v="No"/>
    <s v="MMIS"/>
    <s v="NorthRPU"/>
    <s v="P"/>
    <m/>
    <m/>
    <m/>
    <s v=""/>
    <s v="E0050677"/>
    <n v="1"/>
    <n v="1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MARSHALL CORINA"/>
    <m/>
    <m/>
    <m/>
    <m/>
    <s v="MARSHALL CORINA PERI"/>
    <m/>
    <m/>
    <m/>
    <m/>
    <s v="PHYSICIAN"/>
    <s v="M"/>
    <s v="No"/>
    <s v="MMIS"/>
    <s v="NorthRPU"/>
    <s v="P"/>
    <m/>
    <m/>
    <m/>
    <s v="Marshall Corina"/>
    <s v="E0446332"/>
    <s v="No"/>
    <s v="No"/>
    <s v="No"/>
    <s v="No"/>
    <s v="No"/>
    <s v="No"/>
    <s v="No"/>
    <s v="No"/>
    <n v="0"/>
    <s v="No"/>
    <s v="No"/>
    <x v="1"/>
    <n v="1"/>
    <s v=""/>
    <s v=""/>
    <s v=""/>
    <s v=""/>
    <s v=""/>
    <s v=""/>
    <s v=""/>
    <s v=""/>
    <s v=""/>
    <n v="1"/>
    <s v=""/>
  </r>
  <r>
    <x v="0"/>
    <m/>
    <m/>
    <m/>
    <m/>
    <s v="STALLONE MARTIN DR."/>
    <m/>
    <m/>
    <m/>
    <m/>
    <s v="STALLONE MARTIN"/>
    <s v="101 DATES DR"/>
    <s v="ITHACA"/>
    <s v="NY"/>
    <s v="14850-1342"/>
    <s v="PHYSICIAN"/>
    <s v="M"/>
    <s v="No"/>
    <s v="MMIS"/>
    <s v="NorthRPU"/>
    <s v="P"/>
    <m/>
    <m/>
    <m/>
    <s v=""/>
    <s v="E0293726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MARTIN TAMARA"/>
    <m/>
    <m/>
    <m/>
    <m/>
    <s v="MARTIN TAMARA L RPA"/>
    <s v="STE 115"/>
    <s v="BINGHAMTON"/>
    <s v="NY"/>
    <s v="13903-1642"/>
    <s v="PHYSICIAN"/>
    <s v="M"/>
    <s v="No"/>
    <s v="MMIS"/>
    <s v="SouthRPU"/>
    <s v="P"/>
    <m/>
    <m/>
    <m/>
    <s v=""/>
    <s v="E0047341"/>
    <n v="1"/>
    <n v="1"/>
    <n v="0"/>
    <n v="1"/>
    <n v="1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WEITZEL MARTIN"/>
    <m/>
    <m/>
    <m/>
    <m/>
    <s v="WEITZEL MARTIN KRESS DO"/>
    <s v="91 COLUMBUS ST"/>
    <s v="AUBURN"/>
    <s v="NY"/>
    <s v="13021-3121"/>
    <s v="PHYSICIAN"/>
    <s v="M"/>
    <s v="No"/>
    <s v="MMIS"/>
    <s v="NorthRPU"/>
    <s v="P"/>
    <m/>
    <m/>
    <m/>
    <s v=""/>
    <s v="E0197495"/>
    <n v="0"/>
    <n v="0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s v=""/>
    <s v=""/>
  </r>
  <r>
    <x v="0"/>
    <m/>
    <m/>
    <m/>
    <m/>
    <s v="MARTINES RICHARD DR."/>
    <m/>
    <m/>
    <m/>
    <m/>
    <s v="MARTINES RICHARD MD"/>
    <s v="GUTHRIE CLINIC LTD"/>
    <s v="SAYRE"/>
    <s v="PA"/>
    <s v="18840"/>
    <s v="PHYSICIAN"/>
    <s v="M"/>
    <s v="No"/>
    <s v="MMIS"/>
    <s v="SouthRPU"/>
    <s v="P"/>
    <m/>
    <m/>
    <m/>
    <s v=""/>
    <s v="E0191059"/>
    <n v="1"/>
    <n v="1"/>
    <n v="0"/>
    <n v="0"/>
    <n v="0"/>
    <n v="0"/>
    <n v="0"/>
    <n v="0"/>
    <n v="0"/>
    <n v="1"/>
    <n v="0"/>
    <x v="1"/>
    <n v="1"/>
    <s v=""/>
    <s v=""/>
    <s v=""/>
    <s v=""/>
    <s v=""/>
    <s v=""/>
    <s v=""/>
    <s v=""/>
    <s v=""/>
    <n v="1"/>
    <s v=""/>
  </r>
  <r>
    <x v="0"/>
    <m/>
    <m/>
    <m/>
    <m/>
    <m/>
    <m/>
    <m/>
    <m/>
    <m/>
    <s v="MARTINEZ DAVID GREGG MD"/>
    <s v="2231 BURDETT AVE"/>
    <s v="TROY"/>
    <s v="NY"/>
    <s v="12180-2447"/>
    <s v="PHYSICIAN"/>
    <s v="M"/>
    <s v="No"/>
    <s v="MMIS"/>
    <s v="SouthRPU"/>
    <s v="P"/>
    <m/>
    <m/>
    <m/>
    <s v=""/>
    <s v="E0134559"/>
    <n v="1"/>
    <n v="1"/>
    <n v="0"/>
    <n v="1"/>
    <n v="1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MARTYNIK MICHAEL"/>
    <m/>
    <m/>
    <m/>
    <m/>
    <s v="MARTYNIK MICHAEL J MD"/>
    <s v="30 HARRISON ST STE 460"/>
    <s v="JOHNSON CITY"/>
    <s v="NY"/>
    <s v="13790-2176"/>
    <s v="PHYSICIAN"/>
    <s v="M"/>
    <s v="No"/>
    <s v="MMIS"/>
    <s v="SouthRPU"/>
    <s v="P"/>
    <m/>
    <m/>
    <m/>
    <s v=""/>
    <s v="E0108477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HOWSON MARY"/>
    <m/>
    <m/>
    <m/>
    <m/>
    <s v="HOWSON MARY FRANCES MD"/>
    <s v="1780 HANSHAW RD"/>
    <s v="ITHACA"/>
    <s v="NY"/>
    <s v="14850-9105"/>
    <s v="PHYSICIAN"/>
    <s v="M"/>
    <s v="No"/>
    <s v="MMIS"/>
    <s v="NorthRPU"/>
    <s v="P"/>
    <m/>
    <m/>
    <m/>
    <s v=""/>
    <s v="E0133733"/>
    <n v="1"/>
    <n v="1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SMOOLCA MARY"/>
    <m/>
    <m/>
    <m/>
    <m/>
    <s v="SMOOLCA MARY ELLEN"/>
    <s v="406 2ND ST"/>
    <s v="ITHACA"/>
    <s v="NY"/>
    <s v="14850-3512"/>
    <s v="PODIATRIST"/>
    <s v="M"/>
    <s v="No"/>
    <s v="MMIS"/>
    <s v="NorthRPU"/>
    <s v="P"/>
    <m/>
    <m/>
    <m/>
    <s v=""/>
    <s v="E0152931"/>
    <n v="1"/>
    <n v="1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SYED MARYAM"/>
    <m/>
    <m/>
    <m/>
    <m/>
    <s v="SYED MARYAM"/>
    <m/>
    <m/>
    <m/>
    <m/>
    <s v="PHYSICIAN"/>
    <s v="M"/>
    <s v="No"/>
    <s v="MMIS"/>
    <s v="SouthRPU"/>
    <s v="P"/>
    <m/>
    <m/>
    <m/>
    <s v="Maryam Syed, DO"/>
    <s v="E0444748"/>
    <s v="No"/>
    <s v="No"/>
    <s v="No"/>
    <s v="No"/>
    <s v="No"/>
    <s v="No"/>
    <s v="No"/>
    <s v="No"/>
    <n v="1"/>
    <s v="No"/>
    <s v="No"/>
    <x v="1"/>
    <n v="1"/>
    <s v=""/>
    <s v=""/>
    <s v=""/>
    <s v=""/>
    <s v=""/>
    <s v=""/>
    <s v=""/>
    <s v=""/>
    <s v=""/>
    <s v=""/>
    <s v=""/>
  </r>
  <r>
    <x v="0"/>
    <m/>
    <m/>
    <m/>
    <m/>
    <s v="MASARECH MARTIN"/>
    <m/>
    <m/>
    <m/>
    <m/>
    <s v="MASARECH MARTIN CHARLES    MD"/>
    <s v="CHENANGO BRIDGE MED"/>
    <s v="BINGHAMTON"/>
    <s v="NY"/>
    <s v="13901-1293"/>
    <s v="PHYSICIAN"/>
    <s v="M"/>
    <s v="No"/>
    <s v="MMIS"/>
    <s v="SouthRPU"/>
    <s v="P"/>
    <m/>
    <m/>
    <m/>
    <s v=""/>
    <s v="E0205270"/>
    <n v="1"/>
    <n v="1"/>
    <n v="0"/>
    <n v="1"/>
    <n v="1"/>
    <n v="0"/>
    <n v="0"/>
    <n v="0"/>
    <n v="1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SOPCHAK MASON DR."/>
    <m/>
    <m/>
    <m/>
    <m/>
    <s v="SOPCHAK MASON MICHAEL"/>
    <s v="5 EVERGREEN STREET"/>
    <s v="DRYDEN"/>
    <s v="NY"/>
    <s v="13053-0000"/>
    <s v="PHYSICIAN"/>
    <s v="M"/>
    <s v="No"/>
    <s v="MMIS"/>
    <s v="NorthRPU"/>
    <s v="P"/>
    <m/>
    <m/>
    <m/>
    <s v=""/>
    <s v="E0359285"/>
    <n v="1"/>
    <n v="1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MATA ARMANDO"/>
    <m/>
    <m/>
    <m/>
    <m/>
    <s v="MATA ARMANDO B MD"/>
    <s v="161 RIVERSIDE DR STE 106"/>
    <s v="BINGHAMTON"/>
    <s v="NY"/>
    <s v="13905-4177"/>
    <s v="PHYSICIAN"/>
    <s v="M"/>
    <s v="No"/>
    <s v="MMIS"/>
    <s v="SouthRPU"/>
    <s v="P"/>
    <m/>
    <m/>
    <m/>
    <s v="MATA ARMANDO"/>
    <s v="E0226187"/>
    <s v="No"/>
    <s v="No"/>
    <s v="No"/>
    <s v="No"/>
    <s v="No"/>
    <s v="No"/>
    <s v="No"/>
    <s v="No"/>
    <n v="0"/>
    <s v="No"/>
    <s v="No"/>
    <x v="1"/>
    <n v="1"/>
    <s v=""/>
    <s v=""/>
    <s v=""/>
    <s v=""/>
    <s v=""/>
    <s v=""/>
    <s v=""/>
    <s v=""/>
    <s v=""/>
    <s v=""/>
    <s v=""/>
  </r>
  <r>
    <x v="0"/>
    <m/>
    <m/>
    <m/>
    <m/>
    <s v="MATEYA LOUIS"/>
    <m/>
    <m/>
    <m/>
    <m/>
    <s v="MATEYA LOUIS P JR MD"/>
    <m/>
    <s v="JOHNSON CITY"/>
    <s v="NY"/>
    <s v="13790-2597"/>
    <s v="PHYSICIAN"/>
    <s v="M"/>
    <s v="No"/>
    <s v="MMIS"/>
    <s v="SouthRPU"/>
    <s v="P"/>
    <m/>
    <m/>
    <m/>
    <s v=""/>
    <s v="E0177157"/>
    <n v="1"/>
    <n v="1"/>
    <n v="0"/>
    <n v="1"/>
    <n v="1"/>
    <n v="0"/>
    <n v="0"/>
    <n v="0"/>
    <n v="1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MATHEW PHILIP DR."/>
    <m/>
    <m/>
    <m/>
    <m/>
    <s v="MATHEW PHILIP PLAVILAYIL"/>
    <s v="161 RIVERSIDE DR STE 306"/>
    <s v="BINGHAMTON"/>
    <s v="NY"/>
    <s v="13905-4197"/>
    <s v="PHYSICIAN"/>
    <s v="M"/>
    <s v="No"/>
    <s v="MMIS"/>
    <s v="SouthRPU"/>
    <s v="P"/>
    <m/>
    <m/>
    <m/>
    <s v="MATHEW PHILIP DR."/>
    <s v="E0376975"/>
    <s v="No"/>
    <s v="No"/>
    <s v="No"/>
    <s v="No"/>
    <s v="No"/>
    <s v="No"/>
    <s v="No"/>
    <s v="No"/>
    <n v="1"/>
    <s v="No"/>
    <s v="No"/>
    <x v="2"/>
    <s v=""/>
    <s v=""/>
    <s v=""/>
    <s v=""/>
    <s v=""/>
    <s v=""/>
    <s v=""/>
    <s v=""/>
    <s v=""/>
    <s v=""/>
    <n v="1"/>
    <s v=""/>
  </r>
  <r>
    <x v="0"/>
    <m/>
    <m/>
    <m/>
    <m/>
    <s v="MATTA ISAAC"/>
    <m/>
    <m/>
    <m/>
    <m/>
    <s v="MATTA ISAAC I              MD"/>
    <s v="30 HARRISON ST STE 400"/>
    <s v="JOHNSON CITY"/>
    <s v="NY"/>
    <s v="13790-2162"/>
    <s v="PHYSICIAN"/>
    <s v="M"/>
    <s v="No"/>
    <s v="MMIS"/>
    <s v="SouthRPU"/>
    <s v="P"/>
    <m/>
    <m/>
    <m/>
    <s v=""/>
    <s v="E0262708"/>
    <n v="1"/>
    <n v="1"/>
    <n v="0"/>
    <n v="1"/>
    <n v="1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MATTA YESU DR."/>
    <m/>
    <m/>
    <m/>
    <m/>
    <s v="MATTA YESU KUMAR"/>
    <s v="179 NORTH BROAD STREET"/>
    <s v="NORWICH"/>
    <s v="NY"/>
    <s v="13815-1019"/>
    <s v="PHYSICIAN"/>
    <s v="M"/>
    <s v="No"/>
    <s v="MMIS"/>
    <s v="EastRPU"/>
    <s v="P"/>
    <m/>
    <m/>
    <m/>
    <s v="Matta Yesu"/>
    <s v="E0407406"/>
    <s v="No"/>
    <s v="No"/>
    <s v="No"/>
    <s v="No"/>
    <s v="No"/>
    <s v="No"/>
    <s v="No"/>
    <s v="No"/>
    <n v="0"/>
    <s v="No"/>
    <s v="No"/>
    <x v="2"/>
    <n v="1"/>
    <s v=""/>
    <s v=""/>
    <s v=""/>
    <s v=""/>
    <s v=""/>
    <s v=""/>
    <s v=""/>
    <s v=""/>
    <s v=""/>
    <n v="1"/>
    <s v=""/>
  </r>
  <r>
    <x v="0"/>
    <m/>
    <m/>
    <m/>
    <m/>
    <s v="BURT MATTISON DR."/>
    <m/>
    <m/>
    <m/>
    <m/>
    <s v="BURT MATTISON A MD"/>
    <s v="ANES GRP-STE 5D"/>
    <s v="LIVERPOOL"/>
    <s v="NY"/>
    <s v="13088-3807"/>
    <s v="PHYSICIAN"/>
    <s v="M"/>
    <s v="No"/>
    <s v="MMIS"/>
    <s v="NorthRPU"/>
    <s v="P"/>
    <m/>
    <m/>
    <m/>
    <s v=""/>
    <s v="E0122486"/>
    <n v="1"/>
    <n v="1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MAUER MARK DR."/>
    <m/>
    <m/>
    <m/>
    <m/>
    <s v="MAUER MARK WILLIAM"/>
    <s v="CHEMUNG MEDICAL SVCS"/>
    <s v="ELMIRA"/>
    <s v="NY"/>
    <s v="14905-1627"/>
    <s v="PHYSICIAN"/>
    <s v="M"/>
    <s v="No"/>
    <s v="MMIS"/>
    <s v="WestRPU"/>
    <s v="P"/>
    <m/>
    <m/>
    <m/>
    <s v=""/>
    <s v="E0179830"/>
    <n v="1"/>
    <n v="1"/>
    <n v="0"/>
    <n v="0"/>
    <n v="0"/>
    <n v="0"/>
    <n v="0"/>
    <n v="1"/>
    <n v="1"/>
    <n v="1"/>
    <n v="0"/>
    <x v="2"/>
    <s v=""/>
    <s v=""/>
    <s v=""/>
    <s v=""/>
    <s v=""/>
    <s v=""/>
    <s v=""/>
    <s v=""/>
    <s v=""/>
    <s v=""/>
    <n v="1"/>
    <s v=""/>
  </r>
  <r>
    <x v="0"/>
    <m/>
    <m/>
    <m/>
    <m/>
    <s v="MCCAULEY MAURA"/>
    <m/>
    <m/>
    <m/>
    <m/>
    <s v="MCCAULEY MAURA C MD"/>
    <s v="1160 CORPORATE DR"/>
    <s v="FARMINGTON"/>
    <s v="NY"/>
    <s v="14425-9534"/>
    <s v="PHYSICIAN"/>
    <s v="M"/>
    <s v="No"/>
    <s v="MMIS"/>
    <s v="NorthRPU"/>
    <s v="P"/>
    <m/>
    <m/>
    <m/>
    <s v=""/>
    <s v="E0110432"/>
    <n v="1"/>
    <n v="1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DAWS MAUREEN MRS."/>
    <m/>
    <m/>
    <m/>
    <m/>
    <s v="DAWS MAUREEN"/>
    <s v="33-57 HARRISON ST"/>
    <s v="JOHNSON CITY"/>
    <s v="NY"/>
    <s v="13790-2107"/>
    <s v="PHYSICIAN"/>
    <s v="M"/>
    <s v="No"/>
    <s v="MMIS"/>
    <s v="SouthRPU"/>
    <s v="P"/>
    <m/>
    <m/>
    <m/>
    <s v=""/>
    <s v="E0365748"/>
    <n v="1"/>
    <n v="1"/>
    <n v="0"/>
    <n v="1"/>
    <n v="1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NAMAN MAYSOON"/>
    <m/>
    <m/>
    <m/>
    <m/>
    <s v="NAMAN MAYSOON A MD"/>
    <s v="BINGHAMTON GEN HSP"/>
    <s v="BINGHAMTON"/>
    <s v="NY"/>
    <s v="13903"/>
    <s v="PHYSICIAN"/>
    <s v="M"/>
    <s v="No"/>
    <s v="MMIS"/>
    <s v="SouthRPU"/>
    <s v="P"/>
    <m/>
    <m/>
    <m/>
    <s v=""/>
    <s v="E0158869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1"/>
    <m/>
    <m/>
    <m/>
    <m/>
    <s v="MCCAFFREY JENNIFER MRS."/>
    <m/>
    <m/>
    <m/>
    <m/>
    <s v="MCCAFFREY JENNIFER B"/>
    <s v="4038 WEST RD"/>
    <s v="CORTLAND"/>
    <s v="NY"/>
    <s v="13045-1842"/>
    <s v="PHYSICIAN"/>
    <s v="M"/>
    <s v="No"/>
    <s v="MMIS"/>
    <s v="NorthRPU"/>
    <s v="P"/>
    <m/>
    <m/>
    <m/>
    <s v=""/>
    <s v="E0359170"/>
    <n v="0"/>
    <n v="0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s v=""/>
    <s v=""/>
  </r>
  <r>
    <x v="0"/>
    <m/>
    <m/>
    <m/>
    <m/>
    <s v="MCCANN JOSEPH DR."/>
    <m/>
    <m/>
    <m/>
    <m/>
    <s v="MCCANN JOSEPH THOMAS"/>
    <s v="10-42 MITCHELL AVE"/>
    <s v="BINGHAMTON"/>
    <s v="NY"/>
    <s v="13903-1617"/>
    <s v="CLINICAL PSYCHOLOGIST"/>
    <s v="M"/>
    <s v="No"/>
    <s v="MMIS"/>
    <s v="SouthRPU"/>
    <s v="P"/>
    <m/>
    <m/>
    <m/>
    <s v=""/>
    <s v="E0183659"/>
    <n v="0"/>
    <n v="0"/>
    <n v="0"/>
    <n v="0"/>
    <n v="0"/>
    <n v="0"/>
    <n v="0"/>
    <n v="0"/>
    <n v="0"/>
    <n v="0"/>
    <n v="0"/>
    <x v="1"/>
    <n v="1"/>
    <s v=""/>
    <s v=""/>
    <s v=""/>
    <n v="1"/>
    <s v=""/>
    <s v=""/>
    <s v=""/>
    <s v=""/>
    <s v=""/>
    <s v=""/>
    <s v=""/>
  </r>
  <r>
    <x v="0"/>
    <m/>
    <m/>
    <m/>
    <m/>
    <s v="MCCARTHY BETH"/>
    <m/>
    <m/>
    <m/>
    <m/>
    <s v="MCCARTHY BETH ANNE"/>
    <s v="289 CHENANGO ST"/>
    <s v="BINGHAMTON"/>
    <s v="NY"/>
    <s v="13901-2312"/>
    <s v="DENTIST"/>
    <s v="M"/>
    <s v="No"/>
    <s v="MMIS"/>
    <s v="SouthRPU"/>
    <s v="P"/>
    <m/>
    <m/>
    <m/>
    <s v=""/>
    <s v="E0035243"/>
    <n v="1"/>
    <n v="1"/>
    <n v="0"/>
    <n v="1"/>
    <n v="1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MCCLELLAND ROBERT DR."/>
    <m/>
    <m/>
    <m/>
    <m/>
    <s v="MCCLELLAND ROBERT THOMAS"/>
    <s v="GUTHRIE CLINIC"/>
    <s v="SAYRE"/>
    <s v="PA"/>
    <s v="18840"/>
    <s v="PHYSICIAN"/>
    <s v="M"/>
    <s v="No"/>
    <s v="MMIS"/>
    <s v="SouthRPU"/>
    <s v="P"/>
    <m/>
    <m/>
    <m/>
    <s v=""/>
    <s v="E0042364"/>
    <n v="1"/>
    <n v="1"/>
    <n v="0"/>
    <n v="0"/>
    <n v="0"/>
    <n v="0"/>
    <n v="0"/>
    <n v="1"/>
    <n v="1"/>
    <n v="1"/>
    <n v="0"/>
    <x v="2"/>
    <s v=""/>
    <s v=""/>
    <s v=""/>
    <s v=""/>
    <s v=""/>
    <s v=""/>
    <s v=""/>
    <s v=""/>
    <s v=""/>
    <s v=""/>
    <n v="1"/>
    <s v=""/>
  </r>
  <r>
    <x v="0"/>
    <m/>
    <m/>
    <m/>
    <m/>
    <s v="MCCLINTIC WILLIAM DR."/>
    <m/>
    <m/>
    <m/>
    <m/>
    <s v="MCCLINTIC WILLIAM RIDGE"/>
    <s v="100 JOHN ST"/>
    <s v="TROY"/>
    <s v="PA"/>
    <s v="16947-1134"/>
    <s v="PHYSICIAN"/>
    <s v="M"/>
    <s v="No"/>
    <s v="MMIS"/>
    <s v="SouthRPU"/>
    <s v="P"/>
    <m/>
    <m/>
    <m/>
    <s v=""/>
    <s v="E0262709"/>
    <n v="1"/>
    <n v="1"/>
    <n v="0"/>
    <n v="0"/>
    <n v="0"/>
    <n v="0"/>
    <n v="0"/>
    <n v="1"/>
    <n v="1"/>
    <n v="1"/>
    <n v="0"/>
    <x v="2"/>
    <s v=""/>
    <s v=""/>
    <s v=""/>
    <s v=""/>
    <s v=""/>
    <s v=""/>
    <s v=""/>
    <s v=""/>
    <s v=""/>
    <s v=""/>
    <n v="1"/>
    <s v=""/>
  </r>
  <r>
    <x v="0"/>
    <m/>
    <m/>
    <m/>
    <m/>
    <s v="MCDONALD LESTER DR."/>
    <m/>
    <m/>
    <m/>
    <m/>
    <s v="MCDONALD LESTER J"/>
    <s v="CAPITALAREACOMMUNITY"/>
    <s v="LATHAM"/>
    <s v="NY"/>
    <s v="12110"/>
    <s v="PHYSICIAN"/>
    <s v="M"/>
    <s v="No"/>
    <s v="MMIS"/>
    <s v="WestRPU"/>
    <s v="P"/>
    <m/>
    <m/>
    <m/>
    <s v=""/>
    <s v="E0182789"/>
    <n v="1"/>
    <n v="1"/>
    <n v="0"/>
    <n v="0"/>
    <n v="0"/>
    <n v="0"/>
    <n v="0"/>
    <n v="0"/>
    <n v="0"/>
    <n v="1"/>
    <n v="0"/>
    <x v="1"/>
    <n v="1"/>
    <s v=""/>
    <s v=""/>
    <s v=""/>
    <s v=""/>
    <s v=""/>
    <s v=""/>
    <s v=""/>
    <s v=""/>
    <s v=""/>
    <n v="1"/>
    <s v=""/>
  </r>
  <r>
    <x v="0"/>
    <m/>
    <m/>
    <m/>
    <m/>
    <s v="MCDONALD THOMAS DR."/>
    <m/>
    <m/>
    <m/>
    <m/>
    <s v="MCDONALD THOMAS JOHN JR"/>
    <s v="GUTHRIE SQUARE"/>
    <s v="SAYRE"/>
    <s v="PA"/>
    <s v="18840"/>
    <s v="PHYSICIAN"/>
    <s v="M"/>
    <s v="No"/>
    <s v="MMIS"/>
    <s v="SouthRPU"/>
    <s v="P"/>
    <m/>
    <m/>
    <m/>
    <s v=""/>
    <s v="E0186708"/>
    <n v="1"/>
    <n v="1"/>
    <n v="0"/>
    <n v="0"/>
    <n v="0"/>
    <n v="0"/>
    <n v="0"/>
    <n v="0"/>
    <n v="0"/>
    <n v="1"/>
    <n v="0"/>
    <x v="1"/>
    <n v="1"/>
    <s v=""/>
    <s v=""/>
    <s v=""/>
    <s v=""/>
    <s v=""/>
    <s v=""/>
    <s v=""/>
    <s v=""/>
    <s v=""/>
    <n v="1"/>
    <s v=""/>
  </r>
  <r>
    <x v="0"/>
    <m/>
    <m/>
    <m/>
    <m/>
    <s v="MCDOWELL MEREDITH DR."/>
    <m/>
    <m/>
    <m/>
    <m/>
    <s v="MCDOWELL MEREDITH BORHAM"/>
    <s v="179 N BROAD ST"/>
    <s v="NORWICH"/>
    <s v="NY"/>
    <s v="13815-1019"/>
    <s v="PHYSICIAN"/>
    <s v="M"/>
    <s v="No"/>
    <s v="MMIS"/>
    <s v="EastRPU"/>
    <s v="P"/>
    <m/>
    <m/>
    <m/>
    <s v=""/>
    <s v="E0001491"/>
    <n v="0"/>
    <n v="0"/>
    <n v="0"/>
    <n v="0"/>
    <n v="0"/>
    <n v="0"/>
    <n v="0"/>
    <n v="0"/>
    <n v="0"/>
    <n v="0"/>
    <n v="0"/>
    <x v="1"/>
    <s v=""/>
    <s v=""/>
    <s v=""/>
    <s v=""/>
    <s v=""/>
    <s v=""/>
    <s v=""/>
    <s v=""/>
    <s v=""/>
    <s v=""/>
    <n v="1"/>
    <s v=""/>
  </r>
  <r>
    <x v="0"/>
    <m/>
    <m/>
    <m/>
    <m/>
    <s v="MCFARLANE MICHELLE DR."/>
    <m/>
    <m/>
    <m/>
    <m/>
    <s v="MCFARLANE MICHELLE ALDONSA"/>
    <s v="1 GUTHRIE SQ"/>
    <s v="SAYRE"/>
    <s v="PA"/>
    <s v="18840-1625"/>
    <s v="PHYSICIAN"/>
    <s v="M"/>
    <s v="No"/>
    <s v="MMIS"/>
    <s v="SouthRPU"/>
    <s v="P"/>
    <m/>
    <m/>
    <m/>
    <s v=""/>
    <s v="E0323675"/>
    <n v="1"/>
    <n v="1"/>
    <n v="0"/>
    <n v="0"/>
    <n v="0"/>
    <n v="0"/>
    <n v="0"/>
    <n v="0"/>
    <n v="0"/>
    <n v="1"/>
    <n v="0"/>
    <x v="1"/>
    <n v="1"/>
    <s v=""/>
    <s v=""/>
    <s v=""/>
    <s v=""/>
    <s v=""/>
    <s v=""/>
    <s v=""/>
    <s v=""/>
    <s v=""/>
    <s v=""/>
    <s v=""/>
  </r>
  <r>
    <x v="0"/>
    <m/>
    <m/>
    <m/>
    <m/>
    <s v="MCGINN RAYMOND"/>
    <m/>
    <m/>
    <m/>
    <m/>
    <s v="MCGINN RAYMOND JOSEPH"/>
    <s v="HAMILTIN CRIT CARE"/>
    <s v="HAMILTON"/>
    <s v="NY"/>
    <s v="13346-9575"/>
    <s v="PHYSICIAN"/>
    <s v="M"/>
    <s v="No"/>
    <s v="MMIS"/>
    <s v="EastRPU"/>
    <s v="P"/>
    <m/>
    <m/>
    <m/>
    <s v=""/>
    <s v="E0114331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MCHENRY KIMBERLY"/>
    <m/>
    <m/>
    <m/>
    <m/>
    <s v="MCHENRY KIMBERLY DAWN-MARIE"/>
    <s v="42 W MAIN ST"/>
    <s v="OWEGO"/>
    <s v="NY"/>
    <s v="13827-1578"/>
    <s v="PHYSICIAN"/>
    <s v="M"/>
    <s v="No"/>
    <s v="MMIS"/>
    <s v="SouthRPU"/>
    <s v="P"/>
    <m/>
    <m/>
    <m/>
    <s v="McHenry Kimberly"/>
    <s v="E0352399"/>
    <s v="No"/>
    <s v="No"/>
    <s v="No"/>
    <s v="No"/>
    <s v="No"/>
    <s v="No"/>
    <s v="No"/>
    <s v="No"/>
    <n v="1"/>
    <s v="No"/>
    <s v="No"/>
    <x v="2"/>
    <s v=""/>
    <s v=""/>
    <s v=""/>
    <s v=""/>
    <s v=""/>
    <s v=""/>
    <s v=""/>
    <s v=""/>
    <s v=""/>
    <s v=""/>
    <n v="1"/>
    <s v=""/>
  </r>
  <r>
    <x v="0"/>
    <m/>
    <m/>
    <m/>
    <m/>
    <s v="MCKELVEY SUSAN"/>
    <m/>
    <m/>
    <m/>
    <m/>
    <s v="MCKELVEY SUSAN MCKERNAN"/>
    <s v="4435 SENECA RD"/>
    <s v="TRUMANSBURG"/>
    <s v="NY"/>
    <s v="14886-9201"/>
    <s v="PHYSICIAN"/>
    <s v="M"/>
    <s v="No"/>
    <s v="MMIS"/>
    <s v="NorthRPU"/>
    <s v="P"/>
    <m/>
    <m/>
    <m/>
    <s v="McKelvey Susan"/>
    <s v="E0322396"/>
    <s v="No"/>
    <s v="No"/>
    <s v="No"/>
    <s v="No"/>
    <s v="No"/>
    <s v="No"/>
    <s v="No"/>
    <s v="No"/>
    <n v="0"/>
    <s v="No"/>
    <s v="No"/>
    <x v="2"/>
    <s v=""/>
    <s v=""/>
    <s v=""/>
    <s v=""/>
    <s v=""/>
    <s v=""/>
    <s v=""/>
    <s v=""/>
    <s v=""/>
    <s v=""/>
    <n v="1"/>
    <s v=""/>
  </r>
  <r>
    <x v="0"/>
    <m/>
    <m/>
    <m/>
    <m/>
    <s v="MCKINNEY CEDRIC DR."/>
    <m/>
    <m/>
    <m/>
    <m/>
    <s v="MCKINNEY CEDRIC KENYATTA"/>
    <s v="3101 SHIPPERS RD"/>
    <s v="VESTAL"/>
    <s v="NY"/>
    <s v="13850-2003"/>
    <s v="PHYSICIAN"/>
    <s v="M"/>
    <s v="No"/>
    <s v="MMIS"/>
    <s v="SouthRPU"/>
    <s v="P"/>
    <m/>
    <m/>
    <m/>
    <s v="MCKINNEY CEDRIC DR."/>
    <s v="E0395427"/>
    <s v="No"/>
    <s v="No"/>
    <s v="No"/>
    <s v="No"/>
    <s v="No"/>
    <s v="No"/>
    <s v="No"/>
    <s v="No"/>
    <n v="0"/>
    <s v="No"/>
    <s v="No"/>
    <x v="2"/>
    <n v="1"/>
    <s v=""/>
    <s v=""/>
    <s v=""/>
    <s v=""/>
    <s v=""/>
    <s v=""/>
    <s v=""/>
    <s v=""/>
    <s v=""/>
    <n v="1"/>
    <s v=""/>
  </r>
  <r>
    <x v="0"/>
    <m/>
    <m/>
    <m/>
    <m/>
    <s v="MCMAHON MATTHEW MR."/>
    <m/>
    <m/>
    <m/>
    <m/>
    <s v="MCMAHON MATTHEW JOHN"/>
    <s v="200 FRONT ST STE D"/>
    <s v="VESTAL"/>
    <s v="NY"/>
    <s v="13850-1559"/>
    <s v="THERAPIST"/>
    <s v="M"/>
    <s v="No"/>
    <s v="MMIS"/>
    <s v="SouthRPU"/>
    <s v="P"/>
    <m/>
    <m/>
    <m/>
    <s v=""/>
    <s v="E0307364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MCNERNEY CATHERINE"/>
    <m/>
    <m/>
    <m/>
    <m/>
    <s v="MCNERNEY CATHERINE"/>
    <s v="6700 KIRKVILLE RD STE C-202"/>
    <s v="EAST SYRACUSE"/>
    <s v="NY"/>
    <s v="13057-9313"/>
    <s v="PODIATRIST"/>
    <s v="M"/>
    <s v="No"/>
    <s v="MMIS"/>
    <s v="NorthRPU"/>
    <s v="P"/>
    <m/>
    <m/>
    <m/>
    <s v=""/>
    <s v="E0315870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MCNERNEY JAMES"/>
    <m/>
    <m/>
    <m/>
    <m/>
    <s v="MC NERNEY JAMES EDWARD DPM"/>
    <s v="65 PENNSYLVANIA AVE STE 200"/>
    <s v="BINGHAMTON"/>
    <s v="NY"/>
    <s v="13903-1651"/>
    <s v="PODIATRIST"/>
    <s v="M"/>
    <s v="No"/>
    <s v="MMIS"/>
    <s v="SouthRPU"/>
    <s v="P"/>
    <m/>
    <m/>
    <m/>
    <s v=""/>
    <s v="E0257706"/>
    <n v="1"/>
    <n v="1"/>
    <n v="0"/>
    <n v="1"/>
    <n v="1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MCPHEE MAUREEN"/>
    <m/>
    <m/>
    <m/>
    <m/>
    <s v="MCPHEE MAUREEN ELIZABETH"/>
    <s v="33-56 HARRISON STREET"/>
    <s v="JOHNSON CITY"/>
    <s v="NY"/>
    <s v="13790-0000"/>
    <s v="PHYSICIAN"/>
    <s v="M"/>
    <s v="No"/>
    <s v="MMIS"/>
    <s v="SouthRPU"/>
    <s v="P"/>
    <m/>
    <m/>
    <m/>
    <s v=""/>
    <s v="E0067316"/>
    <n v="1"/>
    <n v="1"/>
    <n v="0"/>
    <n v="1"/>
    <n v="1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MEDLAR CHARIESE"/>
    <m/>
    <m/>
    <m/>
    <m/>
    <s v="MEDLAR CHARIESE ANN"/>
    <s v="1302 E MAIN ST"/>
    <s v="ENDICOTT"/>
    <s v="NY"/>
    <s v="13760-5430"/>
    <s v="THERAPIST"/>
    <s v="M"/>
    <s v="No"/>
    <s v="MMIS"/>
    <s v="SouthRPU"/>
    <s v="P"/>
    <m/>
    <m/>
    <m/>
    <s v=""/>
    <s v="E0016154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LAING MEGHAN"/>
    <m/>
    <m/>
    <m/>
    <m/>
    <s v="LAING MEGHAN MARIE"/>
    <s v="865 US ROUTE 11"/>
    <s v="KIRKWOOD"/>
    <s v="NY"/>
    <s v="13795-1001"/>
    <s v="PHYSICIAN"/>
    <s v="M"/>
    <s v="No"/>
    <s v="MMIS"/>
    <s v="SouthRPU"/>
    <s v="P"/>
    <m/>
    <m/>
    <m/>
    <s v=""/>
    <s v="E0352125"/>
    <n v="1"/>
    <n v="1"/>
    <n v="0"/>
    <n v="1"/>
    <n v="1"/>
    <n v="0"/>
    <n v="0"/>
    <n v="0"/>
    <n v="1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MEIKLE ROBERT"/>
    <m/>
    <m/>
    <m/>
    <m/>
    <s v="MEIKLE ROBERT W"/>
    <s v="412 S MAIN ST"/>
    <s v="ATHENS"/>
    <s v="PA"/>
    <s v="18810-1618"/>
    <s v="PHYSICIAN"/>
    <s v="M"/>
    <s v="No"/>
    <s v="MMIS"/>
    <s v="SouthRPU"/>
    <s v="P"/>
    <m/>
    <m/>
    <m/>
    <s v=""/>
    <s v="E0335100"/>
    <n v="1"/>
    <n v="1"/>
    <n v="0"/>
    <n v="0"/>
    <n v="0"/>
    <n v="0"/>
    <n v="0"/>
    <n v="1"/>
    <n v="1"/>
    <n v="1"/>
    <n v="0"/>
    <x v="2"/>
    <s v=""/>
    <s v=""/>
    <s v=""/>
    <s v=""/>
    <s v=""/>
    <s v=""/>
    <s v=""/>
    <s v=""/>
    <s v=""/>
    <s v=""/>
    <n v="1"/>
    <s v=""/>
  </r>
  <r>
    <x v="0"/>
    <m/>
    <m/>
    <m/>
    <m/>
    <s v="KOROSEC MELISSA"/>
    <m/>
    <m/>
    <m/>
    <m/>
    <s v="KOROSEC MELISSA L"/>
    <s v="161 RIVERSIDE DR STE 205"/>
    <s v="BINGHAMTON"/>
    <s v="NY"/>
    <s v="13905-4178"/>
    <s v="PHYSICIAN"/>
    <s v="M"/>
    <s v="No"/>
    <s v="MMIS"/>
    <s v="SouthRPU"/>
    <s v="P"/>
    <m/>
    <m/>
    <m/>
    <s v="Melissa Korosec, FNP"/>
    <s v="E0339500"/>
    <s v="No"/>
    <s v="No"/>
    <s v="No"/>
    <s v="No"/>
    <s v="No"/>
    <s v="No"/>
    <s v="No"/>
    <s v="No"/>
    <n v="0"/>
    <s v="No"/>
    <s v="No"/>
    <x v="1"/>
    <n v="1"/>
    <s v=""/>
    <s v=""/>
    <s v=""/>
    <s v=""/>
    <s v=""/>
    <s v=""/>
    <s v=""/>
    <s v=""/>
    <s v=""/>
    <n v="1"/>
    <s v=""/>
  </r>
  <r>
    <x v="0"/>
    <m/>
    <m/>
    <m/>
    <m/>
    <s v="THIBAULT MELISSA DR."/>
    <m/>
    <m/>
    <m/>
    <m/>
    <s v="THIBAULT MELISSA WEI"/>
    <s v="STE 201"/>
    <s v="ITHACA"/>
    <s v="NY"/>
    <s v="14850-1345"/>
    <s v="PHYSICIAN"/>
    <s v="M"/>
    <s v="No"/>
    <s v="MMIS"/>
    <s v="NorthRPU"/>
    <s v="P"/>
    <m/>
    <m/>
    <m/>
    <s v=""/>
    <s v="E0044860"/>
    <n v="1"/>
    <n v="1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SANDS MELONY MRS."/>
    <m/>
    <m/>
    <m/>
    <m/>
    <s v="SANDS MELONY S RPA"/>
    <s v="1780 HANSHAW RD"/>
    <s v="ITHACA"/>
    <s v="NY"/>
    <s v="14850-9105"/>
    <s v="PHYSICIAN"/>
    <s v="M"/>
    <s v="No"/>
    <s v="MMIS"/>
    <s v="NorthRPU"/>
    <s v="P"/>
    <m/>
    <m/>
    <m/>
    <s v=""/>
    <s v="E0077184"/>
    <n v="1"/>
    <n v="1"/>
    <n v="0"/>
    <n v="0"/>
    <n v="1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MENESES ROBERT DR."/>
    <m/>
    <m/>
    <m/>
    <m/>
    <s v="MENESES ROBERT P MD"/>
    <s v="STEUBEN MED ASSOC"/>
    <s v="CORNING"/>
    <s v="NY"/>
    <s v="14830-2911"/>
    <s v="PHYSICIAN"/>
    <s v="M"/>
    <s v="No"/>
    <s v="MMIS"/>
    <s v="WestRPU"/>
    <s v="P"/>
    <m/>
    <m/>
    <m/>
    <s v=""/>
    <s v="E0146709"/>
    <n v="1"/>
    <n v="1"/>
    <n v="0"/>
    <n v="0"/>
    <n v="0"/>
    <n v="0"/>
    <n v="0"/>
    <n v="1"/>
    <n v="1"/>
    <n v="1"/>
    <n v="0"/>
    <x v="2"/>
    <s v=""/>
    <s v=""/>
    <s v=""/>
    <s v=""/>
    <s v=""/>
    <s v=""/>
    <s v=""/>
    <s v=""/>
    <s v=""/>
    <s v=""/>
    <n v="1"/>
    <s v=""/>
  </r>
  <r>
    <x v="0"/>
    <m/>
    <m/>
    <m/>
    <m/>
    <s v="MENTAL HEALTH ASSOCIATION OF THE SOUTHERN TIER, INC."/>
    <m/>
    <m/>
    <m/>
    <m/>
    <s v="MENTAL HEALTH ASSOCIATION OF THE SO"/>
    <s v="153 COURT ST"/>
    <s v="BINGHAMTON"/>
    <s v="NY"/>
    <s v="13901-3502"/>
    <s v="HOME HEALTH AGENCY"/>
    <s v="M"/>
    <s v="No"/>
    <s v="MMIS"/>
    <s v="SouthRPU"/>
    <s v="P"/>
    <m/>
    <m/>
    <m/>
    <s v=""/>
    <s v="E0384453"/>
    <n v="1"/>
    <n v="0"/>
    <n v="0"/>
    <n v="0"/>
    <n v="0"/>
    <n v="0"/>
    <n v="1"/>
    <n v="0"/>
    <n v="0"/>
    <n v="0"/>
    <n v="0"/>
    <x v="1"/>
    <s v=""/>
    <s v=""/>
    <s v=""/>
    <s v=""/>
    <s v=""/>
    <s v=""/>
    <s v=""/>
    <s v=""/>
    <s v=""/>
    <s v=""/>
    <s v=""/>
    <n v="1"/>
  </r>
  <r>
    <x v="0"/>
    <s v="301 South Geneva Street"/>
    <s v="Ithaca"/>
    <s v="NY"/>
    <s v="14850"/>
    <m/>
    <m/>
    <m/>
    <m/>
    <m/>
    <m/>
    <m/>
    <m/>
    <m/>
    <m/>
    <m/>
    <s v="M"/>
    <s v="No"/>
    <s v="No NPI or MMIS"/>
    <s v="NorthRPU"/>
    <s v="P"/>
    <m/>
    <m/>
    <m/>
    <s v="Mental Health Association of Tompkins County"/>
    <m/>
    <s v="No"/>
    <s v="No"/>
    <s v="No"/>
    <s v="No"/>
    <s v="No"/>
    <s v="No"/>
    <s v="No"/>
    <s v="No"/>
    <n v="0"/>
    <s v="No"/>
    <s v="No"/>
    <x v="1"/>
    <s v=""/>
    <s v=""/>
    <s v=""/>
    <s v=""/>
    <s v=""/>
    <s v=""/>
    <s v=""/>
    <s v=""/>
    <s v=""/>
    <n v="1"/>
    <s v=""/>
    <s v=""/>
  </r>
  <r>
    <x v="0"/>
    <m/>
    <m/>
    <m/>
    <m/>
    <s v="MEYERS LEE DR."/>
    <m/>
    <m/>
    <m/>
    <m/>
    <s v="MEYERS LEE C"/>
    <s v="7 WATER ST"/>
    <s v="WELLSBORO"/>
    <s v="PA"/>
    <s v="16901-1126"/>
    <s v="PHYSICIAN"/>
    <s v="M"/>
    <s v="No"/>
    <s v="MMIS"/>
    <s v="WestRPU"/>
    <s v="P"/>
    <m/>
    <m/>
    <m/>
    <s v=""/>
    <s v="E0020080"/>
    <n v="1"/>
    <n v="1"/>
    <n v="0"/>
    <n v="0"/>
    <n v="0"/>
    <n v="0"/>
    <n v="0"/>
    <n v="1"/>
    <n v="1"/>
    <n v="1"/>
    <n v="0"/>
    <x v="2"/>
    <s v=""/>
    <s v=""/>
    <s v=""/>
    <s v=""/>
    <n v="1"/>
    <s v=""/>
    <s v=""/>
    <s v=""/>
    <s v=""/>
    <s v=""/>
    <n v="1"/>
    <s v=""/>
  </r>
  <r>
    <x v="0"/>
    <m/>
    <m/>
    <m/>
    <m/>
    <s v="MEZU-PATEL NGOZI DR."/>
    <m/>
    <m/>
    <m/>
    <m/>
    <s v="MEZU NGOZI C"/>
    <s v="135 N MAIN ST"/>
    <s v="CORTLAND"/>
    <s v="NY"/>
    <s v="13045-1226"/>
    <s v="PHYSICIAN"/>
    <s v="M"/>
    <s v="No"/>
    <s v="MMIS"/>
    <s v="NorthRPU"/>
    <s v="P"/>
    <m/>
    <m/>
    <m/>
    <s v="MEZU-PATEL NGOZI DR."/>
    <s v="E0398916"/>
    <s v="No"/>
    <s v="No"/>
    <s v="No"/>
    <s v="No"/>
    <s v="No"/>
    <s v="No"/>
    <s v="No"/>
    <s v="No"/>
    <n v="0"/>
    <s v="No"/>
    <s v="No"/>
    <x v="2"/>
    <n v="1"/>
    <s v=""/>
    <s v=""/>
    <s v=""/>
    <s v=""/>
    <s v=""/>
    <s v=""/>
    <s v=""/>
    <s v=""/>
    <s v=""/>
    <n v="1"/>
    <s v=""/>
  </r>
  <r>
    <x v="0"/>
    <m/>
    <m/>
    <m/>
    <m/>
    <s v="BOYLE MICHAEL"/>
    <m/>
    <m/>
    <m/>
    <m/>
    <s v="BOYLE MICHAEL F MD"/>
    <s v="1129 COMMONS AVE"/>
    <s v="CORTLAND"/>
    <s v="NY"/>
    <s v="13045-1651"/>
    <s v="PHYSICIAN"/>
    <s v="M"/>
    <s v="No"/>
    <s v="MMIS"/>
    <s v="NorthRPU"/>
    <s v="P"/>
    <m/>
    <m/>
    <m/>
    <s v=""/>
    <s v="E0291410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EISMAN MICHAEL DR."/>
    <m/>
    <m/>
    <m/>
    <m/>
    <s v="EISMAN MICHAEL H MD"/>
    <s v="COUNTY RD 16"/>
    <s v="MONTOUR FALLS"/>
    <s v="NY"/>
    <s v="14865"/>
    <s v="PHYSICIAN"/>
    <s v="M"/>
    <s v="No"/>
    <s v="MMIS"/>
    <s v="NorthRPU"/>
    <s v="P"/>
    <m/>
    <m/>
    <m/>
    <s v=""/>
    <s v="E0259680"/>
    <n v="0"/>
    <n v="0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HENNESSEY MICHAEL"/>
    <m/>
    <m/>
    <m/>
    <m/>
    <s v="HENNESSEY MICHAEL SHANNON MD"/>
    <s v="612 W SMITH ST"/>
    <s v="CORRY"/>
    <s v="PA"/>
    <s v="16407-1152"/>
    <s v="PHYSICIAN"/>
    <s v="M"/>
    <s v="No"/>
    <s v="MMIS"/>
    <s v="SouthRPU"/>
    <s v="P"/>
    <m/>
    <m/>
    <m/>
    <s v=""/>
    <s v="E0134591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MAKAYAN MICHAEL DR."/>
    <m/>
    <m/>
    <m/>
    <m/>
    <s v="MAKAYAN MICHAEL ACESOR MD"/>
    <s v="134 HOMER AVE"/>
    <s v="CORTLAND"/>
    <s v="NY"/>
    <s v="13045-1206"/>
    <s v="PHYSICIAN"/>
    <s v="M"/>
    <s v="No"/>
    <s v="MMIS"/>
    <s v="NorthRPU"/>
    <s v="P"/>
    <m/>
    <m/>
    <m/>
    <s v=""/>
    <s v="E0013375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RONALD MICHAEL"/>
    <m/>
    <m/>
    <m/>
    <m/>
    <s v="RONALD MICHAEL R"/>
    <s v="600 ROE AVE"/>
    <s v="ELMIRA"/>
    <s v="NY"/>
    <s v="14905-1629"/>
    <s v="PHYSICIAN"/>
    <s v="M"/>
    <s v="No"/>
    <s v="MMIS"/>
    <s v="WestRPU"/>
    <s v="P"/>
    <m/>
    <m/>
    <m/>
    <s v=""/>
    <s v="E0073420"/>
    <n v="1"/>
    <n v="1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SCHRECK MICHAEL"/>
    <m/>
    <m/>
    <m/>
    <m/>
    <s v="SCHRECK MICHAEL J"/>
    <s v="BINGHAMTON GEN EM RM"/>
    <s v="BINGHAMTON"/>
    <s v="NY"/>
    <s v="13903"/>
    <s v="PHYSICIAN"/>
    <s v="M"/>
    <s v="No"/>
    <s v="MMIS"/>
    <s v="SouthRPU"/>
    <s v="P"/>
    <m/>
    <m/>
    <m/>
    <s v=""/>
    <s v="E0216004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1"/>
    <m/>
    <m/>
    <m/>
    <m/>
    <s v="VERTINO MICHAEL"/>
    <m/>
    <m/>
    <m/>
    <m/>
    <s v="VERTINO MICHAEL L MD"/>
    <s v="NEURO MED SERV GRP"/>
    <s v="SYRACUSE"/>
    <s v="NY"/>
    <s v="13210-2342"/>
    <s v="PHYSICIAN"/>
    <s v="M"/>
    <s v="No"/>
    <s v="MMIS"/>
    <s v="NorthRPU"/>
    <s v="P"/>
    <m/>
    <m/>
    <m/>
    <s v=""/>
    <s v="E0084756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WILSON MICHAEL DR."/>
    <m/>
    <m/>
    <m/>
    <m/>
    <s v="WILSON MICHAEL G."/>
    <s v="1301 TRUMANSBURG RD STE R"/>
    <s v="ITHACA"/>
    <s v="NY"/>
    <s v="14850-1397"/>
    <s v="PHYSICIAN"/>
    <s v="M"/>
    <s v="No"/>
    <s v="MMIS"/>
    <s v="NorthRPU"/>
    <s v="P"/>
    <m/>
    <m/>
    <m/>
    <s v=""/>
    <s v="E0327906"/>
    <n v="1"/>
    <n v="1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TALERICO MICHELE"/>
    <m/>
    <m/>
    <m/>
    <m/>
    <s v="TALERICO MICHELE M"/>
    <s v="15 BIRDSALL ST"/>
    <s v="GREENE"/>
    <s v="NY"/>
    <s v="13778-1057"/>
    <s v="PHYSICIAN"/>
    <s v="M"/>
    <s v="No"/>
    <s v="MMIS"/>
    <s v="SouthRPU"/>
    <s v="P"/>
    <m/>
    <m/>
    <m/>
    <s v="Michele M. Talerico, FNP-C"/>
    <s v="E0120994"/>
    <s v="No"/>
    <s v="No"/>
    <s v="No"/>
    <s v="No"/>
    <s v="No"/>
    <s v="No"/>
    <s v="No"/>
    <s v="No"/>
    <n v="0"/>
    <s v="No"/>
    <s v="No"/>
    <x v="2"/>
    <s v=""/>
    <s v=""/>
    <s v=""/>
    <s v=""/>
    <s v=""/>
    <s v=""/>
    <s v=""/>
    <s v=""/>
    <s v=""/>
    <s v=""/>
    <n v="1"/>
    <s v=""/>
  </r>
  <r>
    <x v="0"/>
    <m/>
    <m/>
    <m/>
    <m/>
    <s v="STEWART MICHELE MS."/>
    <m/>
    <m/>
    <m/>
    <m/>
    <s v="STEWART MICHELE L"/>
    <s v="13 ITHACA ST"/>
    <s v="HORSEHEADS"/>
    <s v="NY"/>
    <s v="14845-1709"/>
    <s v="PHYSICIAN"/>
    <s v="M"/>
    <s v="No"/>
    <s v="MMIS"/>
    <s v="WestRPU"/>
    <s v="P"/>
    <m/>
    <m/>
    <m/>
    <s v=""/>
    <s v="E0034251"/>
    <n v="1"/>
    <n v="1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BLEGEN MICHELLE"/>
    <m/>
    <m/>
    <m/>
    <m/>
    <s v="BLEGEN MICHELLE P MD"/>
    <s v="4435 SENECA RD"/>
    <s v="TRUMANSBURG"/>
    <s v="NY"/>
    <s v="14886-9201"/>
    <s v="PHYSICIAN"/>
    <s v="M"/>
    <s v="No"/>
    <s v="MMIS"/>
    <s v="NorthRPU"/>
    <s v="P"/>
    <m/>
    <m/>
    <m/>
    <s v=""/>
    <s v="E0083665"/>
    <n v="1"/>
    <n v="1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TEVES MICHELLE DR."/>
    <m/>
    <m/>
    <m/>
    <m/>
    <s v="TEVES MICHELLE A"/>
    <s v="10 ARROWOOD DR"/>
    <s v="ITHACA"/>
    <s v="NY"/>
    <s v="14850-1857"/>
    <s v="PHYSICIAN"/>
    <s v="M"/>
    <s v="No"/>
    <s v="MMIS"/>
    <s v="NorthRPU"/>
    <s v="P"/>
    <m/>
    <m/>
    <m/>
    <s v=""/>
    <s v="E0354014"/>
    <n v="1"/>
    <n v="1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CHOI MIKE DR."/>
    <m/>
    <m/>
    <m/>
    <m/>
    <s v="CHOI MIKE JOON MD"/>
    <s v="209 W STATE ST"/>
    <s v="ITHACA"/>
    <s v="NY"/>
    <s v="14850-5429"/>
    <s v="PHYSICIAN"/>
    <s v="M"/>
    <s v="No"/>
    <s v="MMIS"/>
    <s v="NorthRPU"/>
    <s v="P"/>
    <m/>
    <m/>
    <m/>
    <s v=""/>
    <s v="E0058046"/>
    <n v="1"/>
    <n v="1"/>
    <n v="0"/>
    <n v="0"/>
    <n v="0"/>
    <n v="0"/>
    <n v="0"/>
    <n v="1"/>
    <n v="1"/>
    <n v="1"/>
    <n v="0"/>
    <x v="2"/>
    <s v=""/>
    <s v=""/>
    <s v=""/>
    <s v=""/>
    <s v=""/>
    <s v=""/>
    <s v=""/>
    <s v=""/>
    <s v=""/>
    <s v=""/>
    <n v="1"/>
    <s v=""/>
  </r>
  <r>
    <x v="0"/>
    <m/>
    <m/>
    <m/>
    <m/>
    <s v="MIKLOUCICH CORI DR."/>
    <m/>
    <m/>
    <m/>
    <m/>
    <s v="MIKLOUCICH CORI L DO"/>
    <s v="1130 UPPER FRONT ST"/>
    <s v="BINGHAMTON"/>
    <s v="NY"/>
    <s v="13905-1118"/>
    <s v="PHYSICIAN"/>
    <s v="M"/>
    <s v="No"/>
    <s v="MMIS"/>
    <s v="SouthRPU"/>
    <s v="P"/>
    <m/>
    <m/>
    <m/>
    <s v=""/>
    <s v="E0284383"/>
    <n v="1"/>
    <n v="1"/>
    <n v="0"/>
    <n v="1"/>
    <n v="1"/>
    <n v="0"/>
    <n v="0"/>
    <n v="1"/>
    <n v="0"/>
    <n v="0"/>
    <n v="1"/>
    <x v="2"/>
    <s v=""/>
    <s v=""/>
    <s v=""/>
    <s v=""/>
    <s v=""/>
    <s v=""/>
    <s v=""/>
    <s v=""/>
    <s v=""/>
    <s v=""/>
    <n v="1"/>
    <s v=""/>
  </r>
  <r>
    <x v="0"/>
    <m/>
    <m/>
    <m/>
    <m/>
    <s v="MIKLOUCICH JEROME DR."/>
    <m/>
    <m/>
    <m/>
    <m/>
    <s v="MIKLOUCICH JEROME J"/>
    <s v="276-280 ROBINSON ST"/>
    <s v="BINGHAMTON"/>
    <s v="NY"/>
    <s v="13904-1659"/>
    <s v="PHYSICIAN"/>
    <s v="M"/>
    <s v="No"/>
    <s v="MMIS"/>
    <s v="SouthRPU"/>
    <s v="P"/>
    <m/>
    <m/>
    <m/>
    <s v="MIKLOUCICH JEROME DR."/>
    <s v="E0294580"/>
    <s v="No"/>
    <s v="No"/>
    <s v="No"/>
    <s v="No"/>
    <s v="No"/>
    <s v="No"/>
    <s v="No"/>
    <s v="No"/>
    <n v="0"/>
    <s v="No"/>
    <s v="No"/>
    <x v="2"/>
    <s v=""/>
    <s v=""/>
    <s v=""/>
    <s v=""/>
    <s v=""/>
    <s v=""/>
    <s v=""/>
    <s v=""/>
    <s v=""/>
    <s v=""/>
    <n v="1"/>
    <s v=""/>
  </r>
  <r>
    <x v="0"/>
    <m/>
    <m/>
    <m/>
    <m/>
    <s v="MILESTONES PEDIATRIC OCCUPATIONAL THERAPY PC"/>
    <m/>
    <m/>
    <m/>
    <m/>
    <s v="MILESTONES PEDIATRIC OT PC"/>
    <s v="5 COURT ST"/>
    <s v="NORWICH"/>
    <s v="NY"/>
    <s v="13815-1654"/>
    <s v="DIAGNOSTIC AND TREATMENT CENTER"/>
    <s v="M"/>
    <s v="No"/>
    <s v="MMIS"/>
    <s v="EastRPU"/>
    <s v="P"/>
    <m/>
    <m/>
    <m/>
    <s v=""/>
    <s v="E0345854"/>
    <n v="0"/>
    <n v="0"/>
    <n v="0"/>
    <n v="0"/>
    <n v="0"/>
    <n v="0"/>
    <n v="0"/>
    <n v="0"/>
    <n v="0"/>
    <n v="0"/>
    <n v="0"/>
    <x v="1"/>
    <s v=""/>
    <s v=""/>
    <n v="1"/>
    <s v=""/>
    <s v=""/>
    <s v=""/>
    <s v=""/>
    <s v=""/>
    <s v=""/>
    <s v=""/>
    <n v="1"/>
    <s v=""/>
  </r>
  <r>
    <x v="0"/>
    <m/>
    <m/>
    <m/>
    <m/>
    <s v="MILLER ALAN"/>
    <m/>
    <m/>
    <m/>
    <m/>
    <s v="MILLER ALAN V MD"/>
    <m/>
    <s v="JOHNSON CITY"/>
    <s v="NY"/>
    <s v="13790-2597"/>
    <s v="PHYSICIAN"/>
    <s v="M"/>
    <s v="No"/>
    <s v="MMIS"/>
    <s v="SouthRPU"/>
    <s v="P"/>
    <m/>
    <m/>
    <m/>
    <s v=""/>
    <s v="E0216097"/>
    <n v="1"/>
    <n v="1"/>
    <n v="0"/>
    <n v="1"/>
    <n v="1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MILLER JULIA"/>
    <m/>
    <m/>
    <m/>
    <m/>
    <s v="MILLER JULIA MD"/>
    <s v="GUTHRIE CLINIC LTD"/>
    <s v="SAYRE"/>
    <s v="PA"/>
    <s v="18840"/>
    <s v="PHYSICIAN"/>
    <s v="M"/>
    <s v="No"/>
    <s v="MMIS"/>
    <s v="SouthRPU"/>
    <s v="P"/>
    <m/>
    <m/>
    <m/>
    <s v="MILLER JULIA"/>
    <s v="E0154099"/>
    <s v="No"/>
    <s v="No"/>
    <s v="No"/>
    <s v="No"/>
    <s v="No"/>
    <s v="No"/>
    <s v="No"/>
    <s v="No"/>
    <n v="0"/>
    <s v="No"/>
    <s v="No"/>
    <x v="2"/>
    <s v=""/>
    <s v=""/>
    <s v=""/>
    <s v=""/>
    <s v=""/>
    <s v=""/>
    <s v=""/>
    <s v=""/>
    <s v=""/>
    <s v=""/>
    <n v="1"/>
    <s v=""/>
  </r>
  <r>
    <x v="0"/>
    <m/>
    <m/>
    <m/>
    <m/>
    <s v="MILLER WILLIAM"/>
    <m/>
    <m/>
    <m/>
    <m/>
    <s v="MILLER WILLIAM JOHN MD"/>
    <s v="639 MAIN ST"/>
    <s v="JOHNSON CITY"/>
    <s v="NY"/>
    <s v="13790-1805"/>
    <s v="PHYSICIAN"/>
    <s v="M"/>
    <s v="No"/>
    <s v="MMIS"/>
    <s v="SouthRPU"/>
    <s v="P"/>
    <m/>
    <m/>
    <m/>
    <s v="MILLER WILLIAM"/>
    <s v="E0035718"/>
    <s v="No"/>
    <s v="No"/>
    <s v="No"/>
    <s v="No"/>
    <s v="No"/>
    <s v="No"/>
    <s v="No"/>
    <s v="No"/>
    <n v="0"/>
    <s v="No"/>
    <s v="No"/>
    <x v="2"/>
    <s v=""/>
    <s v=""/>
    <s v=""/>
    <s v=""/>
    <s v=""/>
    <s v=""/>
    <s v=""/>
    <s v=""/>
    <s v=""/>
    <s v=""/>
    <n v="1"/>
    <s v=""/>
  </r>
  <r>
    <x v="0"/>
    <m/>
    <m/>
    <m/>
    <m/>
    <s v="ONDRUSEK MISTY DR."/>
    <m/>
    <m/>
    <m/>
    <m/>
    <s v="ONDRUSEK MISTY"/>
    <s v="415 E MAIN ST"/>
    <s v="ENDICOTT"/>
    <s v="NY"/>
    <s v="13760-4925"/>
    <s v="PHYSICIAN"/>
    <s v="M"/>
    <s v="No"/>
    <s v="MMIS"/>
    <s v="SouthRPU"/>
    <s v="P"/>
    <m/>
    <m/>
    <m/>
    <s v="Misty D. Ondrusek, MD"/>
    <s v="E0362240"/>
    <s v="No"/>
    <s v="No"/>
    <s v="No"/>
    <s v="No"/>
    <s v="No"/>
    <s v="No"/>
    <s v="No"/>
    <s v="No"/>
    <n v="0"/>
    <s v="No"/>
    <s v="No"/>
    <x v="2"/>
    <s v=""/>
    <s v=""/>
    <s v=""/>
    <s v=""/>
    <s v=""/>
    <s v=""/>
    <s v=""/>
    <s v=""/>
    <s v=""/>
    <s v=""/>
    <n v="1"/>
    <s v=""/>
  </r>
  <r>
    <x v="0"/>
    <m/>
    <m/>
    <m/>
    <m/>
    <s v="MITCHELL-BOWMAN PATRICIA MRS."/>
    <m/>
    <m/>
    <m/>
    <m/>
    <s v="MITCHELL PATRICIA ANNE"/>
    <s v="179 N BROAD ST"/>
    <s v="NORWICH"/>
    <s v="NY"/>
    <s v="13815-1019"/>
    <s v="PHYSICIAN"/>
    <s v="M"/>
    <s v="No"/>
    <s v="MMIS"/>
    <s v="EastRPU"/>
    <s v="P"/>
    <m/>
    <m/>
    <m/>
    <s v=""/>
    <s v="E0000220"/>
    <n v="0"/>
    <n v="0"/>
    <n v="0"/>
    <n v="0"/>
    <n v="0"/>
    <n v="0"/>
    <n v="0"/>
    <n v="0"/>
    <n v="0"/>
    <n v="0"/>
    <n v="0"/>
    <x v="2"/>
    <n v="1"/>
    <s v=""/>
    <s v=""/>
    <s v=""/>
    <s v=""/>
    <s v=""/>
    <s v=""/>
    <s v=""/>
    <s v=""/>
    <s v=""/>
    <s v=""/>
    <s v=""/>
  </r>
  <r>
    <x v="0"/>
    <m/>
    <m/>
    <m/>
    <m/>
    <s v="MODRAK MARYANNE"/>
    <m/>
    <m/>
    <m/>
    <m/>
    <s v="MODRAK MARY ANNE           MD"/>
    <s v="BING GEN HOSP EM RM"/>
    <s v="BINGHAMTON"/>
    <s v="NY"/>
    <s v="13903"/>
    <s v="PHYSICIAN"/>
    <s v="M"/>
    <s v="No"/>
    <s v="MMIS"/>
    <s v="SouthRPU"/>
    <s v="P"/>
    <m/>
    <m/>
    <m/>
    <s v=""/>
    <s v="E0197289"/>
    <n v="0"/>
    <n v="0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1"/>
    <m/>
    <m/>
    <m/>
    <m/>
    <s v="DJAFARI MOHAMMAD DR."/>
    <m/>
    <m/>
    <m/>
    <m/>
    <s v="DJAFARI MOHAMMAD"/>
    <s v="6 EUCLID AVE"/>
    <s v="CORTLAND"/>
    <s v="NY"/>
    <s v="13045-1257"/>
    <s v="PHYSICIAN"/>
    <s v="M"/>
    <s v="No"/>
    <s v="MMIS"/>
    <s v="NorthRPU"/>
    <s v="P"/>
    <m/>
    <m/>
    <m/>
    <s v=""/>
    <s v="E0110971"/>
    <n v="1"/>
    <n v="0"/>
    <n v="0"/>
    <n v="1"/>
    <n v="0"/>
    <n v="0"/>
    <n v="0"/>
    <n v="0"/>
    <n v="0"/>
    <n v="1"/>
    <n v="0"/>
    <x v="2"/>
    <s v=""/>
    <s v=""/>
    <s v=""/>
    <s v=""/>
    <s v=""/>
    <s v=""/>
    <s v=""/>
    <s v=""/>
    <s v=""/>
    <s v=""/>
    <n v="1"/>
    <s v=""/>
  </r>
  <r>
    <x v="0"/>
    <m/>
    <m/>
    <m/>
    <m/>
    <s v="MOWLA MOHAMMED"/>
    <m/>
    <m/>
    <m/>
    <m/>
    <s v="MOWLA MOHAMMED RASHEDUL"/>
    <s v="33-57 HARRISON ST"/>
    <s v="JOHNSON CITY"/>
    <s v="NY"/>
    <s v="13790-2107"/>
    <s v="PHYSICIAN"/>
    <s v="M"/>
    <s v="No"/>
    <s v="MMIS"/>
    <s v="SouthRPU"/>
    <s v="P"/>
    <m/>
    <m/>
    <m/>
    <s v=""/>
    <s v="E0311646"/>
    <n v="0"/>
    <n v="0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s v=""/>
    <s v=""/>
  </r>
  <r>
    <x v="0"/>
    <m/>
    <m/>
    <m/>
    <m/>
    <s v="QUASEM MOHAMMAD"/>
    <m/>
    <m/>
    <m/>
    <m/>
    <s v="QUASEM MOHAMMAD ABUL"/>
    <s v="27 PARK AVE FL 5"/>
    <s v="BINGHAMTON"/>
    <s v="NY"/>
    <s v="13903-1605"/>
    <s v="PHYSICIAN"/>
    <s v="M"/>
    <s v="No"/>
    <s v="MMIS"/>
    <s v="SouthRPU"/>
    <s v="P"/>
    <m/>
    <m/>
    <m/>
    <s v=""/>
    <s v="E0035201"/>
    <n v="1"/>
    <n v="1"/>
    <n v="0"/>
    <n v="1"/>
    <n v="1"/>
    <n v="0"/>
    <n v="0"/>
    <n v="1"/>
    <n v="0"/>
    <n v="0"/>
    <n v="1"/>
    <x v="1"/>
    <n v="1"/>
    <s v=""/>
    <s v=""/>
    <s v=""/>
    <s v=""/>
    <s v=""/>
    <s v=""/>
    <s v=""/>
    <s v=""/>
    <s v=""/>
    <n v="1"/>
    <s v=""/>
  </r>
  <r>
    <x v="0"/>
    <m/>
    <m/>
    <m/>
    <m/>
    <s v="MOHRIEN KARI"/>
    <m/>
    <m/>
    <m/>
    <m/>
    <s v="MOHRIEN KARI LYNN"/>
    <s v="179 N BROAD ST"/>
    <s v="NORWICH"/>
    <s v="NY"/>
    <s v="13815-1019"/>
    <s v="PHYSICIAN"/>
    <s v="M"/>
    <s v="No"/>
    <s v="MMIS"/>
    <s v="EastRPU"/>
    <s v="P"/>
    <m/>
    <m/>
    <m/>
    <s v=""/>
    <s v="E0301885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MOHYUDDIN ALIASGHAR DR."/>
    <m/>
    <m/>
    <m/>
    <m/>
    <s v="MOHYUDDIN ALIASGHAR"/>
    <s v="GUTHRIE MED GRP PC"/>
    <s v="ITHACA"/>
    <s v="NY"/>
    <s v="14850-2017"/>
    <s v="PHYSICIAN"/>
    <s v="M"/>
    <s v="No"/>
    <s v="MMIS"/>
    <s v="NorthRPU"/>
    <s v="P"/>
    <m/>
    <m/>
    <m/>
    <s v=""/>
    <s v="E0101966"/>
    <n v="0"/>
    <n v="0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1"/>
    <m/>
    <m/>
    <m/>
    <m/>
    <s v="MORGAN MONICA"/>
    <m/>
    <m/>
    <m/>
    <m/>
    <s v="MORGAN MONICA"/>
    <s v="10 ARROWOOD DRIVE"/>
    <s v="ITHACA"/>
    <s v="NY"/>
    <s v="14850-1857"/>
    <s v="PHYSICIAN"/>
    <s v="M"/>
    <s v="No"/>
    <s v="MMIS"/>
    <s v="NorthRPU"/>
    <s v="P"/>
    <m/>
    <m/>
    <m/>
    <s v=""/>
    <s v="E0042963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MONROE PLAN FOR MEDICAL CARE"/>
    <m/>
    <m/>
    <m/>
    <m/>
    <s v="MONROE PLAN FOR MEDICAL CARE INC"/>
    <s v="1120 PITTSFORD VICTOR RD"/>
    <s v="PITTSFORD"/>
    <s v="NY"/>
    <s v="14534-3818"/>
    <s v="HOME HEALTH AGENCY"/>
    <s v="M"/>
    <s v="No"/>
    <s v="MMIS"/>
    <s v="SouthRPU"/>
    <s v="P"/>
    <m/>
    <m/>
    <m/>
    <s v=""/>
    <s v="E0347129"/>
    <n v="1"/>
    <n v="1"/>
    <n v="0"/>
    <n v="1"/>
    <n v="1"/>
    <n v="0"/>
    <n v="0"/>
    <n v="0"/>
    <n v="0"/>
    <n v="0"/>
    <n v="0"/>
    <x v="1"/>
    <s v=""/>
    <s v=""/>
    <s v=""/>
    <s v=""/>
    <s v=""/>
    <s v=""/>
    <s v=""/>
    <s v=""/>
    <s v=""/>
    <s v=""/>
    <s v=""/>
    <n v="1"/>
  </r>
  <r>
    <x v="0"/>
    <m/>
    <m/>
    <m/>
    <m/>
    <s v="MONTICELLO VICKI"/>
    <m/>
    <m/>
    <m/>
    <m/>
    <s v="MONTICELLO VICKI C"/>
    <s v="40 ARCH ST"/>
    <s v="JOHNSON CITY"/>
    <s v="NY"/>
    <s v="13790-2102"/>
    <s v="PHYSICIAN"/>
    <s v="M"/>
    <s v="No"/>
    <s v="MMIS"/>
    <s v="SouthRPU"/>
    <s v="P"/>
    <m/>
    <m/>
    <m/>
    <s v=""/>
    <s v="E0090881"/>
    <n v="1"/>
    <n v="1"/>
    <n v="0"/>
    <n v="1"/>
    <n v="1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MORALES ROMEO"/>
    <m/>
    <m/>
    <m/>
    <m/>
    <s v="MORALES ROMEO E MD"/>
    <s v="200 FRONT ST"/>
    <s v="VESTAL"/>
    <s v="NY"/>
    <s v="13850-1559"/>
    <s v="PHYSICIAN"/>
    <s v="M"/>
    <s v="No"/>
    <s v="MMIS"/>
    <s v="SouthRPU"/>
    <s v="P"/>
    <m/>
    <m/>
    <m/>
    <s v=""/>
    <s v="E0071498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1"/>
    <m/>
    <m/>
    <m/>
    <m/>
    <s v="EL GHISSASSI MOSTAFA DR."/>
    <m/>
    <m/>
    <m/>
    <m/>
    <s v="EL GHISSASSI MOSTAFA"/>
    <s v="36500 NYS RT 126"/>
    <s v="CARTHAGE"/>
    <s v="NY"/>
    <s v="13619-0000"/>
    <s v="PHYSICIAN"/>
    <s v="M"/>
    <s v="No"/>
    <s v="MMIS"/>
    <s v="SouthRPU"/>
    <s v="P"/>
    <m/>
    <m/>
    <m/>
    <s v=""/>
    <s v="E0032540"/>
    <n v="1"/>
    <n v="1"/>
    <n v="0"/>
    <n v="1"/>
    <n v="1"/>
    <n v="0"/>
    <n v="0"/>
    <n v="0"/>
    <n v="1"/>
    <n v="0"/>
    <n v="0"/>
    <x v="2"/>
    <s v=""/>
    <s v=""/>
    <s v=""/>
    <s v=""/>
    <s v=""/>
    <s v=""/>
    <s v=""/>
    <s v=""/>
    <s v=""/>
    <s v=""/>
    <n v="1"/>
    <s v=""/>
  </r>
  <r>
    <x v="0"/>
    <s v="457 State Street"/>
    <s v="Binghamton"/>
    <s v="NY"/>
    <s v="13901"/>
    <m/>
    <m/>
    <m/>
    <m/>
    <m/>
    <m/>
    <m/>
    <m/>
    <m/>
    <m/>
    <m/>
    <s v="M"/>
    <s v="No"/>
    <s v="No NPI or MMIS"/>
    <s v="SouthRPU"/>
    <s v="P"/>
    <m/>
    <m/>
    <m/>
    <s v=""/>
    <s v="Mothers and Babies Perinatal Network of SCNY, Inc."/>
    <n v="1"/>
    <m/>
    <m/>
    <n v="1"/>
    <n v="1"/>
    <m/>
    <m/>
    <m/>
    <m/>
    <n v="1"/>
    <s v="No"/>
    <x v="1"/>
    <s v=""/>
    <s v=""/>
    <s v=""/>
    <s v=""/>
    <s v=""/>
    <s v=""/>
    <s v=""/>
    <s v=""/>
    <s v=""/>
    <n v="1"/>
    <s v=""/>
    <s v=""/>
  </r>
  <r>
    <x v="0"/>
    <m/>
    <m/>
    <m/>
    <m/>
    <s v="MOUKALA-CADET ANNE-MARIE"/>
    <m/>
    <m/>
    <m/>
    <m/>
    <s v="MOUKALA-CADET ANNE-MARIE L MD"/>
    <s v="38A CLASSIC ST"/>
    <s v="SHERBURNE"/>
    <s v="NY"/>
    <s v="13460-9723"/>
    <s v="PHYSICIAN"/>
    <s v="M"/>
    <s v="No"/>
    <s v="MMIS"/>
    <s v="EastRPU"/>
    <s v="P"/>
    <m/>
    <m/>
    <m/>
    <s v=""/>
    <s v="E0020724"/>
    <n v="1"/>
    <n v="1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WATTOO MUHAMMAD DR."/>
    <m/>
    <m/>
    <m/>
    <m/>
    <s v="WATTOO MUHAMMAD A MD"/>
    <s v="2359 N TRIPHAMMER RD"/>
    <s v="ITHACA"/>
    <s v="NY"/>
    <s v="14850-1059"/>
    <s v="PHYSICIAN"/>
    <s v="M"/>
    <s v="No"/>
    <s v="MMIS"/>
    <s v="NorthRPU"/>
    <s v="P"/>
    <m/>
    <m/>
    <m/>
    <s v=""/>
    <s v="E0105568"/>
    <n v="1"/>
    <n v="1"/>
    <n v="0"/>
    <n v="0"/>
    <n v="0"/>
    <n v="0"/>
    <n v="0"/>
    <n v="0"/>
    <n v="0"/>
    <n v="0"/>
    <n v="0"/>
    <x v="2"/>
    <n v="1"/>
    <s v=""/>
    <s v=""/>
    <s v=""/>
    <s v=""/>
    <s v=""/>
    <s v=""/>
    <s v=""/>
    <s v=""/>
    <s v=""/>
    <n v="1"/>
    <s v=""/>
  </r>
  <r>
    <x v="0"/>
    <m/>
    <m/>
    <m/>
    <m/>
    <s v="MUHICH JANET"/>
    <m/>
    <m/>
    <m/>
    <m/>
    <s v="MUHICH JANET E MD"/>
    <s v="STE 105"/>
    <s v="BINGHAMTON"/>
    <s v="NY"/>
    <s v="13905-4177"/>
    <s v="PHYSICIAN"/>
    <s v="M"/>
    <s v="No"/>
    <s v="MMIS"/>
    <s v="SouthRPU"/>
    <s v="P"/>
    <m/>
    <m/>
    <m/>
    <s v=""/>
    <s v="E0163077"/>
    <n v="1"/>
    <n v="1"/>
    <n v="0"/>
    <n v="1"/>
    <n v="1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MUKUNDAN MADHAV DR."/>
    <m/>
    <m/>
    <m/>
    <m/>
    <s v="MUKUNDAN MADHAV"/>
    <s v="24 GROTON AVE"/>
    <s v="CORTLAND"/>
    <s v="NY"/>
    <s v="13045-2014"/>
    <s v="DENTIST"/>
    <s v="M"/>
    <s v="No"/>
    <s v="MMIS"/>
    <s v="NorthRPU"/>
    <s v="P"/>
    <m/>
    <m/>
    <m/>
    <s v=""/>
    <s v="E0300353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MULLEN GREGORY"/>
    <m/>
    <m/>
    <m/>
    <m/>
    <s v="MULLEN GREGORY JOHN MD"/>
    <m/>
    <s v="JOHNSON CITY"/>
    <s v="NY"/>
    <s v="13790-2597"/>
    <s v="PHYSICIAN"/>
    <s v="M"/>
    <s v="No"/>
    <s v="MMIS"/>
    <s v="SouthRPU"/>
    <s v="P"/>
    <m/>
    <m/>
    <m/>
    <s v="Mullen Gregory"/>
    <s v="E0134290"/>
    <s v="No"/>
    <s v="No"/>
    <s v="No"/>
    <s v="No"/>
    <s v="No"/>
    <s v="No"/>
    <s v="No"/>
    <s v="No"/>
    <s v="No"/>
    <s v="No"/>
    <s v="No"/>
    <x v="2"/>
    <s v=""/>
    <s v=""/>
    <s v=""/>
    <s v=""/>
    <s v=""/>
    <s v=""/>
    <s v=""/>
    <s v=""/>
    <s v=""/>
    <s v=""/>
    <n v="1"/>
    <s v=""/>
  </r>
  <r>
    <x v="0"/>
    <m/>
    <m/>
    <m/>
    <m/>
    <s v="MURPHY MATTHEW"/>
    <m/>
    <m/>
    <m/>
    <m/>
    <s v="MURPHY MATTHEW PAUL"/>
    <s v="1302 E MAIN ST"/>
    <s v="ENDICOTT"/>
    <s v="NY"/>
    <s v="13760-5430"/>
    <s v="THERAPIST"/>
    <s v="M"/>
    <s v="No"/>
    <s v="MMIS"/>
    <s v="SouthRPU"/>
    <s v="P"/>
    <m/>
    <m/>
    <m/>
    <s v="MURPHY MATTHEW"/>
    <s v="E0296853"/>
    <s v="No"/>
    <s v="No"/>
    <s v="No"/>
    <s v="No"/>
    <s v="No"/>
    <s v="No"/>
    <s v="No"/>
    <s v="No"/>
    <s v="No"/>
    <s v="No"/>
    <s v="No"/>
    <x v="1"/>
    <n v="1"/>
    <s v=""/>
    <s v=""/>
    <s v=""/>
    <s v=""/>
    <s v=""/>
    <s v=""/>
    <s v=""/>
    <s v=""/>
    <s v=""/>
    <s v=""/>
    <s v=""/>
  </r>
  <r>
    <x v="0"/>
    <m/>
    <m/>
    <m/>
    <m/>
    <s v="MURPHY MICHAEL"/>
    <m/>
    <m/>
    <m/>
    <m/>
    <s v="MURPHY MICHAEL F MD"/>
    <s v="54 MAIN STREET"/>
    <s v="CANDOR"/>
    <s v="NY"/>
    <s v="13743"/>
    <s v="PHYSICIAN"/>
    <s v="M"/>
    <s v="No"/>
    <s v="MMIS"/>
    <s v="SouthRPU"/>
    <s v="P"/>
    <m/>
    <m/>
    <m/>
    <s v=""/>
    <s v="E0161217"/>
    <n v="1"/>
    <n v="1"/>
    <n v="0"/>
    <n v="1"/>
    <n v="1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MWESIGE JOSEPH"/>
    <m/>
    <m/>
    <m/>
    <m/>
    <s v="MWESIGE JOSEPH"/>
    <s v="1 GUTHRIE SQ"/>
    <s v="SAYRE"/>
    <s v="PA"/>
    <s v="18840-1625"/>
    <s v="PHYSICIAN"/>
    <s v="M"/>
    <s v="No"/>
    <s v="MMIS"/>
    <s v="SouthRPU"/>
    <s v="P"/>
    <m/>
    <m/>
    <m/>
    <s v=""/>
    <s v="E0295807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HUMAYUN NAEEM"/>
    <m/>
    <m/>
    <m/>
    <m/>
    <s v="HUMAYUN NAEEM U"/>
    <s v="STE 300"/>
    <s v="SYRACUSE"/>
    <s v="NY"/>
    <s v="13210-1853"/>
    <s v="PHYSICIAN"/>
    <s v="M"/>
    <s v="No"/>
    <s v="MMIS"/>
    <s v="NorthRPU"/>
    <s v="P"/>
    <m/>
    <m/>
    <m/>
    <s v=""/>
    <s v="E0033969"/>
    <n v="1"/>
    <n v="1"/>
    <n v="0"/>
    <n v="0"/>
    <n v="1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BOROGERDI TAYYEBEH"/>
    <m/>
    <m/>
    <m/>
    <m/>
    <s v="BOROGERDI TAYYEBEH NAHID"/>
    <s v="105 RIDGEHAVEN DR"/>
    <s v="VESTAL"/>
    <s v="NY"/>
    <s v="13850-2640"/>
    <s v="PHYSICIAN"/>
    <s v="M"/>
    <s v="No"/>
    <s v="MMIS"/>
    <s v="SouthRPU"/>
    <s v="P"/>
    <m/>
    <m/>
    <m/>
    <s v="Nahid Borogerdi, PhD, FNP-C"/>
    <s v="E0339027"/>
    <s v="No"/>
    <s v="No"/>
    <s v="No"/>
    <s v="No"/>
    <s v="No"/>
    <s v="No"/>
    <s v="No"/>
    <s v="No"/>
    <s v="No"/>
    <s v="No"/>
    <s v="No"/>
    <x v="2"/>
    <s v=""/>
    <s v=""/>
    <s v=""/>
    <s v=""/>
    <s v=""/>
    <s v=""/>
    <s v=""/>
    <s v=""/>
    <s v=""/>
    <s v=""/>
    <n v="1"/>
    <s v=""/>
  </r>
  <r>
    <x v="0"/>
    <m/>
    <m/>
    <m/>
    <m/>
    <s v="NAIK DHRUTI"/>
    <m/>
    <m/>
    <m/>
    <m/>
    <s v="NAIK DHRUTI"/>
    <s v="222 STATION PLZ N"/>
    <s v="MINEOLA"/>
    <s v="NY"/>
    <s v="11501-3893"/>
    <s v="PHYSICIAN"/>
    <s v="M"/>
    <s v="No"/>
    <s v="MMIS"/>
    <s v="NorthRPU"/>
    <s v="P"/>
    <m/>
    <m/>
    <m/>
    <s v=""/>
    <s v="E0024914"/>
    <n v="0"/>
    <n v="0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NAMAN SAFA"/>
    <m/>
    <m/>
    <m/>
    <m/>
    <s v="NAMAN SAFA K               MD"/>
    <s v="BINGHAMTON GEN HOSP"/>
    <s v="BINGHAMTON"/>
    <s v="NY"/>
    <s v="13903"/>
    <s v="PHYSICIAN"/>
    <s v="M"/>
    <s v="No"/>
    <s v="MMIS"/>
    <s v="SouthRPU"/>
    <s v="P"/>
    <m/>
    <m/>
    <m/>
    <s v=""/>
    <s v="E0199300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STEWART NANCY"/>
    <m/>
    <m/>
    <m/>
    <m/>
    <s v="NANCY B STEWART"/>
    <s v="402 N CAYUGA ST"/>
    <s v="ITHACA"/>
    <s v="NY"/>
    <s v="14850-4219"/>
    <s v="PHYSICIAN"/>
    <s v="M"/>
    <s v="No"/>
    <s v="MMIS"/>
    <s v="NorthRPU"/>
    <s v="P"/>
    <m/>
    <m/>
    <m/>
    <s v=""/>
    <s v="E0209738"/>
    <n v="0"/>
    <n v="0"/>
    <n v="0"/>
    <n v="0"/>
    <n v="0"/>
    <n v="0"/>
    <n v="0"/>
    <n v="0"/>
    <n v="0"/>
    <n v="0"/>
    <n v="0"/>
    <x v="2"/>
    <n v="1"/>
    <s v=""/>
    <s v=""/>
    <s v=""/>
    <s v=""/>
    <s v=""/>
    <s v=""/>
    <s v=""/>
    <s v=""/>
    <s v=""/>
    <s v=""/>
    <s v=""/>
  </r>
  <r>
    <x v="0"/>
    <m/>
    <m/>
    <m/>
    <m/>
    <s v="NANDA MICHELLE DR."/>
    <m/>
    <m/>
    <m/>
    <m/>
    <s v="NANDA MICHELLE ANDREA"/>
    <s v="123 CONHOCTON ST"/>
    <s v="CORNING"/>
    <s v="NY"/>
    <s v="14830-2959"/>
    <s v="PHYSICIAN"/>
    <s v="M"/>
    <s v="No"/>
    <s v="MMIS"/>
    <s v="NorthRPU"/>
    <s v="P"/>
    <m/>
    <m/>
    <m/>
    <s v="Nanda Michelle"/>
    <s v="E0409988"/>
    <s v="No"/>
    <s v="No"/>
    <s v="No"/>
    <s v="No"/>
    <s v="No"/>
    <s v="No"/>
    <s v="No"/>
    <s v="No"/>
    <s v="No"/>
    <s v="No"/>
    <s v="No"/>
    <x v="2"/>
    <s v=""/>
    <s v=""/>
    <s v=""/>
    <s v=""/>
    <s v=""/>
    <s v=""/>
    <s v=""/>
    <s v=""/>
    <s v=""/>
    <s v=""/>
    <n v="1"/>
    <s v=""/>
  </r>
  <r>
    <x v="0"/>
    <m/>
    <m/>
    <m/>
    <m/>
    <s v="SANDHU NARINDER"/>
    <m/>
    <m/>
    <m/>
    <m/>
    <s v="SANDHU NARINDER KAUR"/>
    <s v="169 RIVERSIDE DR"/>
    <s v="BINGHAMTON"/>
    <s v="NY"/>
    <s v="13905-4246"/>
    <s v="PHYSICIAN"/>
    <s v="M"/>
    <s v="No"/>
    <s v="MMIS"/>
    <s v="SouthRPU"/>
    <s v="P"/>
    <m/>
    <m/>
    <m/>
    <s v="Narinder K Sandhu, MD"/>
    <s v="E0417435"/>
    <s v="No"/>
    <s v="No"/>
    <s v="No"/>
    <s v="No"/>
    <s v="No"/>
    <s v="No"/>
    <s v="No"/>
    <s v="No"/>
    <s v="No"/>
    <s v="No"/>
    <s v="No"/>
    <x v="1"/>
    <n v="1"/>
    <s v=""/>
    <s v=""/>
    <s v=""/>
    <s v=""/>
    <s v=""/>
    <s v=""/>
    <s v=""/>
    <s v=""/>
    <s v=""/>
    <s v=""/>
    <s v=""/>
  </r>
  <r>
    <x v="0"/>
    <m/>
    <m/>
    <m/>
    <m/>
    <s v="NARULA DISHA DR."/>
    <m/>
    <m/>
    <m/>
    <m/>
    <s v="NARULA DISHA"/>
    <s v="135 N MAIN STREET"/>
    <s v="CORTLAND"/>
    <s v="NY"/>
    <s v="13045-1208"/>
    <s v="PHYSICIAN"/>
    <s v="M"/>
    <s v="No"/>
    <s v="MMIS"/>
    <s v="NorthRPU"/>
    <s v="P"/>
    <m/>
    <m/>
    <m/>
    <s v="Narula Disha"/>
    <s v="E0412779"/>
    <s v="No"/>
    <s v="No"/>
    <s v="No"/>
    <s v="No"/>
    <s v="No"/>
    <s v="No"/>
    <s v="No"/>
    <s v="No"/>
    <s v="No"/>
    <s v="No"/>
    <s v="No"/>
    <x v="2"/>
    <s v=""/>
    <s v=""/>
    <s v=""/>
    <s v=""/>
    <s v=""/>
    <s v=""/>
    <s v=""/>
    <s v=""/>
    <s v=""/>
    <s v=""/>
    <n v="1"/>
    <s v=""/>
  </r>
  <r>
    <x v="0"/>
    <m/>
    <m/>
    <m/>
    <m/>
    <s v="NASH DONALD"/>
    <m/>
    <m/>
    <m/>
    <m/>
    <s v="NASH DONALD W              MD"/>
    <s v="MEDICENTER"/>
    <s v="BINGHAMTON"/>
    <s v="NY"/>
    <s v="13902"/>
    <s v="PHYSICIAN"/>
    <s v="M"/>
    <s v="No"/>
    <s v="MMIS"/>
    <s v="SouthRPU"/>
    <s v="P"/>
    <m/>
    <m/>
    <m/>
    <s v=""/>
    <s v="E0228647"/>
    <n v="1"/>
    <n v="1"/>
    <n v="0"/>
    <n v="1"/>
    <n v="1"/>
    <n v="0"/>
    <n v="0"/>
    <n v="0"/>
    <n v="0"/>
    <n v="0"/>
    <n v="0"/>
    <x v="2"/>
    <n v="1"/>
    <s v=""/>
    <s v=""/>
    <s v=""/>
    <s v=""/>
    <s v=""/>
    <s v=""/>
    <s v=""/>
    <s v=""/>
    <s v=""/>
    <n v="1"/>
    <s v=""/>
  </r>
  <r>
    <x v="0"/>
    <m/>
    <m/>
    <m/>
    <m/>
    <s v="HAJAR NASSER"/>
    <m/>
    <m/>
    <m/>
    <m/>
    <s v="HAJAR NASSER"/>
    <s v="179 N BROAD ST"/>
    <s v="NORWICH"/>
    <s v="NY"/>
    <s v="13815-1019"/>
    <s v="PHYSICIAN"/>
    <s v="M"/>
    <s v="No"/>
    <s v="MMIS"/>
    <s v="EastRPU"/>
    <s v="P"/>
    <m/>
    <m/>
    <m/>
    <s v=""/>
    <s v="E0341493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RONEY NATALIE DR."/>
    <m/>
    <m/>
    <m/>
    <m/>
    <s v="RONEY NATALIE M"/>
    <s v="1 GUTHRIE SQ"/>
    <s v="SAYRE"/>
    <s v="PA"/>
    <s v="18840-1625"/>
    <s v="PHYSICIAN"/>
    <s v="M"/>
    <s v="No"/>
    <s v="MMIS"/>
    <s v="SouthRPU"/>
    <s v="P"/>
    <m/>
    <m/>
    <m/>
    <s v="Natalie M. Roney, MD"/>
    <s v="E0309640"/>
    <s v="No"/>
    <s v="No"/>
    <s v="No"/>
    <s v="No"/>
    <s v="No"/>
    <s v="No"/>
    <s v="No"/>
    <s v="No"/>
    <s v="No"/>
    <s v="No"/>
    <s v="No"/>
    <x v="1"/>
    <n v="1"/>
    <s v=""/>
    <s v=""/>
    <s v=""/>
    <s v=""/>
    <s v=""/>
    <s v=""/>
    <s v=""/>
    <s v=""/>
    <s v=""/>
    <n v="1"/>
    <s v=""/>
  </r>
  <r>
    <x v="0"/>
    <m/>
    <m/>
    <m/>
    <m/>
    <s v="RAHMAN NATALIYA"/>
    <m/>
    <m/>
    <m/>
    <m/>
    <s v="RAHMAN NATALIYA"/>
    <s v="600 ROE AVE"/>
    <s v="ELMIRA"/>
    <s v="NY"/>
    <s v="14905-1629"/>
    <s v="PHYSICIAN"/>
    <s v="M"/>
    <s v="No"/>
    <s v="MMIS"/>
    <s v="WestRPU"/>
    <s v="P"/>
    <m/>
    <m/>
    <m/>
    <s v=""/>
    <s v="E0292833"/>
    <n v="0"/>
    <n v="0"/>
    <n v="0"/>
    <n v="0"/>
    <n v="0"/>
    <n v="0"/>
    <n v="0"/>
    <n v="0"/>
    <n v="0"/>
    <n v="0"/>
    <n v="0"/>
    <x v="2"/>
    <n v="1"/>
    <s v=""/>
    <s v=""/>
    <s v=""/>
    <s v=""/>
    <s v=""/>
    <s v=""/>
    <s v=""/>
    <s v=""/>
    <s v=""/>
    <n v="1"/>
    <s v=""/>
  </r>
  <r>
    <x v="0"/>
    <m/>
    <m/>
    <m/>
    <m/>
    <s v="NAUGHTON CONNIE"/>
    <m/>
    <m/>
    <m/>
    <m/>
    <s v="NAUGHTON CONNIE A"/>
    <s v="54 MAIN STREET"/>
    <s v="CANDOR"/>
    <s v="NY"/>
    <s v="13743-0001"/>
    <s v="PHYSICIAN"/>
    <s v="M"/>
    <s v="No"/>
    <s v="MMIS"/>
    <s v="SouthRPU"/>
    <s v="P"/>
    <m/>
    <m/>
    <m/>
    <s v=""/>
    <s v="E0067301"/>
    <n v="0"/>
    <n v="0"/>
    <n v="0"/>
    <n v="0"/>
    <n v="0"/>
    <n v="0"/>
    <n v="0"/>
    <n v="0"/>
    <n v="0"/>
    <n v="0"/>
    <n v="0"/>
    <x v="2"/>
    <n v="1"/>
    <s v=""/>
    <s v=""/>
    <s v=""/>
    <s v=""/>
    <s v=""/>
    <s v=""/>
    <s v=""/>
    <s v=""/>
    <s v=""/>
    <n v="1"/>
    <s v=""/>
  </r>
  <r>
    <x v="0"/>
    <m/>
    <m/>
    <m/>
    <m/>
    <s v="NAYO EUNICE"/>
    <m/>
    <m/>
    <m/>
    <m/>
    <s v="NAYO EUNICE YAAFIO MD"/>
    <s v="426 S FRANKLIN ST"/>
    <s v="WATKINS GLEN"/>
    <s v="NY"/>
    <s v="14891-1529"/>
    <s v="PHYSICIAN"/>
    <s v="M"/>
    <s v="No"/>
    <s v="MMIS"/>
    <s v="NorthRPU"/>
    <s v="P"/>
    <m/>
    <m/>
    <m/>
    <s v=""/>
    <s v="E0150711"/>
    <n v="1"/>
    <n v="1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CHOWDHURY NAZIF"/>
    <m/>
    <m/>
    <m/>
    <m/>
    <s v="CHOWDHURY NAZIF AHMED"/>
    <s v="33-57 HARRISON ST"/>
    <s v="JOHNSON CITY"/>
    <s v="NY"/>
    <s v="13790-2107"/>
    <s v="PHYSICIAN"/>
    <s v="M"/>
    <s v="No"/>
    <s v="MMIS"/>
    <s v="SouthRPU"/>
    <s v="P"/>
    <m/>
    <m/>
    <m/>
    <s v=""/>
    <s v="E0295095"/>
    <n v="1"/>
    <n v="1"/>
    <n v="0"/>
    <n v="1"/>
    <n v="1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SHALLISH NEIL"/>
    <m/>
    <m/>
    <m/>
    <m/>
    <s v="SHALLISH NEIL FREDERICK"/>
    <s v="209 W STATE ST"/>
    <s v="ITHACA"/>
    <s v="NY"/>
    <s v="14850-5429"/>
    <s v="PHYSICIAN"/>
    <s v="M"/>
    <s v="No"/>
    <s v="MMIS"/>
    <s v="NorthRPU"/>
    <s v="P"/>
    <m/>
    <m/>
    <m/>
    <s v=""/>
    <s v="E0229138"/>
    <n v="1"/>
    <n v="1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NEWMAN JAMES"/>
    <m/>
    <m/>
    <m/>
    <m/>
    <s v="NEWMAN JAMES PAUL DO"/>
    <s v="CORTLAND MEMORIAL"/>
    <s v="CORTLAND"/>
    <s v="NY"/>
    <s v="13045-1206"/>
    <s v="PHYSICIAN"/>
    <s v="M"/>
    <s v="No"/>
    <s v="MMIS"/>
    <s v="NorthRPU"/>
    <s v="P"/>
    <m/>
    <m/>
    <m/>
    <s v=""/>
    <s v="E0089130"/>
    <n v="1"/>
    <n v="1"/>
    <n v="0"/>
    <n v="0"/>
    <n v="1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NEWMAN LISA DR."/>
    <m/>
    <m/>
    <m/>
    <m/>
    <s v="NEWMAN LISA FAITH DO"/>
    <s v="LOURDES FAM PRCT"/>
    <s v="OWEGO"/>
    <s v="NY"/>
    <s v="13827-1620"/>
    <s v="PHYSICIAN"/>
    <s v="M"/>
    <s v="No"/>
    <s v="MMIS"/>
    <s v="SouthRPU"/>
    <s v="P"/>
    <m/>
    <m/>
    <m/>
    <s v="NEWMAN LISA DR."/>
    <s v="E0073121"/>
    <s v="No"/>
    <s v="No"/>
    <s v="No"/>
    <s v="No"/>
    <s v="No"/>
    <s v="No"/>
    <s v="No"/>
    <s v="No"/>
    <s v="No"/>
    <s v="No"/>
    <s v="No"/>
    <x v="2"/>
    <s v=""/>
    <s v=""/>
    <s v=""/>
    <s v=""/>
    <s v=""/>
    <s v=""/>
    <s v=""/>
    <s v=""/>
    <s v=""/>
    <s v=""/>
    <n v="1"/>
    <s v=""/>
  </r>
  <r>
    <x v="0"/>
    <m/>
    <m/>
    <m/>
    <m/>
    <s v="KENHART NICHOLAS"/>
    <m/>
    <m/>
    <m/>
    <m/>
    <s v="KENHART NICHOLAS J"/>
    <s v="65 PENNSYLVANIA AVE"/>
    <s v="BINGHAMTON"/>
    <s v="NY"/>
    <s v="13903-1651"/>
    <s v="PHYSICIAN"/>
    <s v="M"/>
    <s v="No"/>
    <s v="MMIS"/>
    <s v="SouthRPU"/>
    <s v="P"/>
    <m/>
    <m/>
    <m/>
    <s v=""/>
    <s v="E0308960"/>
    <n v="0"/>
    <n v="0"/>
    <n v="0"/>
    <n v="0"/>
    <n v="0"/>
    <n v="0"/>
    <n v="0"/>
    <n v="0"/>
    <n v="0"/>
    <n v="0"/>
    <n v="0"/>
    <x v="2"/>
    <n v="1"/>
    <s v=""/>
    <s v=""/>
    <s v=""/>
    <s v=""/>
    <s v=""/>
    <s v=""/>
    <s v=""/>
    <s v=""/>
    <s v=""/>
    <n v="1"/>
    <s v=""/>
  </r>
  <r>
    <x v="0"/>
    <m/>
    <m/>
    <m/>
    <m/>
    <s v="TARNOWSKI NICHOLAS"/>
    <m/>
    <m/>
    <m/>
    <m/>
    <s v="TARNOWSKI NICHOLAS J"/>
    <s v="1302 E MAIN ST"/>
    <s v="ENDICOTT"/>
    <s v="NY"/>
    <s v="13760-5430"/>
    <s v="PHYSICIAN"/>
    <s v="M"/>
    <s v="No"/>
    <s v="MMIS"/>
    <s v="SouthRPU"/>
    <s v="P"/>
    <m/>
    <m/>
    <m/>
    <s v=""/>
    <s v="E0341862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1"/>
    <m/>
    <m/>
    <m/>
    <m/>
    <s v="TARRICONE NICHOLAS DR."/>
    <m/>
    <m/>
    <m/>
    <m/>
    <s v="TARRICONE NICHOLAS         MD"/>
    <s v="21 FORD AVE"/>
    <s v="ONEONTA"/>
    <s v="NY"/>
    <s v="13820-1817"/>
    <s v="PHYSICIAN"/>
    <s v="M"/>
    <s v="No"/>
    <s v="MMIS"/>
    <s v="EastRPU"/>
    <s v="P"/>
    <m/>
    <m/>
    <m/>
    <s v=""/>
    <s v="E0203078"/>
    <n v="1"/>
    <n v="1"/>
    <n v="0"/>
    <n v="1"/>
    <n v="1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NICHOLS SHARI"/>
    <m/>
    <m/>
    <m/>
    <m/>
    <s v="NICHOLS SHARI LOU  DPM"/>
    <s v="65 PENNSYLVANIA AVE STE 200"/>
    <s v="BINGHAMTON"/>
    <s v="NY"/>
    <s v="13903-1651"/>
    <s v="PODIATRIST"/>
    <s v="M"/>
    <s v="No"/>
    <s v="MMIS"/>
    <s v="SouthRPU"/>
    <s v="P"/>
    <m/>
    <m/>
    <m/>
    <s v=""/>
    <s v="E0109860"/>
    <n v="1"/>
    <n v="1"/>
    <n v="0"/>
    <n v="1"/>
    <n v="1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GAUBE NINA"/>
    <m/>
    <m/>
    <m/>
    <m/>
    <s v="GAUBE NINA C"/>
    <s v="161 RIVERSIDE DR STE 210"/>
    <s v="BINGHAMTON"/>
    <s v="NY"/>
    <s v="13905-4178"/>
    <s v="PHYSICIAN"/>
    <s v="M"/>
    <s v="No"/>
    <s v="MMIS"/>
    <s v="SouthRPU"/>
    <s v="P"/>
    <m/>
    <m/>
    <m/>
    <s v="Nina C. Gaube, FNP"/>
    <s v="E0369259"/>
    <s v="No"/>
    <s v="No"/>
    <s v="No"/>
    <s v="No"/>
    <s v="No"/>
    <s v="No"/>
    <s v="No"/>
    <s v="No"/>
    <s v="No"/>
    <s v="No"/>
    <s v="No"/>
    <x v="1"/>
    <n v="1"/>
    <s v=""/>
    <s v=""/>
    <s v=""/>
    <s v=""/>
    <s v=""/>
    <s v=""/>
    <s v=""/>
    <s v=""/>
    <s v=""/>
    <s v=""/>
    <s v=""/>
  </r>
  <r>
    <x v="0"/>
    <m/>
    <m/>
    <m/>
    <m/>
    <s v="PEGRAM NINA"/>
    <m/>
    <m/>
    <m/>
    <m/>
    <s v="PEGRAM NINA E S"/>
    <s v="10 GRAHAM RD W"/>
    <s v="ITHACA"/>
    <s v="NY"/>
    <s v="14850-1055"/>
    <s v="PHYSICIAN"/>
    <s v="M"/>
    <s v="No"/>
    <s v="MMIS"/>
    <s v="NorthRPU"/>
    <s v="P"/>
    <m/>
    <m/>
    <m/>
    <s v="Nina Pegram"/>
    <s v="E0371710"/>
    <s v="No"/>
    <s v="No"/>
    <s v="No"/>
    <s v="No"/>
    <s v="No"/>
    <s v="No"/>
    <s v="No"/>
    <s v="No"/>
    <s v="No"/>
    <s v="No"/>
    <s v="No"/>
    <x v="2"/>
    <s v=""/>
    <s v=""/>
    <s v=""/>
    <s v=""/>
    <s v=""/>
    <s v=""/>
    <s v=""/>
    <s v=""/>
    <s v=""/>
    <s v=""/>
    <s v=""/>
    <s v=""/>
  </r>
  <r>
    <x v="0"/>
    <m/>
    <m/>
    <m/>
    <m/>
    <s v="ALVI NISAR DR."/>
    <m/>
    <m/>
    <m/>
    <m/>
    <s v="ALVI NISAR AHMED MD"/>
    <m/>
    <s v="BINGHAMTON"/>
    <s v="NY"/>
    <s v="13905-4198"/>
    <s v="PHYSICIAN"/>
    <s v="M"/>
    <s v="No"/>
    <s v="MMIS"/>
    <s v="SouthRPU"/>
    <s v="P"/>
    <m/>
    <m/>
    <m/>
    <s v=""/>
    <s v="E0038297"/>
    <n v="0"/>
    <n v="0"/>
    <n v="0"/>
    <n v="0"/>
    <n v="0"/>
    <n v="0"/>
    <n v="0"/>
    <n v="0"/>
    <n v="0"/>
    <n v="0"/>
    <n v="0"/>
    <x v="2"/>
    <n v="1"/>
    <s v=""/>
    <s v=""/>
    <s v=""/>
    <s v=""/>
    <s v=""/>
    <s v=""/>
    <s v=""/>
    <s v=""/>
    <s v=""/>
    <s v=""/>
    <s v=""/>
  </r>
  <r>
    <x v="0"/>
    <m/>
    <m/>
    <m/>
    <m/>
    <s v="NIXON ENID"/>
    <m/>
    <m/>
    <m/>
    <m/>
    <s v="NIXON ENID ESTHER"/>
    <s v="4417 VESTAL PKWY E"/>
    <s v="VESTAL"/>
    <s v="NY"/>
    <s v="13850-3556"/>
    <s v="PHYSICIAN"/>
    <s v="M"/>
    <s v="No"/>
    <s v="MMIS"/>
    <s v="SouthRPU"/>
    <s v="P"/>
    <m/>
    <m/>
    <m/>
    <s v="NIXON ENID"/>
    <s v="E0365475"/>
    <s v="No"/>
    <s v="No"/>
    <s v="No"/>
    <s v="No"/>
    <s v="No"/>
    <s v="No"/>
    <s v="No"/>
    <s v="No"/>
    <s v="No"/>
    <s v="No"/>
    <s v="No"/>
    <x v="1"/>
    <n v="1"/>
    <s v=""/>
    <s v=""/>
    <s v=""/>
    <s v=""/>
    <s v=""/>
    <s v=""/>
    <s v=""/>
    <s v=""/>
    <s v=""/>
    <s v=""/>
    <s v=""/>
  </r>
  <r>
    <x v="0"/>
    <m/>
    <m/>
    <m/>
    <m/>
    <s v="RUFF NOREEN MS."/>
    <m/>
    <m/>
    <m/>
    <m/>
    <s v="RUFF NOREEN"/>
    <s v="230 STEUBEN ST"/>
    <s v="MONTOUR FALLS"/>
    <s v="NY"/>
    <s v="14865-9648"/>
    <s v="PHYSICIAN"/>
    <s v="M"/>
    <s v="No"/>
    <s v="MMIS"/>
    <s v="NorthRPU"/>
    <s v="P"/>
    <m/>
    <m/>
    <m/>
    <s v=""/>
    <s v="E0325273"/>
    <n v="1"/>
    <n v="1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GRANT NORIE"/>
    <m/>
    <m/>
    <m/>
    <m/>
    <s v="GRANT NORIE"/>
    <s v="179 RIVER ST"/>
    <s v="ONEONTA"/>
    <s v="NY"/>
    <s v="13820-2239"/>
    <s v="PHYSICIAN"/>
    <s v="M"/>
    <s v="No"/>
    <s v="MMIS"/>
    <s v="EastRPU"/>
    <s v="P"/>
    <m/>
    <m/>
    <m/>
    <s v=""/>
    <s v="E0365750"/>
    <n v="0"/>
    <n v="0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1"/>
    <m/>
    <m/>
    <m/>
    <m/>
    <s v="NORTHEAST PARENT AND CHILD SOCIETY, INC."/>
    <m/>
    <m/>
    <m/>
    <m/>
    <s v="NORTHEAST PARENT CHILD SOC"/>
    <s v="120 PARK AVE"/>
    <s v="SCHENECTADY"/>
    <s v="NY"/>
    <s v="12304-1623"/>
    <s v="CHILD CARE INSTITUTION"/>
    <s v="M"/>
    <s v="No"/>
    <s v="MMIS"/>
    <s v="SouthRPU"/>
    <s v="P"/>
    <m/>
    <m/>
    <m/>
    <s v="NORTHEAST PARENT AND CHILD SOCIETY, INC."/>
    <s v="E0221254"/>
    <s v="No"/>
    <s v="No"/>
    <s v="No"/>
    <s v="No"/>
    <s v="No"/>
    <s v="No"/>
    <s v="No"/>
    <s v="No"/>
    <s v="No"/>
    <s v="No"/>
    <s v="No"/>
    <x v="1"/>
    <s v=""/>
    <s v=""/>
    <s v=""/>
    <s v=""/>
    <s v=""/>
    <s v=""/>
    <s v=""/>
    <s v=""/>
    <s v=""/>
    <s v=""/>
    <s v=""/>
    <n v="1"/>
  </r>
  <r>
    <x v="1"/>
    <m/>
    <m/>
    <m/>
    <m/>
    <s v="NORTHEAST PARENT AND CHILD SOCIETY, INC."/>
    <m/>
    <m/>
    <m/>
    <m/>
    <s v="NORTHEAST PARENT CHILD SOCIET"/>
    <s v="530 FRANKLIN ST STE 2"/>
    <s v="SCHENECTADY"/>
    <s v="NY"/>
    <s v="12305-2011"/>
    <s v="DIAGNOSTIC AND TREATMENT CENTER"/>
    <s v="M"/>
    <s v="No"/>
    <s v="MMIS"/>
    <s v="SouthRPU"/>
    <s v="P"/>
    <m/>
    <m/>
    <m/>
    <s v=""/>
    <s v="E0033735"/>
    <n v="0"/>
    <n v="0"/>
    <n v="0"/>
    <n v="0"/>
    <n v="0"/>
    <n v="0"/>
    <n v="0"/>
    <n v="0"/>
    <n v="0"/>
    <n v="0"/>
    <n v="0"/>
    <x v="1"/>
    <s v=""/>
    <s v=""/>
    <s v=""/>
    <s v=""/>
    <n v="1"/>
    <s v=""/>
    <s v=""/>
    <s v=""/>
    <s v=""/>
    <s v=""/>
    <n v="1"/>
    <s v=""/>
  </r>
  <r>
    <x v="0"/>
    <m/>
    <m/>
    <m/>
    <m/>
    <s v="NORTHEAST PEDIATRICS &amp; ADOLESCENT MEDICINE, LLP"/>
    <m/>
    <m/>
    <m/>
    <m/>
    <s v="NORTHEAST PEDIATRICS &amp; ADOLESCENT"/>
    <s v="10 GRAHAM RD W"/>
    <s v="ITHACA"/>
    <s v="NY"/>
    <s v="14850-1055"/>
    <s v="PHYSICIANS GROUP"/>
    <s v="M"/>
    <s v="No"/>
    <s v="MMIS"/>
    <s v="NorthRPU"/>
    <s v="P"/>
    <m/>
    <m/>
    <m/>
    <s v="NORTHEAST PEDIATRICS &amp; ADOLESCENT MEDICINE, LLP"/>
    <s v="E0120263"/>
    <s v="No"/>
    <s v="No"/>
    <s v="No"/>
    <s v="No"/>
    <s v="No"/>
    <s v="No"/>
    <s v="No"/>
    <s v="No"/>
    <s v="No"/>
    <s v="No"/>
    <s v="No"/>
    <x v="1"/>
    <s v=""/>
    <s v=""/>
    <s v=""/>
    <s v=""/>
    <s v=""/>
    <s v=""/>
    <s v=""/>
    <s v=""/>
    <s v=""/>
    <s v=""/>
    <n v="1"/>
    <s v=""/>
  </r>
  <r>
    <x v="0"/>
    <m/>
    <m/>
    <m/>
    <m/>
    <s v="NORVILLE KIM DR."/>
    <m/>
    <m/>
    <m/>
    <m/>
    <s v="NORVILLE KIM JOANNE"/>
    <s v="1 GUTHRIE SQ"/>
    <s v="SAYRE"/>
    <s v="PA"/>
    <s v="18840-1625"/>
    <s v="PHYSICIAN"/>
    <s v="M"/>
    <s v="No"/>
    <s v="MMIS"/>
    <s v="SouthRPU"/>
    <s v="P"/>
    <m/>
    <m/>
    <m/>
    <s v=""/>
    <s v="E0027778"/>
    <n v="1"/>
    <n v="1"/>
    <n v="0"/>
    <n v="0"/>
    <n v="0"/>
    <n v="0"/>
    <n v="0"/>
    <n v="0"/>
    <n v="0"/>
    <n v="1"/>
    <n v="0"/>
    <x v="1"/>
    <n v="1"/>
    <s v=""/>
    <s v=""/>
    <s v=""/>
    <s v=""/>
    <s v=""/>
    <s v=""/>
    <s v=""/>
    <s v=""/>
    <s v=""/>
    <s v=""/>
    <s v=""/>
  </r>
  <r>
    <x v="0"/>
    <m/>
    <m/>
    <m/>
    <m/>
    <s v="NOVAK MATTHEW DR."/>
    <m/>
    <m/>
    <m/>
    <m/>
    <s v="NOVAK MATTHEW J MD"/>
    <s v="1 GUTHRIE SQ"/>
    <s v="SAYRE"/>
    <s v="PA"/>
    <s v="18840-1625"/>
    <s v="PHYSICIAN"/>
    <s v="M"/>
    <s v="No"/>
    <s v="MMIS"/>
    <s v="SouthRPU"/>
    <s v="P"/>
    <m/>
    <m/>
    <m/>
    <s v=""/>
    <s v="E0007059"/>
    <n v="1"/>
    <n v="1"/>
    <n v="0"/>
    <n v="0"/>
    <n v="0"/>
    <n v="0"/>
    <n v="0"/>
    <n v="0"/>
    <n v="0"/>
    <n v="1"/>
    <n v="0"/>
    <x v="1"/>
    <n v="1"/>
    <s v=""/>
    <s v=""/>
    <s v=""/>
    <s v=""/>
    <s v=""/>
    <s v=""/>
    <s v=""/>
    <s v=""/>
    <s v=""/>
    <n v="1"/>
    <s v=""/>
  </r>
  <r>
    <x v="1"/>
    <m/>
    <m/>
    <m/>
    <m/>
    <s v="NULTON MICHELLE"/>
    <m/>
    <m/>
    <m/>
    <m/>
    <s v="NULTON MICHELLE ANN"/>
    <s v="91 CHENANGO BRIDGE RD"/>
    <s v="BINGHAMTON"/>
    <s v="NY"/>
    <s v="13901-1293"/>
    <s v="PHYSICIAN"/>
    <s v="M"/>
    <s v="No"/>
    <s v="MMIS"/>
    <s v="SouthRPU"/>
    <s v="P"/>
    <m/>
    <m/>
    <m/>
    <s v=""/>
    <s v="E0120995"/>
    <n v="0"/>
    <n v="0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s v="187 Northern Concourse"/>
    <s v="N. Syracuse"/>
    <s v="NY"/>
    <s v="13212"/>
    <m/>
    <m/>
    <m/>
    <m/>
    <m/>
    <m/>
    <m/>
    <m/>
    <m/>
    <m/>
    <m/>
    <s v="M"/>
    <s v="No"/>
    <s v="No NPI or MMIS"/>
    <s v="SouthRPU"/>
    <s v="P"/>
    <m/>
    <m/>
    <m/>
    <s v="NYS Office for People with Development Disabilities"/>
    <m/>
    <s v="No"/>
    <s v="No"/>
    <s v="No"/>
    <s v="No"/>
    <s v="No"/>
    <s v="No"/>
    <s v="No"/>
    <s v="No"/>
    <s v="No"/>
    <s v="No"/>
    <s v="No"/>
    <x v="1"/>
    <s v=""/>
    <s v=""/>
    <s v=""/>
    <s v=""/>
    <s v=""/>
    <s v=""/>
    <s v=""/>
    <s v=""/>
    <s v=""/>
    <n v="1"/>
    <s v=""/>
    <s v=""/>
  </r>
  <r>
    <x v="1"/>
    <m/>
    <m/>
    <m/>
    <m/>
    <s v="NYSARC INC., CHEMUNG COUNTY CHAPTER"/>
    <m/>
    <m/>
    <m/>
    <m/>
    <s v="NYSARC INC CHEMUNG CO CHPTER"/>
    <s v="711 SULLIVAN ST"/>
    <s v="ELMIRA"/>
    <s v="NY"/>
    <s v="14901-2322"/>
    <s v="DIAGNOSTIC AND TREATMENT CENTER"/>
    <s v="M"/>
    <s v="No"/>
    <s v="MMIS"/>
    <s v="WestRPU"/>
    <s v="P"/>
    <m/>
    <m/>
    <m/>
    <s v="NYSARC INC CHEMUNG CO CHPTER"/>
    <s v="E0014480"/>
    <s v="No"/>
    <s v="No"/>
    <s v="No"/>
    <s v="No"/>
    <s v="No"/>
    <s v="No"/>
    <s v="No"/>
    <s v="No"/>
    <s v="No"/>
    <s v="No"/>
    <s v="No"/>
    <x v="1"/>
    <s v=""/>
    <s v=""/>
    <s v=""/>
    <s v=""/>
    <n v="1"/>
    <s v=""/>
    <s v=""/>
    <s v=""/>
    <s v=""/>
    <s v=""/>
    <n v="1"/>
    <s v=""/>
  </r>
  <r>
    <x v="0"/>
    <s v="125 Cutler Pond Road"/>
    <s v="Binghamton"/>
    <s v="NY"/>
    <s v="13905"/>
    <m/>
    <m/>
    <m/>
    <m/>
    <m/>
    <m/>
    <m/>
    <m/>
    <m/>
    <m/>
    <m/>
    <s v="M"/>
    <s v="No"/>
    <s v="No NPI or MMIS"/>
    <s v="SouthRPU"/>
    <s v="P"/>
    <m/>
    <m/>
    <m/>
    <s v="NYSARC, Inc., Broome, Tioga County Chapter (dba ACHIEVE)"/>
    <m/>
    <s v="No"/>
    <s v="No"/>
    <s v="No"/>
    <s v="No"/>
    <s v="No"/>
    <s v="No"/>
    <s v="No"/>
    <s v="No"/>
    <s v="No"/>
    <s v="No"/>
    <s v="No"/>
    <x v="1"/>
    <s v=""/>
    <s v=""/>
    <s v=""/>
    <s v=""/>
    <s v=""/>
    <s v=""/>
    <s v=""/>
    <s v=""/>
    <s v=""/>
    <n v="1"/>
    <s v=""/>
    <s v=""/>
  </r>
  <r>
    <x v="0"/>
    <m/>
    <m/>
    <m/>
    <m/>
    <s v="OBRIEN JAMES"/>
    <m/>
    <m/>
    <m/>
    <m/>
    <s v="OBRIEN JAMES K MD"/>
    <s v="179 N BROAD ST"/>
    <s v="NORWICH"/>
    <s v="NY"/>
    <s v="13815-1019"/>
    <s v="PHYSICIAN"/>
    <s v="M"/>
    <s v="No"/>
    <s v="MMIS"/>
    <s v="EastRPU"/>
    <s v="P"/>
    <m/>
    <m/>
    <m/>
    <s v=""/>
    <s v="E0147486"/>
    <n v="1"/>
    <n v="1"/>
    <n v="0"/>
    <n v="1"/>
    <n v="1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1"/>
    <m/>
    <m/>
    <m/>
    <m/>
    <s v="ODIFE AMECHI DR."/>
    <m/>
    <m/>
    <m/>
    <m/>
    <s v="ODIFE AMECHI VALENTINE JR MD"/>
    <s v="130 CENTER WAY"/>
    <s v="CORNING"/>
    <s v="NY"/>
    <s v="14830-2255"/>
    <s v="PHYSICIAN"/>
    <s v="M"/>
    <s v="No"/>
    <s v="MMIS"/>
    <s v="WestRPU"/>
    <s v="P"/>
    <m/>
    <m/>
    <m/>
    <s v=""/>
    <s v="E0298193"/>
    <n v="1"/>
    <n v="1"/>
    <n v="0"/>
    <n v="0"/>
    <n v="0"/>
    <n v="0"/>
    <n v="0"/>
    <n v="1"/>
    <n v="1"/>
    <n v="1"/>
    <n v="0"/>
    <x v="2"/>
    <s v=""/>
    <s v=""/>
    <s v=""/>
    <s v=""/>
    <s v=""/>
    <s v=""/>
    <s v=""/>
    <s v=""/>
    <s v=""/>
    <s v=""/>
    <n v="1"/>
    <s v=""/>
  </r>
  <r>
    <x v="1"/>
    <m/>
    <m/>
    <m/>
    <m/>
    <s v="OLBRYS KATHLEEN"/>
    <m/>
    <m/>
    <m/>
    <m/>
    <s v="OLBRYS KATHLEEN M"/>
    <s v="303 MAIN ST"/>
    <s v="BINGHAMTON"/>
    <s v="NY"/>
    <s v="13905-2539"/>
    <s v="PHYSICIAN"/>
    <s v="M"/>
    <s v="No"/>
    <s v="MMIS"/>
    <s v="SouthRPU"/>
    <s v="P"/>
    <m/>
    <m/>
    <m/>
    <s v=""/>
    <s v="E0067295"/>
    <n v="1"/>
    <n v="1"/>
    <n v="0"/>
    <n v="1"/>
    <n v="1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ALENTYEV OLGA"/>
    <m/>
    <m/>
    <m/>
    <m/>
    <s v="ALENTYEV OLGA"/>
    <s v="169 RIVERSIDE DR"/>
    <s v="BINGHAMTON"/>
    <s v="NY"/>
    <s v="13905-4246"/>
    <s v="PHYSICIAN"/>
    <s v="M"/>
    <s v="No"/>
    <s v="MMIS"/>
    <s v="SouthRPU"/>
    <s v="P"/>
    <m/>
    <m/>
    <m/>
    <s v="Olga Alentyev, FNP"/>
    <s v="E0402508"/>
    <s v="No"/>
    <s v="No"/>
    <s v="No"/>
    <s v="No"/>
    <s v="No"/>
    <s v="No"/>
    <s v="No"/>
    <s v="No"/>
    <s v="No"/>
    <s v="No"/>
    <s v="No"/>
    <x v="1"/>
    <n v="1"/>
    <s v=""/>
    <s v=""/>
    <s v=""/>
    <s v=""/>
    <s v=""/>
    <s v=""/>
    <s v=""/>
    <s v=""/>
    <s v=""/>
    <s v=""/>
    <s v=""/>
  </r>
  <r>
    <x v="0"/>
    <m/>
    <m/>
    <m/>
    <m/>
    <s v="VERBITSKIY OLGA"/>
    <m/>
    <m/>
    <m/>
    <m/>
    <s v="VERBITSKIY OLGA"/>
    <s v="116 N JENSEN RD"/>
    <s v="VESTAL"/>
    <s v="NY"/>
    <s v="13850-2128"/>
    <s v="PHYSICIAN"/>
    <s v="M"/>
    <s v="No"/>
    <s v="MMIS"/>
    <s v="SouthRPU"/>
    <s v="P"/>
    <m/>
    <m/>
    <m/>
    <s v=""/>
    <s v="E0313644"/>
    <n v="1"/>
    <n v="1"/>
    <n v="0"/>
    <n v="1"/>
    <n v="1"/>
    <n v="0"/>
    <n v="0"/>
    <n v="1"/>
    <n v="0"/>
    <n v="0"/>
    <n v="1"/>
    <x v="1"/>
    <n v="1"/>
    <s v=""/>
    <s v=""/>
    <s v=""/>
    <s v=""/>
    <s v=""/>
    <s v=""/>
    <s v=""/>
    <s v=""/>
    <s v=""/>
    <n v="1"/>
    <s v=""/>
  </r>
  <r>
    <x v="0"/>
    <m/>
    <m/>
    <m/>
    <m/>
    <s v="OLMSTEAD SAM"/>
    <m/>
    <m/>
    <m/>
    <m/>
    <s v="OLMSTEAD SAM"/>
    <s v="42 MITCHELL AVE"/>
    <s v="BINGHAMTON"/>
    <s v="NY"/>
    <s v="13902"/>
    <s v="CLINICAL SOCIAL WORKER (CSW)"/>
    <s v="M"/>
    <s v="No"/>
    <s v="MMIS"/>
    <s v="SouthRPU"/>
    <s v="P"/>
    <m/>
    <m/>
    <m/>
    <s v=""/>
    <s v="E0020613"/>
    <n v="0"/>
    <n v="0"/>
    <n v="0"/>
    <n v="0"/>
    <n v="0"/>
    <n v="0"/>
    <n v="0"/>
    <n v="0"/>
    <n v="0"/>
    <n v="0"/>
    <n v="0"/>
    <x v="1"/>
    <n v="1"/>
    <s v=""/>
    <s v=""/>
    <s v=""/>
    <n v="1"/>
    <s v=""/>
    <s v=""/>
    <s v=""/>
    <s v=""/>
    <s v=""/>
    <s v=""/>
    <s v=""/>
  </r>
  <r>
    <x v="0"/>
    <m/>
    <m/>
    <m/>
    <m/>
    <s v="OLSON KIMBERLY MRS."/>
    <m/>
    <m/>
    <m/>
    <m/>
    <s v="OLSON KIMBERLY"/>
    <s v="33-57 HARRISON STREE"/>
    <s v="JOHNSON CITY"/>
    <s v="NY"/>
    <s v="13790"/>
    <s v="THERAPIST"/>
    <s v="M"/>
    <s v="No"/>
    <s v="MMIS"/>
    <s v="SouthRPU"/>
    <s v="P"/>
    <m/>
    <m/>
    <m/>
    <s v="OLSON KIMBERLY MRS."/>
    <s v="E0339796"/>
    <s v="No"/>
    <s v="No"/>
    <s v="No"/>
    <s v="No"/>
    <s v="No"/>
    <s v="No"/>
    <s v="No"/>
    <s v="No"/>
    <s v="No"/>
    <s v="No"/>
    <s v="No"/>
    <x v="1"/>
    <s v=""/>
    <s v=""/>
    <s v=""/>
    <s v=""/>
    <s v=""/>
    <s v=""/>
    <s v=""/>
    <s v=""/>
    <s v=""/>
    <s v=""/>
    <s v=""/>
    <n v="1"/>
  </r>
  <r>
    <x v="0"/>
    <m/>
    <m/>
    <m/>
    <m/>
    <m/>
    <m/>
    <m/>
    <m/>
    <m/>
    <s v="CHALLENGE INDUSTRIES"/>
    <s v="950 DANBY RD STE 179"/>
    <s v="ITHACA"/>
    <s v="NY"/>
    <s v="14850-5793"/>
    <s v="HOME HEALTH AGENCY"/>
    <s v="M"/>
    <s v="No"/>
    <s v="MMIS"/>
    <s v="NorthRPU"/>
    <s v="P"/>
    <m/>
    <m/>
    <m/>
    <s v=""/>
    <s v="E0421961"/>
    <n v="1"/>
    <n v="0"/>
    <n v="0"/>
    <n v="1"/>
    <n v="1"/>
    <n v="0"/>
    <n v="0"/>
    <n v="0"/>
    <n v="0"/>
    <n v="0"/>
    <n v="0"/>
    <x v="1"/>
    <s v=""/>
    <s v=""/>
    <s v=""/>
    <n v="1"/>
    <s v=""/>
    <s v=""/>
    <s v=""/>
    <s v=""/>
    <s v=""/>
    <s v=""/>
    <s v=""/>
    <s v=""/>
  </r>
  <r>
    <x v="0"/>
    <m/>
    <m/>
    <m/>
    <m/>
    <m/>
    <m/>
    <m/>
    <m/>
    <m/>
    <s v="CHENANGO ARC"/>
    <s v="17 MIDLAND DR"/>
    <s v="NORWICH"/>
    <s v="NY"/>
    <s v="13815-1914"/>
    <s v="HOME HEALTH AGENCY"/>
    <s v="M"/>
    <s v="No"/>
    <s v="MMIS"/>
    <s v="EastRPU"/>
    <s v="P"/>
    <m/>
    <m/>
    <m/>
    <s v=""/>
    <s v="E0100343"/>
    <n v="0"/>
    <n v="0"/>
    <n v="0"/>
    <n v="0"/>
    <n v="0"/>
    <n v="0"/>
    <n v="0"/>
    <n v="0"/>
    <n v="0"/>
    <n v="0"/>
    <n v="0"/>
    <x v="1"/>
    <s v=""/>
    <s v=""/>
    <s v=""/>
    <n v="1"/>
    <s v=""/>
    <s v=""/>
    <s v=""/>
    <s v=""/>
    <s v=""/>
    <s v=""/>
    <s v=""/>
    <s v=""/>
  </r>
  <r>
    <x v="0"/>
    <m/>
    <m/>
    <m/>
    <m/>
    <m/>
    <m/>
    <m/>
    <m/>
    <m/>
    <s v="DELAWARE CO NYSARC-BR"/>
    <s v="34570 STATE HIGHWAY 10 STE 1"/>
    <s v="WALTON"/>
    <s v="NY"/>
    <s v="13856-4142"/>
    <s v="HOME HEALTH AGENCY"/>
    <s v="M"/>
    <s v="No"/>
    <s v="MMIS"/>
    <s v="EastRPU"/>
    <s v="P"/>
    <m/>
    <m/>
    <m/>
    <s v=""/>
    <s v="E0100250"/>
    <n v="0"/>
    <n v="0"/>
    <n v="0"/>
    <n v="0"/>
    <n v="0"/>
    <n v="0"/>
    <n v="0"/>
    <n v="0"/>
    <n v="0"/>
    <n v="0"/>
    <n v="0"/>
    <x v="1"/>
    <s v=""/>
    <s v=""/>
    <s v=""/>
    <n v="1"/>
    <s v=""/>
    <s v=""/>
    <s v=""/>
    <s v=""/>
    <s v=""/>
    <s v=""/>
    <s v=""/>
    <s v=""/>
  </r>
  <r>
    <x v="0"/>
    <m/>
    <m/>
    <m/>
    <m/>
    <m/>
    <m/>
    <m/>
    <m/>
    <m/>
    <s v="DELAWARE OPPORTUNITIES INC"/>
    <s v="35430 STATE HIGHWAY 10"/>
    <s v="HAMDEN"/>
    <s v="NY"/>
    <s v="13782-1112"/>
    <s v="HOME HEALTH AGENCY"/>
    <s v="M"/>
    <s v="No"/>
    <s v="MMIS"/>
    <s v="EastRPU"/>
    <s v="P"/>
    <m/>
    <m/>
    <m/>
    <s v=""/>
    <s v="E0100249"/>
    <n v="0"/>
    <n v="0"/>
    <n v="0"/>
    <n v="0"/>
    <n v="0"/>
    <n v="0"/>
    <n v="0"/>
    <n v="0"/>
    <n v="0"/>
    <n v="0"/>
    <n v="0"/>
    <x v="1"/>
    <s v=""/>
    <s v=""/>
    <s v=""/>
    <n v="1"/>
    <s v=""/>
    <s v=""/>
    <s v=""/>
    <s v=""/>
    <s v=""/>
    <s v=""/>
    <s v=""/>
    <s v=""/>
  </r>
  <r>
    <x v="0"/>
    <m/>
    <m/>
    <m/>
    <m/>
    <m/>
    <m/>
    <m/>
    <m/>
    <m/>
    <s v="FRANZISKA RACKER CTR-BR"/>
    <s v="3226 WILKINS RD"/>
    <s v="ITHACA"/>
    <s v="NY"/>
    <s v="14850-9568"/>
    <s v="HOME HEALTH AGENCY"/>
    <s v="M"/>
    <s v="No"/>
    <s v="MMIS"/>
    <s v="NorthRPU"/>
    <s v="P"/>
    <m/>
    <m/>
    <m/>
    <s v=""/>
    <s v="E0099756"/>
    <n v="0"/>
    <n v="0"/>
    <n v="0"/>
    <n v="0"/>
    <n v="0"/>
    <n v="0"/>
    <n v="0"/>
    <n v="0"/>
    <n v="0"/>
    <n v="0"/>
    <n v="0"/>
    <x v="1"/>
    <s v=""/>
    <s v=""/>
    <s v=""/>
    <n v="1"/>
    <s v=""/>
    <s v=""/>
    <s v=""/>
    <s v=""/>
    <s v=""/>
    <s v=""/>
    <s v=""/>
    <s v=""/>
  </r>
  <r>
    <x v="0"/>
    <m/>
    <m/>
    <m/>
    <m/>
    <m/>
    <m/>
    <m/>
    <m/>
    <m/>
    <s v="HANDICAPPED CHILD SO NY"/>
    <s v="18 BROAD ST"/>
    <s v="JOHNSON CITY"/>
    <s v="NY"/>
    <s v="13790-1675"/>
    <s v="HOME HEALTH AGENCY"/>
    <s v="M"/>
    <s v="No"/>
    <s v="MMIS"/>
    <s v="SouthRPU"/>
    <s v="P"/>
    <m/>
    <m/>
    <m/>
    <s v=""/>
    <s v="E0100131"/>
    <n v="0"/>
    <n v="0"/>
    <n v="0"/>
    <n v="0"/>
    <n v="0"/>
    <n v="0"/>
    <n v="0"/>
    <n v="0"/>
    <n v="0"/>
    <n v="0"/>
    <n v="0"/>
    <x v="1"/>
    <s v=""/>
    <s v=""/>
    <s v=""/>
    <n v="1"/>
    <s v=""/>
    <s v=""/>
    <s v=""/>
    <s v=""/>
    <s v=""/>
    <s v=""/>
    <s v=""/>
    <s v=""/>
  </r>
  <r>
    <x v="0"/>
    <m/>
    <m/>
    <m/>
    <m/>
    <m/>
    <m/>
    <m/>
    <m/>
    <m/>
    <s v="JM MURRAY CENTER"/>
    <s v="823 STATE ROUTE 13"/>
    <s v="CORTLAND"/>
    <s v="NY"/>
    <s v="13045-8729"/>
    <s v="HOME HEALTH AGENCY"/>
    <s v="M"/>
    <s v="No"/>
    <s v="MMIS"/>
    <s v="NorthRPU"/>
    <s v="P"/>
    <m/>
    <m/>
    <m/>
    <s v=""/>
    <s v="E0079502"/>
    <n v="1"/>
    <n v="0"/>
    <n v="0"/>
    <n v="1"/>
    <n v="1"/>
    <n v="0"/>
    <n v="0"/>
    <n v="0"/>
    <n v="0"/>
    <n v="0"/>
    <n v="0"/>
    <x v="1"/>
    <s v=""/>
    <s v=""/>
    <s v=""/>
    <n v="1"/>
    <s v=""/>
    <s v=""/>
    <s v=""/>
    <s v=""/>
    <s v=""/>
    <s v=""/>
    <s v=""/>
    <s v=""/>
  </r>
  <r>
    <x v="0"/>
    <m/>
    <m/>
    <m/>
    <m/>
    <m/>
    <m/>
    <m/>
    <m/>
    <m/>
    <s v="JM MURRAY CENTER INC"/>
    <s v="823 STATE ROUTE 13"/>
    <s v="CORTLAND"/>
    <s v="NY"/>
    <s v="13045-8729"/>
    <s v="HOME HEALTH AGENCY"/>
    <s v="M"/>
    <s v="No"/>
    <s v="MMIS"/>
    <s v="NorthRPU"/>
    <s v="P"/>
    <m/>
    <m/>
    <m/>
    <s v=""/>
    <s v="E0099891"/>
    <n v="1"/>
    <n v="0"/>
    <n v="0"/>
    <n v="1"/>
    <n v="1"/>
    <n v="0"/>
    <n v="0"/>
    <n v="0"/>
    <n v="0"/>
    <n v="0"/>
    <n v="0"/>
    <x v="1"/>
    <s v=""/>
    <s v=""/>
    <s v=""/>
    <n v="1"/>
    <s v=""/>
    <s v=""/>
    <s v=""/>
    <s v=""/>
    <s v=""/>
    <s v=""/>
    <s v=""/>
    <s v=""/>
  </r>
  <r>
    <x v="0"/>
    <m/>
    <m/>
    <m/>
    <m/>
    <m/>
    <m/>
    <m/>
    <m/>
    <m/>
    <s v="JOSHUA HOUSE INC"/>
    <s v="10 DIVISION ST"/>
    <s v="SIDNEY"/>
    <s v="NY"/>
    <s v="13838-1102"/>
    <s v="HOME HEALTH AGENCY"/>
    <s v="M"/>
    <s v="No"/>
    <s v="MMIS"/>
    <s v="EastRPU"/>
    <s v="P"/>
    <m/>
    <m/>
    <m/>
    <s v=""/>
    <s v="E0099877"/>
    <n v="0"/>
    <n v="0"/>
    <n v="0"/>
    <n v="0"/>
    <n v="0"/>
    <n v="0"/>
    <n v="0"/>
    <n v="0"/>
    <n v="0"/>
    <n v="0"/>
    <n v="0"/>
    <x v="1"/>
    <s v=""/>
    <s v=""/>
    <s v=""/>
    <n v="1"/>
    <s v=""/>
    <s v=""/>
    <s v=""/>
    <s v=""/>
    <s v=""/>
    <s v=""/>
    <s v=""/>
    <s v=""/>
  </r>
  <r>
    <x v="0"/>
    <m/>
    <m/>
    <m/>
    <m/>
    <m/>
    <m/>
    <m/>
    <m/>
    <m/>
    <s v="MADISON-CORTLAND NYSARC"/>
    <s v="701 LENOX AVE"/>
    <s v="ONEIDA"/>
    <s v="NY"/>
    <s v="13421-1500"/>
    <s v="HOME HEALTH AGENCY"/>
    <s v="M"/>
    <s v="No"/>
    <s v="MMIS"/>
    <s v="EastRPU"/>
    <s v="P"/>
    <m/>
    <m/>
    <m/>
    <s v=""/>
    <s v="E0099813"/>
    <n v="0"/>
    <n v="0"/>
    <n v="0"/>
    <n v="0"/>
    <n v="0"/>
    <n v="0"/>
    <n v="0"/>
    <n v="0"/>
    <n v="0"/>
    <n v="0"/>
    <n v="0"/>
    <x v="1"/>
    <s v=""/>
    <s v=""/>
    <s v=""/>
    <n v="1"/>
    <s v=""/>
    <s v=""/>
    <s v=""/>
    <s v=""/>
    <s v=""/>
    <s v=""/>
    <s v=""/>
    <s v=""/>
  </r>
  <r>
    <x v="0"/>
    <m/>
    <m/>
    <m/>
    <m/>
    <m/>
    <m/>
    <m/>
    <m/>
    <m/>
    <s v="SOUTHERN TIER INDEP CTR"/>
    <s v="135 E FREDERICK ST"/>
    <s v="BINGHAMTON"/>
    <s v="NY"/>
    <s v="13904-1224"/>
    <s v="HOME HEALTH AGENCY"/>
    <s v="M"/>
    <s v="No"/>
    <s v="MMIS"/>
    <s v="SouthRPU"/>
    <s v="P"/>
    <m/>
    <m/>
    <m/>
    <s v=""/>
    <s v="E0099760"/>
    <n v="0"/>
    <n v="0"/>
    <n v="0"/>
    <n v="0"/>
    <n v="0"/>
    <n v="0"/>
    <n v="0"/>
    <n v="0"/>
    <n v="0"/>
    <n v="0"/>
    <n v="0"/>
    <x v="1"/>
    <s v=""/>
    <s v=""/>
    <s v=""/>
    <n v="1"/>
    <s v=""/>
    <s v=""/>
    <s v=""/>
    <s v=""/>
    <s v=""/>
    <s v=""/>
    <s v=""/>
    <s v=""/>
  </r>
  <r>
    <x v="0"/>
    <m/>
    <m/>
    <m/>
    <m/>
    <m/>
    <m/>
    <m/>
    <m/>
    <m/>
    <s v="UNITY/CAYUGA-BR"/>
    <s v="34 WRIGHT AVE STE C"/>
    <s v="AUBURN"/>
    <s v="NY"/>
    <s v="13021-4838"/>
    <s v="HOME HEALTH AGENCY"/>
    <s v="M"/>
    <s v="No"/>
    <s v="MMIS"/>
    <s v="NorthRPU"/>
    <s v="P"/>
    <m/>
    <m/>
    <m/>
    <s v=""/>
    <s v="E0099676"/>
    <n v="0"/>
    <n v="0"/>
    <n v="0"/>
    <n v="0"/>
    <n v="0"/>
    <n v="0"/>
    <n v="0"/>
    <n v="0"/>
    <n v="0"/>
    <n v="0"/>
    <n v="0"/>
    <x v="1"/>
    <s v=""/>
    <s v=""/>
    <s v=""/>
    <n v="1"/>
    <s v=""/>
    <s v=""/>
    <s v=""/>
    <s v=""/>
    <s v=""/>
    <s v=""/>
    <s v=""/>
    <s v=""/>
  </r>
  <r>
    <x v="0"/>
    <m/>
    <m/>
    <m/>
    <m/>
    <s v="O'NEILL ALLISON"/>
    <m/>
    <m/>
    <m/>
    <m/>
    <s v="O'NEILL ALLISON ELIZABETH RPT"/>
    <s v="6110 CTY RTE 32"/>
    <s v="NORWICH"/>
    <s v="NY"/>
    <s v="13815-3541"/>
    <s v="THERAPIST"/>
    <s v="M"/>
    <s v="No"/>
    <s v="MMIS"/>
    <s v="EastRPU"/>
    <s v="P"/>
    <m/>
    <m/>
    <m/>
    <s v=""/>
    <s v="E0077811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ONEILL JOHN"/>
    <m/>
    <m/>
    <m/>
    <m/>
    <s v="O'NEILL JOHN H RPA"/>
    <s v="415 HOOPER RD"/>
    <s v="ENDWELL"/>
    <s v="NY"/>
    <s v="13760-3646"/>
    <s v="PHYSICIAN"/>
    <s v="M"/>
    <s v="No"/>
    <s v="MMIS"/>
    <s v="SouthRPU"/>
    <s v="P"/>
    <m/>
    <m/>
    <m/>
    <s v="ONEILL JOHN"/>
    <s v="E0025090"/>
    <s v="No"/>
    <s v="No"/>
    <s v="No"/>
    <s v="No"/>
    <s v="No"/>
    <s v="No"/>
    <s v="No"/>
    <s v="No"/>
    <s v="No"/>
    <s v="No"/>
    <s v="No"/>
    <x v="1"/>
    <n v="1"/>
    <s v=""/>
    <s v=""/>
    <s v=""/>
    <s v=""/>
    <s v=""/>
    <s v=""/>
    <s v=""/>
    <s v=""/>
    <s v=""/>
    <n v="1"/>
    <s v=""/>
  </r>
  <r>
    <x v="1"/>
    <m/>
    <m/>
    <m/>
    <m/>
    <s v="ONONDAGA CASE MANAGEMENT SERVICES"/>
    <m/>
    <m/>
    <m/>
    <m/>
    <s v="ONONDAGA CASE MGMT SVCS MH"/>
    <s v="220 HERALD PL"/>
    <s v="SYRACUSE"/>
    <s v="NY"/>
    <s v="13202-5002"/>
    <s v="MULTI-TYPE"/>
    <s v="M"/>
    <s v="No"/>
    <s v="MMIS"/>
    <s v="NorthRPU"/>
    <s v="P"/>
    <m/>
    <m/>
    <m/>
    <s v=""/>
    <s v="E0028423"/>
    <n v="0"/>
    <n v="0"/>
    <n v="0"/>
    <n v="0"/>
    <n v="0"/>
    <n v="0"/>
    <n v="0"/>
    <n v="0"/>
    <n v="0"/>
    <n v="0"/>
    <n v="0"/>
    <x v="1"/>
    <s v=""/>
    <s v=""/>
    <s v=""/>
    <n v="1"/>
    <n v="1"/>
    <s v=""/>
    <s v=""/>
    <s v=""/>
    <s v=""/>
    <s v=""/>
    <n v="1"/>
    <s v=""/>
  </r>
  <r>
    <x v="1"/>
    <m/>
    <m/>
    <m/>
    <m/>
    <m/>
    <m/>
    <m/>
    <m/>
    <m/>
    <s v="ONONDAGA COMMUNITY LIVING SMP"/>
    <s v="REGION OUTSIDE NYC"/>
    <s v="SYRACUSE"/>
    <s v="NY"/>
    <s v="13203-2094"/>
    <s v="HOME HEALTH AGENCY"/>
    <s v="M"/>
    <s v="No"/>
    <s v="MMIS"/>
    <s v="NorthRPU"/>
    <s v="P"/>
    <m/>
    <m/>
    <m/>
    <s v=""/>
    <s v="E0083033"/>
    <n v="0"/>
    <n v="0"/>
    <n v="0"/>
    <n v="0"/>
    <n v="0"/>
    <n v="0"/>
    <n v="0"/>
    <n v="0"/>
    <n v="0"/>
    <n v="0"/>
    <n v="0"/>
    <x v="1"/>
    <s v=""/>
    <s v=""/>
    <s v=""/>
    <s v=""/>
    <s v=""/>
    <s v=""/>
    <s v=""/>
    <s v=""/>
    <s v=""/>
    <s v=""/>
    <n v="1"/>
    <s v=""/>
  </r>
  <r>
    <x v="0"/>
    <m/>
    <m/>
    <m/>
    <m/>
    <m/>
    <m/>
    <m/>
    <m/>
    <m/>
    <s v="ONONDAGA COMM LIVING HC"/>
    <m/>
    <s v="SYRACUSE"/>
    <s v="NY"/>
    <s v="13206-2128"/>
    <s v="HOME HEALTH AGENCY"/>
    <s v="M"/>
    <s v="No"/>
    <s v="MMIS"/>
    <s v="NorthRPU"/>
    <s v="P"/>
    <m/>
    <m/>
    <m/>
    <s v=""/>
    <s v="E0099679"/>
    <n v="0"/>
    <n v="0"/>
    <n v="0"/>
    <n v="0"/>
    <n v="0"/>
    <n v="0"/>
    <n v="0"/>
    <n v="0"/>
    <n v="0"/>
    <n v="0"/>
    <n v="0"/>
    <x v="1"/>
    <s v=""/>
    <s v=""/>
    <s v=""/>
    <n v="1"/>
    <s v=""/>
    <s v=""/>
    <s v=""/>
    <s v=""/>
    <s v=""/>
    <s v=""/>
    <s v=""/>
    <s v=""/>
  </r>
  <r>
    <x v="1"/>
    <m/>
    <m/>
    <m/>
    <m/>
    <m/>
    <m/>
    <m/>
    <m/>
    <m/>
    <s v="ONONDAGA COMM LIVING SPV"/>
    <s v="SUPERVISED"/>
    <s v="SYRACUSE"/>
    <s v="NY"/>
    <s v="13203-2094"/>
    <s v="HOME HEALTH AGENCY"/>
    <s v="M"/>
    <s v="No"/>
    <s v="MMIS"/>
    <s v="NorthRPU"/>
    <s v="P"/>
    <m/>
    <m/>
    <m/>
    <s v="Onondaga Community Living"/>
    <s v="E0074666"/>
    <s v="No"/>
    <s v="No"/>
    <s v="No"/>
    <s v="No"/>
    <s v="No"/>
    <s v="No"/>
    <s v="No"/>
    <s v="No"/>
    <s v="No"/>
    <s v="No"/>
    <s v="No"/>
    <x v="1"/>
    <s v=""/>
    <s v=""/>
    <s v=""/>
    <s v=""/>
    <s v=""/>
    <s v=""/>
    <s v=""/>
    <s v=""/>
    <s v=""/>
    <s v=""/>
    <n v="1"/>
    <s v=""/>
  </r>
  <r>
    <x v="1"/>
    <m/>
    <m/>
    <m/>
    <m/>
    <m/>
    <m/>
    <m/>
    <m/>
    <m/>
    <s v="ONONDAGA COMM LIVING DAY"/>
    <s v="GROUP DAY HAB"/>
    <s v="SYRACUSE"/>
    <s v="NY"/>
    <s v="13203-2238"/>
    <s v="HOME HEALTH AGENCY"/>
    <s v="M"/>
    <s v="No"/>
    <s v="MMIS"/>
    <s v="NorthRPU"/>
    <s v="P"/>
    <m/>
    <m/>
    <m/>
    <s v="Onondaga Community Living"/>
    <s v="E0030045"/>
    <s v="No"/>
    <s v="No"/>
    <s v="No"/>
    <s v="No"/>
    <s v="No"/>
    <s v="No"/>
    <s v="No"/>
    <s v="No"/>
    <s v="No"/>
    <s v="No"/>
    <s v="No"/>
    <x v="1"/>
    <s v=""/>
    <s v=""/>
    <s v=""/>
    <s v=""/>
    <s v=""/>
    <s v=""/>
    <s v=""/>
    <s v=""/>
    <s v=""/>
    <s v=""/>
    <n v="1"/>
    <s v=""/>
  </r>
  <r>
    <x v="1"/>
    <m/>
    <m/>
    <m/>
    <m/>
    <s v="ONYSKO MELODYE"/>
    <m/>
    <m/>
    <m/>
    <m/>
    <s v="ONYSKO MELODYE ELAINE"/>
    <s v="24 MADISON AVE"/>
    <s v="ENDICOTT"/>
    <s v="NY"/>
    <s v="13760-5214"/>
    <s v="NURSE"/>
    <s v="M"/>
    <s v="No"/>
    <s v="MMIS"/>
    <s v="SouthRPU"/>
    <s v="P"/>
    <m/>
    <m/>
    <m/>
    <s v=""/>
    <s v="E0100833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OSAGIE JUDITH"/>
    <m/>
    <m/>
    <m/>
    <m/>
    <s v="OSAGIE JUDITH"/>
    <s v="161 RIVERSIDE DR STE M08"/>
    <s v="BINGHAMTON"/>
    <s v="NY"/>
    <s v="13905-4112"/>
    <s v="PHYSICIAN"/>
    <s v="M"/>
    <s v="No"/>
    <s v="MMIS"/>
    <s v="SouthRPU"/>
    <s v="P"/>
    <m/>
    <m/>
    <m/>
    <s v="OSAGIE JUDITH"/>
    <s v="E0337773"/>
    <s v="No"/>
    <s v="No"/>
    <s v="No"/>
    <s v="No"/>
    <s v="No"/>
    <s v="No"/>
    <s v="No"/>
    <s v="No"/>
    <s v="No"/>
    <s v="No"/>
    <s v="No"/>
    <x v="2"/>
    <s v=""/>
    <s v=""/>
    <s v=""/>
    <s v=""/>
    <s v=""/>
    <s v=""/>
    <s v=""/>
    <s v=""/>
    <s v=""/>
    <s v=""/>
    <n v="1"/>
    <s v=""/>
  </r>
  <r>
    <x v="0"/>
    <m/>
    <m/>
    <m/>
    <m/>
    <s v="OSBORNE THOMAS"/>
    <m/>
    <m/>
    <m/>
    <m/>
    <s v="OSBORNE THOMAS NELSON  MD"/>
    <s v="1302 E MAIN ST"/>
    <s v="ENDICOTT"/>
    <s v="NY"/>
    <s v="13760-5430"/>
    <s v="PHYSICIAN"/>
    <s v="M"/>
    <s v="No"/>
    <s v="MMIS"/>
    <s v="SouthRPU"/>
    <s v="P"/>
    <m/>
    <m/>
    <m/>
    <s v=""/>
    <s v="E0283614"/>
    <n v="0"/>
    <n v="0"/>
    <n v="0"/>
    <n v="0"/>
    <n v="0"/>
    <n v="0"/>
    <n v="0"/>
    <n v="0"/>
    <n v="0"/>
    <n v="0"/>
    <n v="0"/>
    <x v="2"/>
    <n v="1"/>
    <s v=""/>
    <s v=""/>
    <s v=""/>
    <s v=""/>
    <s v=""/>
    <s v=""/>
    <s v=""/>
    <s v=""/>
    <s v=""/>
    <n v="1"/>
    <s v=""/>
  </r>
  <r>
    <x v="0"/>
    <m/>
    <m/>
    <m/>
    <m/>
    <s v="OTENG-BEDIAKO EVELYN DR."/>
    <m/>
    <m/>
    <m/>
    <m/>
    <s v="OTENG-BEDIAK0 EVELYN  MD"/>
    <s v="1 GUTHRIE SQ"/>
    <s v="SAYRE"/>
    <s v="PA"/>
    <s v="18840-1625"/>
    <s v="PHYSICIAN"/>
    <s v="M"/>
    <s v="No"/>
    <s v="MMIS"/>
    <s v="SouthRPU"/>
    <s v="P"/>
    <m/>
    <m/>
    <m/>
    <s v=""/>
    <s v="E0288287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1"/>
    <m/>
    <m/>
    <m/>
    <m/>
    <s v="OUR LADY OF LOURDES MEMORIAL HOSPITAL, INC."/>
    <m/>
    <m/>
    <m/>
    <m/>
    <s v="OUR LADY OF LOURDES MEMORIAL HSP"/>
    <s v="169 RIVERSIDE DR"/>
    <s v="BINGHAMTON"/>
    <s v="NY"/>
    <s v="13905-4246"/>
    <s v="HOSPITAL"/>
    <s v="M"/>
    <s v="No"/>
    <s v="MMIS"/>
    <s v="SouthRPU"/>
    <s v="P"/>
    <m/>
    <m/>
    <m/>
    <s v=""/>
    <s v="E0265381"/>
    <n v="1"/>
    <n v="1"/>
    <n v="0"/>
    <n v="1"/>
    <n v="1"/>
    <n v="1"/>
    <n v="0"/>
    <n v="1"/>
    <n v="0"/>
    <n v="0"/>
    <n v="1"/>
    <x v="1"/>
    <s v=""/>
    <n v="1"/>
    <n v="1"/>
    <s v=""/>
    <n v="1"/>
    <n v="1"/>
    <s v=""/>
    <s v=""/>
    <n v="1"/>
    <s v=""/>
    <n v="1"/>
    <s v=""/>
  </r>
  <r>
    <x v="0"/>
    <m/>
    <m/>
    <m/>
    <m/>
    <s v="OUR LADY OF LOURDES MEMORIAL HOSPITAL, INC"/>
    <m/>
    <m/>
    <m/>
    <m/>
    <s v="HOSPICE AT LOURDES"/>
    <s v="4102 OLD VESTAL RD"/>
    <s v="VESTAL"/>
    <s v="NY"/>
    <s v="13850-3531"/>
    <s v="DIAGNOSTIC AND TREATMENT CENTER"/>
    <s v="M"/>
    <s v="No"/>
    <s v="MMIS"/>
    <s v="SouthRPU"/>
    <s v="P"/>
    <m/>
    <m/>
    <m/>
    <s v=""/>
    <s v="E0204186"/>
    <n v="1"/>
    <n v="0"/>
    <n v="0"/>
    <n v="0"/>
    <n v="0"/>
    <n v="0"/>
    <n v="0"/>
    <n v="0"/>
    <n v="1"/>
    <n v="0"/>
    <n v="0"/>
    <x v="1"/>
    <s v=""/>
    <s v=""/>
    <s v=""/>
    <s v=""/>
    <s v=""/>
    <s v=""/>
    <s v=""/>
    <s v=""/>
    <n v="1"/>
    <s v=""/>
    <n v="1"/>
    <s v=""/>
  </r>
  <r>
    <x v="0"/>
    <m/>
    <m/>
    <m/>
    <m/>
    <s v="OUR LADY OF LOURDES MEMORIAL HOSPITAL, INC."/>
    <m/>
    <m/>
    <m/>
    <m/>
    <s v="OUR LADY OF LOURDES MEMORIAL HOSPIT"/>
    <s v="303 MAIN ST"/>
    <s v="BINGHAMTON"/>
    <s v="NY"/>
    <s v="13905-2524"/>
    <s v="PHYSICIANS GROUP"/>
    <s v="M"/>
    <s v="No"/>
    <s v="MMIS"/>
    <s v="SouthRPU"/>
    <s v="P"/>
    <m/>
    <m/>
    <m/>
    <s v=""/>
    <s v="E0140865"/>
    <n v="0"/>
    <n v="0"/>
    <n v="0"/>
    <n v="0"/>
    <n v="0"/>
    <n v="0"/>
    <n v="0"/>
    <n v="0"/>
    <n v="0"/>
    <n v="0"/>
    <n v="0"/>
    <x v="1"/>
    <s v=""/>
    <s v=""/>
    <s v=""/>
    <s v=""/>
    <s v=""/>
    <s v=""/>
    <s v=""/>
    <s v=""/>
    <s v=""/>
    <s v=""/>
    <n v="1"/>
    <s v=""/>
  </r>
  <r>
    <x v="1"/>
    <m/>
    <m/>
    <m/>
    <m/>
    <s v="OUR LADY OF LOURDES MEMORIAL HOSPITAL INC."/>
    <m/>
    <m/>
    <m/>
    <m/>
    <s v="OUR LADY OF LOURDES MEM"/>
    <s v="169 RIVERSIDE DR"/>
    <s v="BINGHAMTON"/>
    <s v="NY"/>
    <s v="13905-4246"/>
    <s v="HOSPITAL"/>
    <s v="M"/>
    <s v="No"/>
    <s v="MMIS"/>
    <s v="SouthRPU"/>
    <s v="P"/>
    <m/>
    <m/>
    <m/>
    <s v=""/>
    <s v="E0265381"/>
    <n v="1"/>
    <n v="1"/>
    <n v="0"/>
    <n v="1"/>
    <n v="1"/>
    <n v="1"/>
    <n v="0"/>
    <n v="1"/>
    <n v="0"/>
    <n v="0"/>
    <n v="1"/>
    <x v="1"/>
    <s v=""/>
    <n v="1"/>
    <n v="1"/>
    <s v=""/>
    <n v="1"/>
    <n v="1"/>
    <s v=""/>
    <s v=""/>
    <n v="1"/>
    <s v=""/>
    <n v="1"/>
    <s v=""/>
  </r>
  <r>
    <x v="0"/>
    <m/>
    <m/>
    <m/>
    <m/>
    <s v="OVEDOVITZ LON DR."/>
    <m/>
    <m/>
    <m/>
    <m/>
    <s v="OVEDOVITZ LON A MD"/>
    <s v="GUTHRIE CLINIC LTD"/>
    <s v="SAYRE"/>
    <s v="PA"/>
    <s v="18840"/>
    <s v="PHYSICIAN"/>
    <s v="M"/>
    <s v="No"/>
    <s v="MMIS"/>
    <s v="SouthRPU"/>
    <s v="P"/>
    <m/>
    <m/>
    <m/>
    <s v=""/>
    <s v="E0107326"/>
    <n v="1"/>
    <n v="1"/>
    <n v="0"/>
    <n v="0"/>
    <n v="0"/>
    <n v="0"/>
    <n v="0"/>
    <n v="0"/>
    <n v="0"/>
    <n v="1"/>
    <n v="0"/>
    <x v="2"/>
    <n v="1"/>
    <s v=""/>
    <s v=""/>
    <s v=""/>
    <s v=""/>
    <s v=""/>
    <s v=""/>
    <s v=""/>
    <s v=""/>
    <s v=""/>
    <n v="1"/>
    <s v=""/>
  </r>
  <r>
    <x v="0"/>
    <m/>
    <m/>
    <m/>
    <m/>
    <m/>
    <m/>
    <m/>
    <m/>
    <m/>
    <s v="PACHECO JOSE M             MD"/>
    <s v="40 ARCH ST"/>
    <s v="JOHNSON CITY"/>
    <s v="NY"/>
    <s v="13790-2102"/>
    <s v="PHYSICIAN"/>
    <s v="M"/>
    <s v="No"/>
    <s v="MMIS"/>
    <s v="SouthRPU"/>
    <s v="P"/>
    <m/>
    <m/>
    <m/>
    <s v=""/>
    <s v="E0224220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PACHIKARA SAMSON"/>
    <m/>
    <m/>
    <m/>
    <m/>
    <s v="PACHIKARA SAMSON A MD"/>
    <s v="2717 GENESEE ST"/>
    <s v="UTICA"/>
    <s v="NY"/>
    <s v="13501-6564"/>
    <s v="PHYSICIAN"/>
    <s v="M"/>
    <s v="No"/>
    <s v="MMIS"/>
    <s v="NorthRPU"/>
    <s v="P"/>
    <m/>
    <m/>
    <m/>
    <s v="pachikara Samson"/>
    <s v="E0120317"/>
    <s v="No"/>
    <s v="No"/>
    <s v="No"/>
    <s v="No"/>
    <s v="No"/>
    <s v="No"/>
    <s v="No"/>
    <s v="No"/>
    <s v="No"/>
    <s v="No"/>
    <s v="No"/>
    <x v="2"/>
    <s v=""/>
    <s v=""/>
    <s v=""/>
    <s v=""/>
    <s v=""/>
    <s v=""/>
    <s v=""/>
    <s v=""/>
    <s v=""/>
    <s v=""/>
    <n v="1"/>
    <s v=""/>
  </r>
  <r>
    <x v="0"/>
    <m/>
    <m/>
    <m/>
    <m/>
    <s v="PAGE JESSICA"/>
    <m/>
    <m/>
    <m/>
    <m/>
    <s v="PAGE JESSICA LYNNE"/>
    <s v="40 ARCH ST"/>
    <s v="JOHNSON CITY"/>
    <s v="NY"/>
    <s v="13790-2102"/>
    <s v="PHYSICIAN"/>
    <s v="M"/>
    <s v="No"/>
    <s v="MMIS"/>
    <s v="SouthRPU"/>
    <s v="P"/>
    <m/>
    <m/>
    <m/>
    <s v=""/>
    <s v="E0330191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PATEL PALAKKUMAR DR."/>
    <m/>
    <m/>
    <m/>
    <m/>
    <s v="PALAKKUMAR K PATEL   MD"/>
    <s v="1 GUTHRIE SQ"/>
    <s v="SAYRE"/>
    <s v="PA"/>
    <s v="18840-1625"/>
    <s v="PHYSICIAN"/>
    <s v="M"/>
    <s v="No"/>
    <s v="MMIS"/>
    <s v="SouthRPU"/>
    <s v="P"/>
    <m/>
    <m/>
    <m/>
    <s v=""/>
    <s v="E0296938"/>
    <n v="0"/>
    <n v="0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PALLAPOTHU RATNAKISHORE DR."/>
    <m/>
    <m/>
    <m/>
    <m/>
    <s v="PALLAPOTHU RATNAKISHORE"/>
    <s v="161 RIVERSIDE DR STE 305"/>
    <s v="BINGHAMTON"/>
    <s v="NY"/>
    <s v="13905-4197"/>
    <s v="PHYSICIAN"/>
    <s v="M"/>
    <s v="No"/>
    <s v="MMIS"/>
    <s v="SouthRPU"/>
    <s v="P"/>
    <m/>
    <m/>
    <m/>
    <s v=""/>
    <s v="E0311251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PAMULA JOHN DR."/>
    <m/>
    <m/>
    <m/>
    <m/>
    <s v="PAMULA JOHN VIJAYA KUMAR"/>
    <s v="1 GUTHRIE SQ"/>
    <s v="SAYRE"/>
    <s v="PA"/>
    <s v="18840-1625"/>
    <s v="PHYSICIAN"/>
    <s v="M"/>
    <s v="No"/>
    <s v="MMIS"/>
    <s v="SouthRPU"/>
    <s v="P"/>
    <m/>
    <m/>
    <m/>
    <s v=""/>
    <s v="E0296474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PAREEK NATWAR DR."/>
    <m/>
    <m/>
    <m/>
    <m/>
    <s v="PAREEK NATWAR K MD"/>
    <s v="240 RIVERSIDE DR"/>
    <s v="JOHNSON CITY"/>
    <s v="NY"/>
    <s v="13790-2732"/>
    <s v="PHYSICIAN"/>
    <s v="M"/>
    <s v="No"/>
    <s v="MMIS"/>
    <s v="SouthRPU"/>
    <s v="P"/>
    <m/>
    <m/>
    <m/>
    <s v=""/>
    <s v="E0263365"/>
    <n v="1"/>
    <n v="1"/>
    <n v="0"/>
    <n v="1"/>
    <n v="1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PARK MALSUK DR."/>
    <m/>
    <m/>
    <m/>
    <m/>
    <s v="PARK MALSUK"/>
    <s v="530 NEW BRUNSWICK AVE"/>
    <s v="PERTH AMBOY"/>
    <s v="NJ"/>
    <s v="08861-3654"/>
    <s v="PHYSICIAN"/>
    <s v="M"/>
    <s v="No"/>
    <s v="MMIS"/>
    <s v="SouthRPU"/>
    <s v="P"/>
    <m/>
    <m/>
    <m/>
    <s v="PARK MALSUK DR."/>
    <s v="E0117225"/>
    <s v="No"/>
    <s v="No"/>
    <s v="No"/>
    <s v="No"/>
    <s v="No"/>
    <s v="No"/>
    <s v="No"/>
    <s v="No"/>
    <s v="No"/>
    <s v="No"/>
    <s v="No"/>
    <x v="1"/>
    <n v="1"/>
    <s v=""/>
    <s v=""/>
    <s v=""/>
    <s v=""/>
    <s v=""/>
    <s v=""/>
    <s v=""/>
    <s v=""/>
    <s v=""/>
    <s v=""/>
    <s v=""/>
  </r>
  <r>
    <x v="0"/>
    <m/>
    <m/>
    <m/>
    <m/>
    <s v="PARK SAE JOUN DR."/>
    <m/>
    <m/>
    <m/>
    <m/>
    <s v="PARK SAE JOUN              MD"/>
    <s v="10 MITCHELL AVE"/>
    <s v="BINGHAMTON"/>
    <s v="NY"/>
    <s v="13903-1617"/>
    <s v="PHYSICIAN"/>
    <s v="M"/>
    <s v="No"/>
    <s v="MMIS"/>
    <s v="SouthRPU"/>
    <s v="P"/>
    <m/>
    <m/>
    <m/>
    <s v="PARK SAE JOUN DR."/>
    <s v="E0259679"/>
    <s v="No"/>
    <s v="No"/>
    <s v="No"/>
    <s v="No"/>
    <s v="No"/>
    <s v="No"/>
    <s v="No"/>
    <s v="No"/>
    <s v="No"/>
    <s v="No"/>
    <s v="No"/>
    <x v="2"/>
    <s v=""/>
    <s v=""/>
    <s v=""/>
    <s v=""/>
    <s v=""/>
    <s v=""/>
    <s v=""/>
    <s v=""/>
    <s v=""/>
    <s v=""/>
    <n v="1"/>
    <s v=""/>
  </r>
  <r>
    <x v="1"/>
    <m/>
    <m/>
    <m/>
    <m/>
    <s v="PARSONS CHILD AND FAMILY CENTER"/>
    <m/>
    <m/>
    <m/>
    <m/>
    <s v="PARSONS CHILD AND FAMILY CTR"/>
    <s v="60 ACADEMY RD"/>
    <s v="ALBANY"/>
    <s v="NY"/>
    <s v="12208-3103"/>
    <s v="MULTI-TYPE"/>
    <s v="M"/>
    <s v="No"/>
    <s v="MMIS"/>
    <s v="SouthRPU"/>
    <s v="P"/>
    <m/>
    <m/>
    <m/>
    <s v=""/>
    <s v="E0332598"/>
    <n v="0"/>
    <n v="0"/>
    <n v="0"/>
    <n v="0"/>
    <n v="0"/>
    <n v="0"/>
    <n v="0"/>
    <n v="0"/>
    <n v="0"/>
    <n v="0"/>
    <n v="0"/>
    <x v="1"/>
    <s v=""/>
    <s v=""/>
    <n v="1"/>
    <n v="1"/>
    <n v="1"/>
    <s v=""/>
    <s v=""/>
    <s v=""/>
    <s v=""/>
    <s v=""/>
    <n v="1"/>
    <s v=""/>
  </r>
  <r>
    <x v="1"/>
    <m/>
    <m/>
    <m/>
    <m/>
    <m/>
    <m/>
    <m/>
    <m/>
    <m/>
    <s v="PARSONS CHILD AND FAMILY CTR"/>
    <s v="# M04"/>
    <s v="ALBANY"/>
    <s v="NY"/>
    <s v="12208-3103"/>
    <s v="CHILD CARE INSTITUTION"/>
    <s v="M"/>
    <s v="No"/>
    <s v="MMIS"/>
    <s v="SouthRPU"/>
    <s v="P"/>
    <m/>
    <m/>
    <m/>
    <s v=""/>
    <s v="E0332598"/>
    <n v="0"/>
    <n v="0"/>
    <n v="0"/>
    <n v="0"/>
    <n v="0"/>
    <n v="0"/>
    <n v="0"/>
    <n v="0"/>
    <n v="0"/>
    <n v="0"/>
    <n v="0"/>
    <x v="1"/>
    <s v=""/>
    <s v=""/>
    <n v="1"/>
    <n v="1"/>
    <n v="1"/>
    <s v=""/>
    <s v=""/>
    <s v=""/>
    <s v=""/>
    <s v=""/>
    <n v="1"/>
    <s v=""/>
  </r>
  <r>
    <x v="0"/>
    <m/>
    <m/>
    <m/>
    <m/>
    <s v="NELSON PATRICIA MS."/>
    <m/>
    <m/>
    <m/>
    <m/>
    <s v="NELSON PATRICIA JOAN RPA"/>
    <s v="10 ARROWOOD DR"/>
    <s v="ITHACA"/>
    <s v="NY"/>
    <s v="14850-1857"/>
    <s v="PHYSICIAN"/>
    <s v="M"/>
    <s v="No"/>
    <s v="MMIS"/>
    <s v="NorthRPU"/>
    <s v="P"/>
    <m/>
    <m/>
    <m/>
    <s v=""/>
    <s v="E0288357"/>
    <n v="1"/>
    <n v="1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PATEL ARJUN"/>
    <m/>
    <m/>
    <m/>
    <m/>
    <s v="PATEL ARJUN J"/>
    <s v="WILSON HOSP"/>
    <s v="JOHNSON CITY"/>
    <s v="NY"/>
    <s v="13790"/>
    <s v="PHYSICIAN"/>
    <s v="M"/>
    <s v="No"/>
    <s v="MMIS"/>
    <s v="SouthRPU"/>
    <s v="P"/>
    <m/>
    <m/>
    <m/>
    <s v=""/>
    <s v="E0240191"/>
    <n v="1"/>
    <n v="1"/>
    <n v="0"/>
    <n v="1"/>
    <n v="1"/>
    <n v="0"/>
    <n v="0"/>
    <n v="1"/>
    <n v="0"/>
    <n v="0"/>
    <n v="1"/>
    <x v="2"/>
    <s v=""/>
    <s v=""/>
    <s v=""/>
    <s v=""/>
    <s v=""/>
    <s v=""/>
    <s v=""/>
    <s v=""/>
    <s v=""/>
    <s v=""/>
    <n v="1"/>
    <s v=""/>
  </r>
  <r>
    <x v="0"/>
    <m/>
    <m/>
    <m/>
    <m/>
    <s v="PATEL DARSHAN"/>
    <m/>
    <m/>
    <m/>
    <m/>
    <s v="PATEL DARSHAN"/>
    <s v="134 HOMER AVE"/>
    <s v="CORTLAND"/>
    <s v="NY"/>
    <s v="13045-1206"/>
    <s v="PHYSICIAN"/>
    <s v="M"/>
    <s v="No"/>
    <s v="MMIS"/>
    <s v="NorthRPU"/>
    <s v="P"/>
    <m/>
    <m/>
    <m/>
    <s v="PATEL DARSHAN"/>
    <s v="E0285266"/>
    <s v="No"/>
    <s v="No"/>
    <s v="No"/>
    <s v="No"/>
    <s v="No"/>
    <s v="No"/>
    <s v="No"/>
    <s v="No"/>
    <s v="No"/>
    <s v="No"/>
    <s v="No"/>
    <x v="2"/>
    <n v="1"/>
    <s v=""/>
    <s v=""/>
    <s v=""/>
    <s v=""/>
    <s v=""/>
    <s v=""/>
    <s v=""/>
    <s v=""/>
    <s v=""/>
    <s v=""/>
    <s v=""/>
  </r>
  <r>
    <x v="0"/>
    <m/>
    <m/>
    <m/>
    <m/>
    <s v="PATEL KEYOOR DR."/>
    <m/>
    <m/>
    <m/>
    <m/>
    <s v="PATEL KEYOOR"/>
    <s v="301 E MAIN ST"/>
    <s v="BAY SHORE"/>
    <s v="NY"/>
    <s v="11706-8408"/>
    <s v="PHYSICIAN"/>
    <s v="M"/>
    <s v="No"/>
    <s v="MMIS"/>
    <s v="SouthRPU"/>
    <s v="P"/>
    <m/>
    <m/>
    <m/>
    <s v="PATEL KEYOOR DR."/>
    <s v="E0324950"/>
    <s v="No"/>
    <s v="No"/>
    <s v="No"/>
    <s v="No"/>
    <s v="No"/>
    <s v="No"/>
    <s v="No"/>
    <s v="No"/>
    <s v="No"/>
    <s v="No"/>
    <s v="No"/>
    <x v="1"/>
    <n v="1"/>
    <s v=""/>
    <s v=""/>
    <s v=""/>
    <s v=""/>
    <s v=""/>
    <s v=""/>
    <s v=""/>
    <s v=""/>
    <s v=""/>
    <n v="1"/>
    <s v=""/>
  </r>
  <r>
    <x v="0"/>
    <m/>
    <m/>
    <m/>
    <m/>
    <s v="PATEL REKHA"/>
    <m/>
    <m/>
    <m/>
    <m/>
    <s v="PATEL REKHA S"/>
    <s v="ENDWELL FAMILY PHYS"/>
    <s v="ENDWELL"/>
    <s v="NY"/>
    <s v="13760-3698"/>
    <s v="PHYSICIAN"/>
    <s v="M"/>
    <s v="No"/>
    <s v="MMIS"/>
    <s v="SouthRPU"/>
    <s v="P"/>
    <m/>
    <m/>
    <m/>
    <s v="PATEL REKHA"/>
    <s v="E0085720"/>
    <s v="No"/>
    <s v="No"/>
    <s v="No"/>
    <s v="No"/>
    <s v="No"/>
    <s v="No"/>
    <s v="No"/>
    <s v="No"/>
    <s v="No"/>
    <s v="No"/>
    <s v="No"/>
    <x v="2"/>
    <s v=""/>
    <s v=""/>
    <s v=""/>
    <s v=""/>
    <s v=""/>
    <s v=""/>
    <s v=""/>
    <s v=""/>
    <s v=""/>
    <s v=""/>
    <n v="1"/>
    <s v=""/>
  </r>
  <r>
    <x v="0"/>
    <m/>
    <m/>
    <m/>
    <m/>
    <s v="PATEL SUCHET"/>
    <m/>
    <m/>
    <m/>
    <m/>
    <s v="PATEL SUCHET R"/>
    <s v="ENDWELL FAMILY PHYS"/>
    <s v="ENDWELL"/>
    <s v="NY"/>
    <s v="13760-3698"/>
    <s v="PHYSICIAN"/>
    <s v="M"/>
    <s v="No"/>
    <s v="MMIS"/>
    <s v="SouthRPU"/>
    <s v="P"/>
    <m/>
    <m/>
    <m/>
    <s v="PATEL SUCHET"/>
    <s v="E0085735"/>
    <s v="No"/>
    <s v="No"/>
    <s v="No"/>
    <s v="No"/>
    <s v="No"/>
    <s v="No"/>
    <s v="No"/>
    <s v="No"/>
    <s v="No"/>
    <s v="No"/>
    <s v="No"/>
    <x v="2"/>
    <s v=""/>
    <s v=""/>
    <s v=""/>
    <s v=""/>
    <s v=""/>
    <s v=""/>
    <s v=""/>
    <s v=""/>
    <s v=""/>
    <s v=""/>
    <n v="1"/>
    <s v=""/>
  </r>
  <r>
    <x v="0"/>
    <m/>
    <m/>
    <m/>
    <m/>
    <s v="HART PATRICIA DR."/>
    <m/>
    <m/>
    <m/>
    <m/>
    <s v="HART PATRICIA"/>
    <s v="PO BOX 217"/>
    <s v="MANLIUS"/>
    <s v="NY"/>
    <s v="13104-0217"/>
    <s v="PHYSICIAN"/>
    <s v="M"/>
    <s v="No"/>
    <s v="MMIS"/>
    <s v="SouthRPU"/>
    <s v="P"/>
    <m/>
    <m/>
    <m/>
    <s v="Patricia Hart"/>
    <s v="E0025482"/>
    <s v="No"/>
    <s v="No"/>
    <s v="No"/>
    <s v="No"/>
    <s v="No"/>
    <s v="No"/>
    <s v="No"/>
    <s v="No"/>
    <s v="No"/>
    <s v="No"/>
    <s v="No"/>
    <x v="1"/>
    <n v="1"/>
    <s v=""/>
    <s v=""/>
    <s v=""/>
    <s v=""/>
    <s v=""/>
    <s v=""/>
    <s v=""/>
    <s v=""/>
    <s v=""/>
    <s v=""/>
    <s v=""/>
  </r>
  <r>
    <x v="0"/>
    <m/>
    <m/>
    <m/>
    <m/>
    <s v="SCHAMEL PATRICK MR."/>
    <m/>
    <m/>
    <m/>
    <m/>
    <s v="SCHAMEL PATRICK B"/>
    <s v="230 STEUBEN ST"/>
    <s v="MONTOUR FALLS"/>
    <s v="NY"/>
    <s v="14865-9648"/>
    <s v="PHYSICIAN"/>
    <s v="M"/>
    <s v="No"/>
    <s v="MMIS"/>
    <s v="NorthRPU"/>
    <s v="P"/>
    <m/>
    <m/>
    <m/>
    <s v=""/>
    <s v="E0339304"/>
    <n v="1"/>
    <n v="1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PAUDEL KESHAB DR."/>
    <m/>
    <m/>
    <m/>
    <m/>
    <s v="PAUDEL KESHAB"/>
    <s v="33-57 HARRISON ST"/>
    <s v="JOHNSON CITY"/>
    <s v="NY"/>
    <s v="13790-2174"/>
    <s v="PHYSICIAN"/>
    <s v="M"/>
    <s v="No"/>
    <s v="MMIS"/>
    <s v="SouthRPU"/>
    <s v="P"/>
    <m/>
    <m/>
    <m/>
    <s v=""/>
    <s v="E0308060"/>
    <n v="0"/>
    <n v="0"/>
    <n v="0"/>
    <n v="0"/>
    <n v="0"/>
    <n v="0"/>
    <n v="0"/>
    <n v="0"/>
    <n v="0"/>
    <n v="0"/>
    <n v="0"/>
    <x v="2"/>
    <n v="1"/>
    <s v=""/>
    <s v=""/>
    <s v=""/>
    <s v=""/>
    <s v=""/>
    <s v=""/>
    <s v=""/>
    <s v=""/>
    <s v=""/>
    <n v="1"/>
    <s v=""/>
  </r>
  <r>
    <x v="0"/>
    <m/>
    <m/>
    <m/>
    <m/>
    <s v="HAN PAUL"/>
    <m/>
    <m/>
    <m/>
    <m/>
    <s v="HAN PAUL HYUNWOO"/>
    <s v="4417 VESTAL PKWY E"/>
    <s v="VESTAL"/>
    <s v="NY"/>
    <s v="13850-3556"/>
    <s v="PHYSICIAN"/>
    <s v="M"/>
    <s v="No"/>
    <s v="MMIS"/>
    <s v="SouthRPU"/>
    <s v="P"/>
    <m/>
    <m/>
    <m/>
    <s v="Paul Hyunwoo Han"/>
    <s v="E0419393"/>
    <s v="No"/>
    <s v="No"/>
    <s v="No"/>
    <s v="No"/>
    <s v="No"/>
    <s v="No"/>
    <s v="No"/>
    <s v="No"/>
    <s v="No"/>
    <s v="No"/>
    <s v="No"/>
    <x v="2"/>
    <s v=""/>
    <s v=""/>
    <s v=""/>
    <s v=""/>
    <s v=""/>
    <s v=""/>
    <s v=""/>
    <s v=""/>
    <s v=""/>
    <s v=""/>
    <n v="1"/>
    <s v=""/>
  </r>
  <r>
    <x v="0"/>
    <m/>
    <m/>
    <m/>
    <m/>
    <s v="MARINO PAUL DR."/>
    <m/>
    <m/>
    <m/>
    <m/>
    <s v="MARINO PAUL LAWRENCE MD"/>
    <s v="5 E 98TH ST"/>
    <s v="NEW YORK"/>
    <s v="NY"/>
    <s v="10029-6501"/>
    <s v="PHYSICIAN"/>
    <s v="M"/>
    <s v="No"/>
    <s v="MMIS"/>
    <s v="NorthRPU"/>
    <s v="P"/>
    <m/>
    <m/>
    <m/>
    <s v=""/>
    <s v="E0174664"/>
    <n v="1"/>
    <n v="1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STEFEK PAUL"/>
    <m/>
    <m/>
    <m/>
    <m/>
    <s v="STEFEK PAUL"/>
    <s v="2432 N TRIPHAMMER RD"/>
    <s v="ITHACA"/>
    <s v="NY"/>
    <s v="14850-1014"/>
    <s v="PHYSICIAN"/>
    <s v="M"/>
    <s v="No"/>
    <s v="MMIS"/>
    <s v="NorthRPU"/>
    <s v="P"/>
    <m/>
    <m/>
    <m/>
    <s v=""/>
    <s v="E0309936"/>
    <n v="1"/>
    <n v="1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DYGERT PAULA"/>
    <m/>
    <m/>
    <m/>
    <m/>
    <s v="DYGERT PAULA A MD"/>
    <s v="AFTON FAM H CTR"/>
    <s v="AFTON"/>
    <s v="NY"/>
    <s v="13730-2129"/>
    <s v="PHYSICIAN"/>
    <s v="M"/>
    <s v="No"/>
    <s v="MMIS"/>
    <s v="SouthRPU"/>
    <s v="P"/>
    <m/>
    <m/>
    <m/>
    <s v="Paula A Dygert"/>
    <s v="E0042967"/>
    <s v="No"/>
    <s v="No"/>
    <s v="No"/>
    <s v="No"/>
    <s v="No"/>
    <s v="No"/>
    <s v="No"/>
    <s v="No"/>
    <s v="No"/>
    <s v="No"/>
    <s v="No"/>
    <x v="2"/>
    <s v=""/>
    <s v=""/>
    <s v=""/>
    <s v=""/>
    <s v=""/>
    <s v=""/>
    <s v=""/>
    <s v=""/>
    <s v=""/>
    <s v=""/>
    <n v="1"/>
    <s v=""/>
  </r>
  <r>
    <x v="0"/>
    <m/>
    <m/>
    <m/>
    <m/>
    <s v="FITZSIMMONS PAULA MS."/>
    <m/>
    <m/>
    <m/>
    <m/>
    <s v="FITZSIMMONS PAULA RPA"/>
    <s v="1 1ST ST"/>
    <s v="WATKINS GLEN"/>
    <s v="NY"/>
    <s v="14891-1260"/>
    <s v="PHYSICIAN"/>
    <s v="M"/>
    <s v="No"/>
    <s v="MMIS"/>
    <s v="NorthRPU"/>
    <s v="P"/>
    <m/>
    <m/>
    <m/>
    <s v=""/>
    <s v="E0005033"/>
    <n v="0"/>
    <n v="0"/>
    <n v="0"/>
    <n v="0"/>
    <n v="0"/>
    <n v="0"/>
    <n v="0"/>
    <n v="0"/>
    <n v="0"/>
    <n v="0"/>
    <n v="0"/>
    <x v="2"/>
    <n v="1"/>
    <s v=""/>
    <s v=""/>
    <s v=""/>
    <s v=""/>
    <s v=""/>
    <s v=""/>
    <s v=""/>
    <s v=""/>
    <s v=""/>
    <n v="1"/>
    <s v=""/>
  </r>
  <r>
    <x v="1"/>
    <m/>
    <m/>
    <m/>
    <m/>
    <s v="PAVILION OPERATIONS, LLC"/>
    <m/>
    <m/>
    <m/>
    <m/>
    <s v="CORNING CENTER FOR  REHABILITATION"/>
    <s v="205 E 1ST ST"/>
    <s v="CORNING"/>
    <s v="NY"/>
    <s v="14830-2809"/>
    <s v="MULTI-TYPE"/>
    <s v="M"/>
    <s v="No"/>
    <s v="MMIS"/>
    <s v="WestRPU"/>
    <s v="P"/>
    <m/>
    <m/>
    <m/>
    <s v=""/>
    <s v="E0370246"/>
    <n v="0"/>
    <n v="0"/>
    <n v="0"/>
    <n v="0"/>
    <n v="0"/>
    <n v="0"/>
    <n v="0"/>
    <n v="0"/>
    <n v="0"/>
    <n v="0"/>
    <n v="0"/>
    <x v="1"/>
    <s v=""/>
    <s v=""/>
    <s v=""/>
    <s v=""/>
    <s v=""/>
    <s v=""/>
    <n v="1"/>
    <s v=""/>
    <s v=""/>
    <s v=""/>
    <s v=""/>
    <s v=""/>
  </r>
  <r>
    <x v="0"/>
    <m/>
    <m/>
    <m/>
    <m/>
    <s v="PAXTON DEBRA DR."/>
    <m/>
    <m/>
    <m/>
    <m/>
    <s v="PAXTON DEBRA LYN"/>
    <s v="40 ARCH ST"/>
    <s v="JOHNSON CITY"/>
    <s v="NY"/>
    <s v="13790-2102"/>
    <s v="PHYSICIAN"/>
    <s v="M"/>
    <s v="No"/>
    <s v="MMIS"/>
    <s v="SouthRPU"/>
    <s v="P"/>
    <m/>
    <m/>
    <m/>
    <s v=""/>
    <s v="E0294852"/>
    <n v="0"/>
    <n v="0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PEJO SAMUEL"/>
    <m/>
    <m/>
    <m/>
    <m/>
    <s v="PEJO SAMUEL P              MD"/>
    <s v="27 PARK AVE"/>
    <s v="BINGHAMTON"/>
    <s v="NY"/>
    <s v="13903-1605"/>
    <s v="PHYSICIAN"/>
    <s v="M"/>
    <s v="No"/>
    <s v="MMIS"/>
    <s v="SouthRPU"/>
    <s v="P"/>
    <m/>
    <m/>
    <m/>
    <s v=""/>
    <s v="E0239134"/>
    <n v="1"/>
    <n v="1"/>
    <n v="0"/>
    <n v="1"/>
    <n v="1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PELLITTERI PHILLIP DR."/>
    <m/>
    <m/>
    <m/>
    <m/>
    <s v="PELLITTERI PHILLIP K"/>
    <s v="1 GUTHRIE SQ"/>
    <s v="SAYRE"/>
    <s v="PA"/>
    <s v="18840-1625"/>
    <s v="PHYSICIAN"/>
    <s v="M"/>
    <s v="No"/>
    <s v="MMIS"/>
    <s v="SouthRPU"/>
    <s v="P"/>
    <m/>
    <m/>
    <m/>
    <s v=""/>
    <s v="E0333653"/>
    <n v="1"/>
    <n v="1"/>
    <n v="0"/>
    <n v="0"/>
    <n v="0"/>
    <n v="0"/>
    <n v="0"/>
    <n v="0"/>
    <n v="0"/>
    <n v="1"/>
    <n v="0"/>
    <x v="1"/>
    <n v="1"/>
    <s v=""/>
    <s v=""/>
    <s v=""/>
    <s v=""/>
    <s v=""/>
    <s v=""/>
    <s v=""/>
    <s v=""/>
    <s v=""/>
    <n v="1"/>
    <s v=""/>
  </r>
  <r>
    <x v="0"/>
    <m/>
    <m/>
    <m/>
    <m/>
    <s v="PELTZ STEPHANIE"/>
    <m/>
    <m/>
    <m/>
    <m/>
    <s v="PELTZ STEPHANIE"/>
    <s v="169 RIVERSIDE DR"/>
    <s v="BINGHAMTON"/>
    <s v="NY"/>
    <s v="13905-4246"/>
    <s v="PHYSICIAN"/>
    <s v="M"/>
    <s v="No"/>
    <s v="MMIS"/>
    <s v="SouthRPU"/>
    <s v="P"/>
    <m/>
    <m/>
    <m/>
    <s v=""/>
    <s v="E0301042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1"/>
    <m/>
    <m/>
    <m/>
    <m/>
    <s v="PENDELL-MCKEE JUDY"/>
    <m/>
    <m/>
    <m/>
    <m/>
    <s v="PENDELL-MCKEE JUDY"/>
    <s v="OTSELIC VALLEY FAM H"/>
    <s v="SOUTH OTSELIC"/>
    <s v="NY"/>
    <s v="13155"/>
    <s v="PHYSICIAN"/>
    <s v="M"/>
    <s v="No"/>
    <s v="MMIS"/>
    <s v="EastRPU"/>
    <s v="P"/>
    <m/>
    <m/>
    <m/>
    <s v=""/>
    <s v="E0109729"/>
    <n v="1"/>
    <n v="1"/>
    <n v="0"/>
    <n v="1"/>
    <n v="1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m/>
    <m/>
    <m/>
    <m/>
    <m/>
    <s v="PERALTA EDELWEISS DE PERIO"/>
    <s v="31 ARNOT RD STE A"/>
    <s v="HORSEHEADS"/>
    <s v="NY"/>
    <s v="14845-8533"/>
    <s v="PHYSICIAN"/>
    <s v="M"/>
    <s v="No"/>
    <s v="MMIS"/>
    <s v="WestRPU"/>
    <s v="P"/>
    <m/>
    <m/>
    <m/>
    <s v=""/>
    <s v="E0363412"/>
    <n v="0"/>
    <n v="0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PERENYI DENNIS"/>
    <m/>
    <m/>
    <m/>
    <m/>
    <s v="PERENYI DENNIS  MD"/>
    <s v="601 RIVERSIDE DR"/>
    <s v="JOHNSON CITY"/>
    <s v="NY"/>
    <s v="13790-2597"/>
    <s v="PHYSICIAN"/>
    <s v="M"/>
    <s v="No"/>
    <s v="MMIS"/>
    <s v="SouthRPU"/>
    <s v="P"/>
    <m/>
    <m/>
    <m/>
    <s v=""/>
    <s v="E0197204"/>
    <n v="1"/>
    <n v="1"/>
    <n v="0"/>
    <n v="1"/>
    <n v="1"/>
    <n v="0"/>
    <n v="0"/>
    <n v="0"/>
    <n v="0"/>
    <n v="0"/>
    <n v="0"/>
    <x v="2"/>
    <n v="1"/>
    <s v=""/>
    <s v=""/>
    <s v=""/>
    <s v=""/>
    <s v=""/>
    <s v=""/>
    <s v=""/>
    <s v=""/>
    <s v=""/>
    <n v="1"/>
    <s v=""/>
  </r>
  <r>
    <x v="0"/>
    <m/>
    <m/>
    <m/>
    <m/>
    <s v="PERLE KRISTINE"/>
    <m/>
    <m/>
    <m/>
    <m/>
    <s v="PERLE KRISTINE ELLEN"/>
    <s v="9768 LIBERTY DR"/>
    <s v="PAINTED POST"/>
    <s v="NY"/>
    <s v="14870-9094"/>
    <s v="PHYSICIAN"/>
    <s v="M"/>
    <s v="No"/>
    <s v="MMIS"/>
    <s v="WestRPU"/>
    <s v="P"/>
    <m/>
    <m/>
    <m/>
    <s v=""/>
    <s v="E0293440"/>
    <n v="1"/>
    <n v="1"/>
    <n v="0"/>
    <n v="0"/>
    <n v="0"/>
    <n v="0"/>
    <n v="0"/>
    <n v="1"/>
    <n v="1"/>
    <n v="1"/>
    <n v="0"/>
    <x v="2"/>
    <s v=""/>
    <s v=""/>
    <s v=""/>
    <s v=""/>
    <s v=""/>
    <s v=""/>
    <s v=""/>
    <s v=""/>
    <s v=""/>
    <s v=""/>
    <n v="1"/>
    <s v=""/>
  </r>
  <r>
    <x v="0"/>
    <m/>
    <m/>
    <m/>
    <m/>
    <s v="PERRY JOHN"/>
    <m/>
    <m/>
    <m/>
    <m/>
    <s v="PERRY JOHN SIMON           MD"/>
    <s v="415 HOOPER RD"/>
    <s v="ENDWELL"/>
    <s v="NY"/>
    <s v="13760-3698"/>
    <s v="PHYSICIAN"/>
    <s v="M"/>
    <s v="No"/>
    <s v="MMIS"/>
    <s v="SouthRPU"/>
    <s v="P"/>
    <m/>
    <m/>
    <m/>
    <s v="PERRY JOHN"/>
    <s v="E0195286"/>
    <s v="No"/>
    <s v="No"/>
    <s v="No"/>
    <s v="No"/>
    <s v="No"/>
    <s v="No"/>
    <s v="No"/>
    <s v="No"/>
    <s v="No"/>
    <s v="No"/>
    <s v="No"/>
    <x v="2"/>
    <s v=""/>
    <s v=""/>
    <s v=""/>
    <s v=""/>
    <s v=""/>
    <s v=""/>
    <s v=""/>
    <s v=""/>
    <s v=""/>
    <s v=""/>
    <n v="1"/>
    <s v=""/>
  </r>
  <r>
    <x v="0"/>
    <m/>
    <m/>
    <m/>
    <m/>
    <s v="BRENNAN PETER DR."/>
    <m/>
    <m/>
    <m/>
    <m/>
    <s v="BRENNAN PETER TERENCE"/>
    <s v="STE 308"/>
    <s v="ITHACA"/>
    <s v="NY"/>
    <s v="14850-1345"/>
    <s v="PHYSICIAN"/>
    <s v="M"/>
    <s v="No"/>
    <s v="MMIS"/>
    <s v="NorthRPU"/>
    <s v="P"/>
    <m/>
    <m/>
    <m/>
    <s v=""/>
    <s v="E0209314"/>
    <n v="1"/>
    <n v="1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CLARK PETER DR."/>
    <m/>
    <m/>
    <m/>
    <m/>
    <s v="CLARK PETER DAVID MD"/>
    <s v="220 W SOUTH ST"/>
    <s v="GROTON"/>
    <s v="NY"/>
    <s v="13073-1237"/>
    <s v="PHYSICIAN"/>
    <s v="M"/>
    <s v="No"/>
    <s v="MMIS"/>
    <s v="NorthRPU"/>
    <s v="P"/>
    <m/>
    <m/>
    <m/>
    <s v=""/>
    <s v="E0168487"/>
    <n v="1"/>
    <n v="1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LETHIN PETER DR."/>
    <m/>
    <m/>
    <m/>
    <m/>
    <s v="LETHIN PETER ERIC"/>
    <s v="STE M09"/>
    <s v="BINGHAMTON"/>
    <s v="NY"/>
    <s v="13905-4246"/>
    <s v="PHYSICIAN"/>
    <s v="M"/>
    <s v="No"/>
    <s v="MMIS"/>
    <s v="SouthRPU"/>
    <s v="P"/>
    <m/>
    <m/>
    <m/>
    <s v="Peter E. Lethin, MD, FACS"/>
    <s v="E0106489"/>
    <s v="No"/>
    <s v="No"/>
    <s v="No"/>
    <s v="No"/>
    <s v="No"/>
    <s v="No"/>
    <s v="No"/>
    <s v="No"/>
    <s v="No"/>
    <s v="No"/>
    <s v="No"/>
    <x v="1"/>
    <n v="1"/>
    <s v=""/>
    <s v=""/>
    <s v=""/>
    <s v=""/>
    <s v=""/>
    <s v=""/>
    <s v=""/>
    <s v=""/>
    <s v=""/>
    <n v="1"/>
    <s v=""/>
  </r>
  <r>
    <x v="0"/>
    <m/>
    <m/>
    <m/>
    <m/>
    <s v="HANNON PETER"/>
    <m/>
    <m/>
    <m/>
    <m/>
    <s v="HANNON PETER MD"/>
    <s v="101 DATES DR"/>
    <s v="ITHACA"/>
    <s v="NY"/>
    <s v="14850-1342"/>
    <s v="PHYSICIAN"/>
    <s v="M"/>
    <s v="No"/>
    <s v="MMIS"/>
    <s v="NorthRPU"/>
    <s v="P"/>
    <m/>
    <m/>
    <m/>
    <s v=""/>
    <s v="E0009160"/>
    <n v="0"/>
    <n v="0"/>
    <n v="0"/>
    <n v="0"/>
    <n v="0"/>
    <n v="0"/>
    <n v="0"/>
    <n v="0"/>
    <n v="0"/>
    <n v="0"/>
    <n v="0"/>
    <x v="2"/>
    <n v="1"/>
    <s v=""/>
    <s v=""/>
    <s v=""/>
    <s v=""/>
    <s v=""/>
    <s v=""/>
    <s v=""/>
    <s v=""/>
    <s v=""/>
    <s v=""/>
    <s v=""/>
  </r>
  <r>
    <x v="0"/>
    <m/>
    <m/>
    <m/>
    <m/>
    <s v="SCHOTANUS PETER"/>
    <m/>
    <m/>
    <m/>
    <m/>
    <s v="SCHOTANUS PETER"/>
    <s v="SCHOTANUS PETER"/>
    <s v="ENDICOTT"/>
    <s v="NY"/>
    <s v="13760-5430"/>
    <s v="PHYSICIAN"/>
    <s v="M"/>
    <s v="No"/>
    <s v="MMIS"/>
    <s v="SouthRPU"/>
    <s v="P"/>
    <m/>
    <m/>
    <m/>
    <s v=""/>
    <s v="E0106397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SCHWARTZ PETER DR."/>
    <m/>
    <m/>
    <m/>
    <m/>
    <s v="PETER SCHWARTZ MD PLLC"/>
    <s v="234 E 149TH ST"/>
    <s v="BRONX"/>
    <s v="NY"/>
    <s v="10451-5504"/>
    <s v="PHYSICIAN"/>
    <s v="M"/>
    <s v="No"/>
    <s v="MMIS"/>
    <s v="NorthRPU"/>
    <s v="P"/>
    <m/>
    <m/>
    <m/>
    <s v=""/>
    <s v="E0132065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PFISTERER DAVID DR."/>
    <m/>
    <m/>
    <m/>
    <m/>
    <s v="PFISTERER DAVID ALAN"/>
    <s v="110 PLAZA LN"/>
    <s v="WELLSBORO"/>
    <s v="PA"/>
    <s v="16901-1773"/>
    <s v="PHYSICIAN"/>
    <s v="M"/>
    <s v="No"/>
    <s v="MMIS"/>
    <s v="WestRPU"/>
    <s v="P"/>
    <m/>
    <m/>
    <m/>
    <s v=""/>
    <s v="E0133502"/>
    <n v="1"/>
    <n v="1"/>
    <n v="0"/>
    <n v="0"/>
    <n v="0"/>
    <n v="0"/>
    <n v="0"/>
    <n v="0"/>
    <n v="0"/>
    <n v="1"/>
    <n v="0"/>
    <x v="1"/>
    <n v="1"/>
    <s v=""/>
    <s v=""/>
    <s v=""/>
    <s v=""/>
    <s v=""/>
    <s v=""/>
    <s v=""/>
    <s v=""/>
    <s v=""/>
    <n v="1"/>
    <s v=""/>
  </r>
  <r>
    <x v="0"/>
    <m/>
    <m/>
    <m/>
    <m/>
    <s v="SILVA PHAELON DR."/>
    <m/>
    <m/>
    <m/>
    <m/>
    <s v="SILVA PHAELON HENRY"/>
    <s v="20 ARROWOOD DR"/>
    <s v="ITHACA"/>
    <s v="NY"/>
    <s v="14850-1869"/>
    <s v="PHYSICIAN"/>
    <s v="M"/>
    <s v="No"/>
    <s v="MMIS"/>
    <s v="NorthRPU"/>
    <s v="P"/>
    <m/>
    <m/>
    <m/>
    <s v=""/>
    <s v="E0337349"/>
    <n v="1"/>
    <n v="1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PHELAN ERIC"/>
    <m/>
    <m/>
    <m/>
    <m/>
    <s v="PHELAN ERIC ANTHONY"/>
    <m/>
    <m/>
    <m/>
    <m/>
    <s v="PHYSICIAN"/>
    <s v="M"/>
    <s v="No"/>
    <s v="MMIS"/>
    <s v="SouthRPU"/>
    <s v="P"/>
    <m/>
    <m/>
    <m/>
    <s v="Phelan Eric"/>
    <s v="E0451697"/>
    <s v="No"/>
    <s v="No"/>
    <s v="No"/>
    <s v="No"/>
    <s v="No"/>
    <s v="No"/>
    <s v="No"/>
    <s v="No"/>
    <s v="No"/>
    <s v="No"/>
    <s v="No"/>
    <x v="1"/>
    <n v="1"/>
    <s v=""/>
    <s v=""/>
    <s v=""/>
    <s v=""/>
    <s v=""/>
    <s v=""/>
    <s v=""/>
    <s v=""/>
    <s v=""/>
    <s v=""/>
    <s v=""/>
  </r>
  <r>
    <x v="0"/>
    <m/>
    <m/>
    <m/>
    <m/>
    <s v="LEMPERT PHILIP"/>
    <m/>
    <m/>
    <m/>
    <m/>
    <s v="LEMPERT PHILIP    MD"/>
    <s v="100 UPTOWN RD"/>
    <s v="ITHACA"/>
    <s v="NY"/>
    <s v="14850-1632"/>
    <s v="PHYSICIAN"/>
    <s v="M"/>
    <s v="No"/>
    <s v="MMIS"/>
    <s v="NorthRPU"/>
    <s v="P"/>
    <m/>
    <m/>
    <m/>
    <s v=""/>
    <s v="E0252989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DIN PHILLIP DR."/>
    <m/>
    <m/>
    <m/>
    <m/>
    <s v="DIN PHILLIP JOSHUA"/>
    <s v="134 HOMER AVE"/>
    <s v="CORTLAND"/>
    <s v="NY"/>
    <s v="13045-1206"/>
    <s v="PHYSICIAN"/>
    <s v="M"/>
    <s v="No"/>
    <s v="MMIS"/>
    <s v="NorthRPU"/>
    <s v="P"/>
    <m/>
    <m/>
    <m/>
    <s v=""/>
    <s v="E0316761"/>
    <n v="1"/>
    <n v="1"/>
    <n v="0"/>
    <n v="0"/>
    <n v="1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PHILLIPS ERIC DR."/>
    <m/>
    <m/>
    <m/>
    <m/>
    <s v="PHILLIPS ERIC CHRISTOPHER"/>
    <s v="GUTHRIE MEDICAL GRP"/>
    <s v="CORNING"/>
    <s v="NY"/>
    <s v="14830-2287"/>
    <s v="PHYSICIAN"/>
    <s v="M"/>
    <s v="No"/>
    <s v="MMIS"/>
    <s v="WestRPU"/>
    <s v="P"/>
    <m/>
    <m/>
    <m/>
    <s v=""/>
    <s v="E0156811"/>
    <n v="0"/>
    <n v="0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1"/>
    <m/>
    <m/>
    <m/>
    <m/>
    <s v="PHOENIX HOUSES OF NEW YORK, INC."/>
    <m/>
    <m/>
    <m/>
    <m/>
    <s v="PHOENIX HOUSES OF NEW YORK"/>
    <s v="3151 STONY STREET"/>
    <s v="SHRUB OAK"/>
    <s v="NY"/>
    <s v="10588-0458"/>
    <s v="MULTI-TYPE"/>
    <s v="M"/>
    <s v="No"/>
    <s v="MMIS"/>
    <s v="SouthRPU"/>
    <s v="P"/>
    <m/>
    <m/>
    <m/>
    <s v=""/>
    <s v="E0000033"/>
    <n v="0"/>
    <n v="0"/>
    <n v="0"/>
    <n v="0"/>
    <n v="0"/>
    <n v="0"/>
    <n v="0"/>
    <n v="0"/>
    <n v="0"/>
    <n v="0"/>
    <n v="0"/>
    <x v="1"/>
    <s v=""/>
    <s v=""/>
    <n v="1"/>
    <s v=""/>
    <s v=""/>
    <n v="1"/>
    <s v=""/>
    <s v=""/>
    <s v=""/>
    <s v=""/>
    <n v="1"/>
    <s v=""/>
  </r>
  <r>
    <x v="0"/>
    <m/>
    <m/>
    <m/>
    <m/>
    <s v="PHYKITT DONALD DR."/>
    <m/>
    <m/>
    <m/>
    <m/>
    <s v="PHYKITT DONALD"/>
    <s v="GUTHRIE CLINIC LTD"/>
    <s v="SAYRE"/>
    <s v="PA"/>
    <s v="18840"/>
    <s v="PHYSICIAN"/>
    <s v="M"/>
    <s v="No"/>
    <s v="MMIS"/>
    <s v="SouthRPU"/>
    <s v="P"/>
    <m/>
    <m/>
    <m/>
    <s v=""/>
    <s v="E0151097"/>
    <n v="1"/>
    <n v="1"/>
    <n v="0"/>
    <n v="0"/>
    <n v="0"/>
    <n v="0"/>
    <n v="0"/>
    <n v="1"/>
    <n v="1"/>
    <n v="1"/>
    <n v="0"/>
    <x v="2"/>
    <s v=""/>
    <s v=""/>
    <s v=""/>
    <s v=""/>
    <s v=""/>
    <s v=""/>
    <s v=""/>
    <s v=""/>
    <s v=""/>
    <s v=""/>
    <n v="1"/>
    <s v=""/>
  </r>
  <r>
    <x v="1"/>
    <m/>
    <m/>
    <m/>
    <m/>
    <s v="PICHETTE CAREY"/>
    <m/>
    <m/>
    <m/>
    <m/>
    <s v="PICHETTE CAREY MARIE NP"/>
    <s v="503 PLAZA DR"/>
    <s v="VESTAL"/>
    <s v="NY"/>
    <s v="13850-3670"/>
    <s v="PHYSICIAN"/>
    <s v="M"/>
    <s v="No"/>
    <s v="MMIS"/>
    <s v="SouthRPU"/>
    <s v="P"/>
    <m/>
    <m/>
    <m/>
    <s v=""/>
    <s v="E0027966"/>
    <n v="0"/>
    <n v="0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1"/>
    <m/>
    <m/>
    <m/>
    <m/>
    <s v="RIVERVIEW ACQUISITION COMPANY , LLC"/>
    <m/>
    <m/>
    <m/>
    <m/>
    <s v="RIVERVIEW MANOR HEALTH CARE C"/>
    <s v="510 5TH AVE"/>
    <s v="OWEGO"/>
    <s v="NY"/>
    <s v="13827-1620"/>
    <s v="LONG TERM CARE FACILITY"/>
    <s v="M"/>
    <s v="No"/>
    <s v="MMIS"/>
    <s v="SouthRPU"/>
    <s v="P"/>
    <m/>
    <m/>
    <m/>
    <s v=""/>
    <s v="E0263798"/>
    <n v="0"/>
    <n v="0"/>
    <n v="0"/>
    <n v="0"/>
    <n v="0"/>
    <n v="0"/>
    <n v="0"/>
    <n v="0"/>
    <n v="0"/>
    <n v="0"/>
    <n v="0"/>
    <x v="1"/>
    <s v=""/>
    <s v=""/>
    <s v=""/>
    <s v=""/>
    <s v=""/>
    <s v=""/>
    <n v="1"/>
    <s v=""/>
    <s v=""/>
    <s v=""/>
    <n v="1"/>
    <s v=""/>
  </r>
  <r>
    <x v="0"/>
    <m/>
    <m/>
    <m/>
    <m/>
    <s v="PISANI CARRIEANNE MRS."/>
    <m/>
    <m/>
    <m/>
    <m/>
    <s v="PISANI CARRIE ANNE RPA"/>
    <s v="179 N BROAD ST"/>
    <s v="NORWICH"/>
    <s v="NY"/>
    <s v="13815-1097"/>
    <s v="PHYSICIAN"/>
    <s v="M"/>
    <s v="No"/>
    <s v="MMIS"/>
    <s v="EastRPU"/>
    <s v="P"/>
    <m/>
    <m/>
    <m/>
    <s v=""/>
    <s v="E0002205"/>
    <n v="1"/>
    <n v="1"/>
    <n v="0"/>
    <n v="1"/>
    <n v="1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PISANI JOSEPH"/>
    <m/>
    <m/>
    <m/>
    <m/>
    <s v="PISANI JOSEPH"/>
    <s v="44 PEARL STREET"/>
    <s v="SIDNEY"/>
    <s v="NY"/>
    <s v="13838-1325"/>
    <s v="PHYSICIAN"/>
    <s v="M"/>
    <s v="No"/>
    <s v="MMIS"/>
    <s v="EastRPU"/>
    <s v="P"/>
    <m/>
    <m/>
    <m/>
    <s v=""/>
    <s v="E0293566"/>
    <n v="0"/>
    <n v="0"/>
    <n v="0"/>
    <n v="0"/>
    <n v="0"/>
    <n v="0"/>
    <n v="0"/>
    <n v="0"/>
    <n v="0"/>
    <n v="0"/>
    <n v="0"/>
    <x v="2"/>
    <n v="1"/>
    <s v=""/>
    <s v=""/>
    <s v=""/>
    <s v=""/>
    <s v=""/>
    <s v=""/>
    <s v=""/>
    <s v=""/>
    <s v=""/>
    <s v=""/>
    <s v=""/>
  </r>
  <r>
    <x v="1"/>
    <m/>
    <m/>
    <m/>
    <m/>
    <s v="PLANNED PARENTHOOD OF THE SOUTHERN FINGER LAKES INC."/>
    <m/>
    <m/>
    <m/>
    <m/>
    <s v="PLANNED PARENTHOOD SO FINGER LAKES"/>
    <s v="620 W SENECA ST"/>
    <s v="ITHACA"/>
    <s v="NY"/>
    <s v="14850-3326"/>
    <s v="DIAGNOSTIC AND TREATMENT CENTER"/>
    <s v="M"/>
    <s v="No"/>
    <s v="MMIS"/>
    <s v="NorthRPU"/>
    <s v="P"/>
    <m/>
    <m/>
    <m/>
    <s v=""/>
    <s v="E0262944"/>
    <n v="1"/>
    <n v="0"/>
    <n v="0"/>
    <n v="0"/>
    <n v="1"/>
    <n v="0"/>
    <n v="0"/>
    <n v="0"/>
    <n v="0"/>
    <n v="0"/>
    <n v="0"/>
    <x v="1"/>
    <s v=""/>
    <s v=""/>
    <n v="1"/>
    <s v=""/>
    <s v=""/>
    <s v=""/>
    <s v=""/>
    <n v="1"/>
    <s v=""/>
    <s v=""/>
    <n v="1"/>
    <s v=""/>
  </r>
  <r>
    <x v="0"/>
    <m/>
    <m/>
    <m/>
    <m/>
    <s v="CATOR POLLY DR."/>
    <m/>
    <m/>
    <m/>
    <m/>
    <s v="CATOR POLLY ANN MD"/>
    <s v="134 HOMER AVE"/>
    <s v="CORTLAND"/>
    <s v="NY"/>
    <s v="13045-1206"/>
    <s v="PHYSICIAN"/>
    <s v="M"/>
    <s v="No"/>
    <s v="MMIS"/>
    <s v="NorthRPU"/>
    <s v="P"/>
    <m/>
    <m/>
    <m/>
    <s v=""/>
    <s v="E0148920"/>
    <n v="1"/>
    <n v="1"/>
    <n v="0"/>
    <n v="0"/>
    <n v="1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POMPO FRANK"/>
    <m/>
    <m/>
    <m/>
    <m/>
    <s v="POMPO FRANK JOSEPH"/>
    <s v="1104 COMMONS AVE"/>
    <s v="CORTLAND"/>
    <s v="NY"/>
    <s v="13045-1643"/>
    <s v="PHYSICIAN"/>
    <s v="M"/>
    <s v="No"/>
    <s v="MMIS"/>
    <s v="NorthRPU"/>
    <s v="P"/>
    <m/>
    <m/>
    <m/>
    <s v="POMPO FRANK"/>
    <s v="E0395303"/>
    <s v="No"/>
    <s v="No"/>
    <s v="No"/>
    <s v="No"/>
    <s v="No"/>
    <s v="No"/>
    <s v="No"/>
    <s v="No"/>
    <s v="No"/>
    <s v="No"/>
    <s v="No"/>
    <x v="1"/>
    <n v="1"/>
    <s v=""/>
    <s v=""/>
    <s v=""/>
    <s v=""/>
    <s v=""/>
    <s v=""/>
    <s v=""/>
    <s v=""/>
    <s v=""/>
    <n v="1"/>
    <s v=""/>
  </r>
  <r>
    <x v="0"/>
    <m/>
    <m/>
    <m/>
    <m/>
    <s v="POMPO REBECCA"/>
    <m/>
    <m/>
    <m/>
    <m/>
    <s v="POMPO REBECCA A"/>
    <s v="138 N MAIN ST"/>
    <s v="CORTLAND"/>
    <s v="NY"/>
    <s v="13045-1208"/>
    <s v="PHYSICIAN"/>
    <s v="M"/>
    <s v="No"/>
    <s v="MMIS"/>
    <s v="NorthRPU"/>
    <s v="P"/>
    <m/>
    <m/>
    <m/>
    <s v="Pompo Rebecca"/>
    <s v="E0399440"/>
    <s v="No"/>
    <s v="No"/>
    <s v="No"/>
    <s v="No"/>
    <s v="No"/>
    <s v="No"/>
    <s v="No"/>
    <s v="No"/>
    <s v="No"/>
    <s v="No"/>
    <s v="No"/>
    <x v="2"/>
    <n v="1"/>
    <s v=""/>
    <s v=""/>
    <s v=""/>
    <s v=""/>
    <s v=""/>
    <s v=""/>
    <s v=""/>
    <s v=""/>
    <s v=""/>
    <s v=""/>
    <s v=""/>
  </r>
  <r>
    <x v="0"/>
    <m/>
    <m/>
    <m/>
    <m/>
    <s v="POOLE KIMBERLIE"/>
    <m/>
    <m/>
    <m/>
    <m/>
    <s v="COLLIER KIMBERLIE"/>
    <s v="77 NELSON ST"/>
    <s v="AUBURN"/>
    <s v="NY"/>
    <s v="13021-1945"/>
    <s v="PHYSICIAN"/>
    <s v="M"/>
    <s v="No"/>
    <s v="MMIS"/>
    <s v="NorthRPU"/>
    <s v="P"/>
    <m/>
    <m/>
    <m/>
    <s v=""/>
    <s v="E0036243"/>
    <n v="0"/>
    <n v="0"/>
    <n v="0"/>
    <n v="0"/>
    <n v="0"/>
    <n v="0"/>
    <n v="0"/>
    <n v="0"/>
    <n v="0"/>
    <n v="0"/>
    <n v="0"/>
    <x v="2"/>
    <n v="1"/>
    <s v=""/>
    <s v=""/>
    <s v=""/>
    <s v=""/>
    <s v=""/>
    <s v=""/>
    <s v=""/>
    <s v=""/>
    <s v=""/>
    <n v="1"/>
    <s v=""/>
  </r>
  <r>
    <x v="0"/>
    <m/>
    <m/>
    <m/>
    <m/>
    <s v="PORTER BURDETT DR."/>
    <m/>
    <m/>
    <m/>
    <m/>
    <s v="PORTER BURDETT ROY"/>
    <s v="GUTHRIE SQUARE"/>
    <s v="SAYRE"/>
    <s v="PA"/>
    <s v="18840"/>
    <s v="PHYSICIAN"/>
    <s v="M"/>
    <s v="No"/>
    <s v="MMIS"/>
    <s v="SouthRPU"/>
    <s v="P"/>
    <m/>
    <m/>
    <m/>
    <s v=""/>
    <s v="E0105035"/>
    <n v="1"/>
    <n v="1"/>
    <n v="0"/>
    <n v="0"/>
    <n v="0"/>
    <n v="0"/>
    <n v="0"/>
    <n v="0"/>
    <n v="0"/>
    <n v="1"/>
    <n v="0"/>
    <x v="1"/>
    <n v="1"/>
    <s v=""/>
    <s v=""/>
    <s v=""/>
    <s v=""/>
    <s v=""/>
    <s v=""/>
    <s v=""/>
    <s v=""/>
    <s v=""/>
    <n v="1"/>
    <s v=""/>
  </r>
  <r>
    <x v="0"/>
    <m/>
    <m/>
    <m/>
    <m/>
    <s v="POWELL MARITA"/>
    <m/>
    <m/>
    <m/>
    <m/>
    <s v="POWELL MARITA MD"/>
    <s v="LOURDES FAM PRACT"/>
    <s v="BINGHAMTON"/>
    <s v="NY"/>
    <s v="13905-4176"/>
    <s v="PHYSICIAN"/>
    <s v="M"/>
    <s v="No"/>
    <s v="MMIS"/>
    <s v="SouthRPU"/>
    <s v="P"/>
    <m/>
    <m/>
    <m/>
    <s v=""/>
    <s v="E0150591"/>
    <n v="1"/>
    <n v="1"/>
    <n v="0"/>
    <n v="1"/>
    <n v="1"/>
    <n v="1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PRABHU SHEELA DR."/>
    <m/>
    <m/>
    <m/>
    <m/>
    <s v="PRABHU SHEELA"/>
    <s v="GUTHRIE CLINIC"/>
    <s v="SAYRE"/>
    <s v="PA"/>
    <s v="18840"/>
    <s v="PHYSICIAN"/>
    <s v="M"/>
    <s v="No"/>
    <s v="MMIS"/>
    <s v="SouthRPU"/>
    <s v="P"/>
    <m/>
    <m/>
    <m/>
    <s v=""/>
    <s v="E0042729"/>
    <n v="1"/>
    <n v="1"/>
    <n v="0"/>
    <n v="0"/>
    <n v="0"/>
    <n v="0"/>
    <n v="0"/>
    <n v="1"/>
    <n v="1"/>
    <n v="1"/>
    <n v="0"/>
    <x v="2"/>
    <s v=""/>
    <s v=""/>
    <s v=""/>
    <s v=""/>
    <s v=""/>
    <s v=""/>
    <s v=""/>
    <s v=""/>
    <s v=""/>
    <s v=""/>
    <n v="1"/>
    <s v=""/>
  </r>
  <r>
    <x v="0"/>
    <m/>
    <m/>
    <m/>
    <m/>
    <s v="PALLATI PRADEEP DR."/>
    <m/>
    <m/>
    <m/>
    <m/>
    <s v="PALLATI PRADEEP KUMAR"/>
    <s v="169 RIVERSIDE DR"/>
    <s v="BINGHAMTON"/>
    <s v="NY"/>
    <s v="13905-4246"/>
    <s v="PHYSICIAN"/>
    <s v="M"/>
    <s v="No"/>
    <s v="MMIS"/>
    <s v="SouthRPU"/>
    <s v="P"/>
    <m/>
    <m/>
    <m/>
    <s v="Pradeep K. Pallati, MBBS, MD, FACS"/>
    <s v="E0432816"/>
    <s v="No"/>
    <s v="No"/>
    <s v="No"/>
    <s v="No"/>
    <s v="No"/>
    <s v="No"/>
    <s v="No"/>
    <s v="No"/>
    <s v="No"/>
    <s v="No"/>
    <s v="No"/>
    <x v="1"/>
    <n v="1"/>
    <s v=""/>
    <s v=""/>
    <s v=""/>
    <s v=""/>
    <s v=""/>
    <s v=""/>
    <s v=""/>
    <s v=""/>
    <s v=""/>
    <s v=""/>
    <s v=""/>
  </r>
  <r>
    <x v="0"/>
    <m/>
    <m/>
    <m/>
    <m/>
    <s v="PRATO DOMINICK DR."/>
    <m/>
    <m/>
    <m/>
    <m/>
    <s v="PRATO DOMENICO R"/>
    <s v="20 BELKNAP AVE"/>
    <s v="BINGHAMTON"/>
    <s v="NY"/>
    <s v="13905-1931"/>
    <s v="PHYSICIAN"/>
    <s v="M"/>
    <s v="No"/>
    <s v="MMIS"/>
    <s v="SouthRPU"/>
    <s v="P"/>
    <m/>
    <m/>
    <m/>
    <s v="Prato Domenico"/>
    <s v="E0239813"/>
    <s v="No"/>
    <s v="No"/>
    <s v="No"/>
    <s v="No"/>
    <s v="No"/>
    <s v="No"/>
    <s v="No"/>
    <s v="No"/>
    <s v="No"/>
    <s v="No"/>
    <s v="No"/>
    <x v="1"/>
    <n v="1"/>
    <s v=""/>
    <s v=""/>
    <s v=""/>
    <s v=""/>
    <s v=""/>
    <s v=""/>
    <s v=""/>
    <s v=""/>
    <s v=""/>
    <s v=""/>
    <s v=""/>
  </r>
  <r>
    <x v="0"/>
    <m/>
    <m/>
    <m/>
    <m/>
    <s v="BONDALAPATI PRAVEEN"/>
    <m/>
    <m/>
    <m/>
    <m/>
    <s v="BONDALAPATI PRAVEEN KUMAR REDDY"/>
    <s v="169 RIVERSIDE DR STE M05"/>
    <s v="BINGHAMTON"/>
    <s v="NY"/>
    <s v="13905-4246"/>
    <s v="PHYSICIAN"/>
    <s v="M"/>
    <s v="No"/>
    <s v="MMIS"/>
    <s v="SouthRPU"/>
    <s v="P"/>
    <m/>
    <m/>
    <m/>
    <s v="Praveen R. Bondalapati, MD"/>
    <s v="E0307215"/>
    <s v="No"/>
    <s v="No"/>
    <s v="No"/>
    <s v="No"/>
    <s v="No"/>
    <s v="No"/>
    <s v="No"/>
    <s v="No"/>
    <s v="No"/>
    <s v="No"/>
    <s v="No"/>
    <x v="1"/>
    <n v="1"/>
    <s v=""/>
    <s v=""/>
    <s v=""/>
    <s v=""/>
    <s v=""/>
    <s v=""/>
    <s v=""/>
    <s v=""/>
    <s v=""/>
    <s v=""/>
    <s v=""/>
  </r>
  <r>
    <x v="0"/>
    <m/>
    <m/>
    <m/>
    <m/>
    <s v="PROFESSIONAL HOME CARE INC"/>
    <m/>
    <m/>
    <m/>
    <m/>
    <s v="PROFESSIONAL HOME CARE INC"/>
    <s v="4401 VESTAL PKWY E"/>
    <s v="VESTAL"/>
    <s v="NY"/>
    <s v="13850-3514"/>
    <s v="PHARMACY"/>
    <s v="M"/>
    <s v="No"/>
    <s v="MMIS"/>
    <s v="SouthRPU"/>
    <s v="P"/>
    <m/>
    <m/>
    <m/>
    <s v=""/>
    <s v="E0123827"/>
    <n v="0"/>
    <n v="0"/>
    <n v="0"/>
    <n v="0"/>
    <n v="0"/>
    <n v="0"/>
    <n v="0"/>
    <n v="0"/>
    <n v="0"/>
    <n v="0"/>
    <n v="0"/>
    <x v="1"/>
    <s v=""/>
    <s v=""/>
    <s v=""/>
    <s v=""/>
    <s v=""/>
    <s v=""/>
    <s v=""/>
    <n v="1"/>
    <s v=""/>
    <s v=""/>
    <n v="1"/>
    <s v=""/>
  </r>
  <r>
    <x v="0"/>
    <m/>
    <m/>
    <m/>
    <m/>
    <s v="PRYCE MICHAEL DR."/>
    <m/>
    <m/>
    <m/>
    <m/>
    <s v="PRYCE MICHAEL LINDSEY"/>
    <s v="1104 COMMONS AVE"/>
    <s v="CORTLAND"/>
    <s v="NY"/>
    <s v="13045-1643"/>
    <s v="PHYSICIAN"/>
    <s v="M"/>
    <s v="No"/>
    <s v="MMIS"/>
    <s v="NorthRPU"/>
    <s v="P"/>
    <m/>
    <m/>
    <m/>
    <s v="PRYCE MICHAEL LINDSEY"/>
    <s v="E0415488"/>
    <s v="No"/>
    <s v="No"/>
    <s v="No"/>
    <s v="No"/>
    <s v="No"/>
    <s v="No"/>
    <s v="No"/>
    <s v="No"/>
    <s v="No"/>
    <s v="No"/>
    <s v="No"/>
    <x v="1"/>
    <n v="1"/>
    <s v=""/>
    <s v=""/>
    <s v=""/>
    <s v=""/>
    <s v=""/>
    <s v=""/>
    <s v=""/>
    <s v=""/>
    <s v=""/>
    <s v=""/>
    <s v=""/>
  </r>
  <r>
    <x v="0"/>
    <m/>
    <m/>
    <m/>
    <m/>
    <s v="PUGLISI SUSAN"/>
    <m/>
    <m/>
    <m/>
    <m/>
    <s v="PUGLISI SUSAN MARIE"/>
    <s v="415 HOOPER RD"/>
    <s v="ENDWELL"/>
    <s v="NY"/>
    <s v="13760-3646"/>
    <s v="PHYSICIAN"/>
    <s v="M"/>
    <s v="No"/>
    <s v="MMIS"/>
    <s v="SouthRPU"/>
    <s v="P"/>
    <m/>
    <m/>
    <m/>
    <s v="PUGLISI SUSAN"/>
    <s v="E0067274"/>
    <s v="No"/>
    <s v="No"/>
    <s v="No"/>
    <s v="No"/>
    <s v="No"/>
    <s v="No"/>
    <s v="No"/>
    <s v="No"/>
    <s v="No"/>
    <s v="No"/>
    <s v="No"/>
    <x v="2"/>
    <s v=""/>
    <s v=""/>
    <s v=""/>
    <s v=""/>
    <s v=""/>
    <s v=""/>
    <s v=""/>
    <s v=""/>
    <s v=""/>
    <s v=""/>
    <n v="1"/>
    <s v=""/>
  </r>
  <r>
    <x v="1"/>
    <m/>
    <m/>
    <m/>
    <m/>
    <s v="PUTTANNIAH MANGALA"/>
    <m/>
    <m/>
    <m/>
    <m/>
    <s v="PUTTANNIAH MANGALA S       MD"/>
    <s v="CHENANGO BRIDGE M/G"/>
    <s v="BINGHAMTON"/>
    <s v="NY"/>
    <s v="13901-1293"/>
    <s v="PHYSICIAN"/>
    <s v="M"/>
    <s v="No"/>
    <s v="MMIS"/>
    <s v="SouthRPU"/>
    <s v="P"/>
    <m/>
    <m/>
    <m/>
    <s v="PUTTANNIAH MANGALA"/>
    <s v="E0255726"/>
    <s v="No"/>
    <s v="No"/>
    <s v="No"/>
    <s v="No"/>
    <s v="No"/>
    <s v="No"/>
    <s v="No"/>
    <s v="No"/>
    <s v="No"/>
    <s v="No"/>
    <s v="No"/>
    <x v="2"/>
    <s v=""/>
    <s v=""/>
    <s v=""/>
    <s v=""/>
    <s v=""/>
    <s v=""/>
    <s v=""/>
    <s v=""/>
    <s v=""/>
    <s v=""/>
    <n v="1"/>
    <s v=""/>
  </r>
  <r>
    <x v="1"/>
    <m/>
    <m/>
    <m/>
    <m/>
    <s v="QADIR ABDUL DR."/>
    <m/>
    <m/>
    <m/>
    <m/>
    <s v="QADIR ABDUL"/>
    <m/>
    <s v="CORNING"/>
    <s v="NY"/>
    <s v="14830-2899"/>
    <s v="PHYSICIAN"/>
    <s v="M"/>
    <s v="No"/>
    <s v="MMIS"/>
    <s v="WestRPU"/>
    <s v="P"/>
    <m/>
    <m/>
    <m/>
    <s v=""/>
    <s v="E0230770"/>
    <n v="1"/>
    <n v="1"/>
    <n v="0"/>
    <n v="0"/>
    <n v="0"/>
    <n v="0"/>
    <n v="0"/>
    <n v="1"/>
    <n v="1"/>
    <n v="1"/>
    <n v="0"/>
    <x v="2"/>
    <s v=""/>
    <s v=""/>
    <s v=""/>
    <s v=""/>
    <s v=""/>
    <s v=""/>
    <s v=""/>
    <s v=""/>
    <s v=""/>
    <s v=""/>
    <n v="1"/>
    <s v=""/>
  </r>
  <r>
    <x v="0"/>
    <m/>
    <m/>
    <m/>
    <m/>
    <s v="MAGHAYDAH QUTAYBEH"/>
    <m/>
    <m/>
    <m/>
    <m/>
    <s v="MAGHAYDAH QUTAYBEH S MD"/>
    <s v="STE 202"/>
    <s v="GENEVA"/>
    <s v="NY"/>
    <s v="14456-2061"/>
    <s v="PHYSICIAN"/>
    <s v="M"/>
    <s v="No"/>
    <s v="MMIS"/>
    <s v="NorthRPU"/>
    <s v="P"/>
    <m/>
    <m/>
    <m/>
    <s v=""/>
    <s v="E0040673"/>
    <n v="1"/>
    <n v="1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GARNER RACHEL DR."/>
    <m/>
    <m/>
    <m/>
    <m/>
    <s v="GARNER RACHEL LIPSON"/>
    <s v="20-24 S WASHINGTON ST"/>
    <s v="BINGHAMTON"/>
    <s v="NY"/>
    <s v="13903-1710"/>
    <s v="PHYSICIAN"/>
    <s v="M"/>
    <s v="No"/>
    <s v="MMIS"/>
    <s v="SouthRPU"/>
    <s v="P"/>
    <m/>
    <m/>
    <m/>
    <s v="Rachel Garner, MD"/>
    <s v="E0369194"/>
    <s v="No"/>
    <s v="No"/>
    <s v="No"/>
    <s v="No"/>
    <s v="No"/>
    <s v="No"/>
    <s v="No"/>
    <s v="No"/>
    <s v="No"/>
    <s v="No"/>
    <s v="No"/>
    <x v="1"/>
    <n v="1"/>
    <s v=""/>
    <s v=""/>
    <s v=""/>
    <s v=""/>
    <s v=""/>
    <s v=""/>
    <s v=""/>
    <s v=""/>
    <s v=""/>
    <n v="1"/>
    <s v=""/>
  </r>
  <r>
    <x v="0"/>
    <m/>
    <m/>
    <m/>
    <m/>
    <s v="RADOMIR D STEVANOVIC MD PC"/>
    <m/>
    <m/>
    <m/>
    <m/>
    <s v="RADOMIR D STEVANOVIC MD PC"/>
    <s v="2343 N TRIPHAMMER RD"/>
    <s v="ITHACA"/>
    <s v="NY"/>
    <s v="14850-1092"/>
    <s v="PHYSICIANS GROUP"/>
    <s v="M"/>
    <s v="No"/>
    <s v="MMIS"/>
    <s v="NorthRPU"/>
    <s v="P"/>
    <m/>
    <m/>
    <m/>
    <s v="RADOMIR D STEVANOVIC MD PC"/>
    <s v="E0312555"/>
    <s v="No"/>
    <s v="No"/>
    <s v="No"/>
    <s v="No"/>
    <s v="No"/>
    <s v="No"/>
    <s v="No"/>
    <s v="No"/>
    <s v="No"/>
    <s v="No"/>
    <s v="No"/>
    <x v="1"/>
    <s v=""/>
    <s v=""/>
    <s v=""/>
    <s v=""/>
    <s v=""/>
    <s v=""/>
    <s v=""/>
    <s v=""/>
    <s v=""/>
    <s v=""/>
    <n v="1"/>
    <s v=""/>
  </r>
  <r>
    <x v="1"/>
    <m/>
    <m/>
    <m/>
    <m/>
    <s v="STEVANOVIC RADOMIR"/>
    <m/>
    <m/>
    <m/>
    <m/>
    <s v="STEVANOVIC RADOMIR DRAGOMIR MD"/>
    <s v="821 CLIFF ST"/>
    <s v="ITHACA"/>
    <s v="NY"/>
    <s v="14850-2017"/>
    <s v="PHYSICIAN"/>
    <s v="M"/>
    <s v="No"/>
    <s v="MMIS"/>
    <s v="NorthRPU"/>
    <s v="P"/>
    <m/>
    <m/>
    <m/>
    <s v=""/>
    <s v="E0187632"/>
    <n v="1"/>
    <n v="0"/>
    <n v="0"/>
    <n v="0"/>
    <n v="0"/>
    <n v="1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RAFFERTY SONYA"/>
    <m/>
    <m/>
    <m/>
    <m/>
    <s v="RAFFERTY SONYA ELAINE"/>
    <s v="1019 E WATER ST"/>
    <s v="ELMIRA"/>
    <s v="NY"/>
    <s v="14901-3332"/>
    <s v="PHYSICIAN"/>
    <s v="M"/>
    <s v="No"/>
    <s v="MMIS"/>
    <s v="WestRPU"/>
    <s v="P"/>
    <m/>
    <m/>
    <m/>
    <s v="RAFFERTY SONYA"/>
    <s v="E0364284"/>
    <s v="No"/>
    <s v="No"/>
    <s v="No"/>
    <s v="No"/>
    <s v="No"/>
    <s v="No"/>
    <s v="No"/>
    <s v="No"/>
    <s v="No"/>
    <s v="No"/>
    <s v="No"/>
    <x v="1"/>
    <n v="1"/>
    <s v=""/>
    <s v=""/>
    <s v=""/>
    <n v="1"/>
    <s v=""/>
    <s v=""/>
    <s v=""/>
    <s v=""/>
    <s v=""/>
    <s v=""/>
    <s v=""/>
  </r>
  <r>
    <x v="0"/>
    <m/>
    <m/>
    <m/>
    <m/>
    <s v="RAFTIS JAMES"/>
    <m/>
    <m/>
    <m/>
    <m/>
    <s v="RAFTIS JAMES R"/>
    <s v="1 GUTHRIE SQ"/>
    <s v="SAYRE"/>
    <s v="PA"/>
    <s v="18840-1625"/>
    <s v="PHYSICIAN"/>
    <s v="M"/>
    <s v="No"/>
    <s v="MMIS"/>
    <s v="SouthRPU"/>
    <s v="P"/>
    <m/>
    <m/>
    <m/>
    <s v=""/>
    <s v="E0134393"/>
    <n v="1"/>
    <n v="1"/>
    <n v="0"/>
    <n v="0"/>
    <n v="0"/>
    <n v="0"/>
    <n v="0"/>
    <n v="0"/>
    <n v="0"/>
    <n v="1"/>
    <n v="0"/>
    <x v="1"/>
    <n v="1"/>
    <s v=""/>
    <s v=""/>
    <s v=""/>
    <s v=""/>
    <s v=""/>
    <s v=""/>
    <s v=""/>
    <s v=""/>
    <s v=""/>
    <n v="1"/>
    <s v=""/>
  </r>
  <r>
    <x v="1"/>
    <m/>
    <m/>
    <m/>
    <m/>
    <s v="RAHNER DOUGLAS"/>
    <m/>
    <m/>
    <m/>
    <m/>
    <s v="RAHNER DOUGLAS A MD"/>
    <s v="22-24 EAST MAIN ST"/>
    <s v="MARATHON"/>
    <s v="NY"/>
    <s v="13803"/>
    <s v="PHYSICIAN"/>
    <s v="M"/>
    <s v="No"/>
    <s v="MMIS"/>
    <s v="NorthRPU"/>
    <s v="P"/>
    <m/>
    <m/>
    <m/>
    <s v=""/>
    <s v="E0032803"/>
    <n v="1"/>
    <n v="1"/>
    <n v="0"/>
    <n v="0"/>
    <n v="1"/>
    <n v="1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1"/>
    <m/>
    <m/>
    <m/>
    <m/>
    <s v="RAJARAM ASWINI"/>
    <m/>
    <m/>
    <m/>
    <m/>
    <s v="RAJARAM ASWINI"/>
    <s v="10-42 MITCHELL AVENUE"/>
    <s v="BINGHAMTON"/>
    <s v="NY"/>
    <s v="13903-1678"/>
    <s v="PHYSICIAN"/>
    <s v="M"/>
    <s v="No"/>
    <s v="MMIS"/>
    <s v="SouthRPU"/>
    <s v="P"/>
    <m/>
    <m/>
    <m/>
    <s v=""/>
    <s v="E0295565"/>
    <n v="1"/>
    <n v="1"/>
    <n v="0"/>
    <n v="1"/>
    <n v="1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1"/>
    <m/>
    <m/>
    <m/>
    <m/>
    <s v="RAO RAJARAM"/>
    <m/>
    <m/>
    <m/>
    <m/>
    <s v="RAO RAJARAM N S            MD"/>
    <s v="10 GRAHAM RD W"/>
    <s v="ITHACA"/>
    <s v="NY"/>
    <s v="14850-1055"/>
    <s v="PHYSICIAN"/>
    <s v="M"/>
    <s v="No"/>
    <s v="MMIS"/>
    <s v="NorthRPU"/>
    <s v="P"/>
    <m/>
    <m/>
    <m/>
    <s v=""/>
    <s v="E0252743"/>
    <n v="1"/>
    <n v="1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RAO RAJESH"/>
    <m/>
    <m/>
    <m/>
    <m/>
    <s v="RAO RAJESH S K"/>
    <s v="1104 COMMONS AVE"/>
    <s v="CORTLAND"/>
    <s v="NY"/>
    <s v="13045-1643"/>
    <s v="PHYSICIAN"/>
    <s v="M"/>
    <s v="No"/>
    <s v="MMIS"/>
    <s v="NorthRPU"/>
    <s v="P"/>
    <m/>
    <m/>
    <m/>
    <s v=""/>
    <s v="E0037656"/>
    <n v="1"/>
    <n v="1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BISHOP RALPH DR."/>
    <m/>
    <m/>
    <m/>
    <m/>
    <s v="BISHOP RALPH M"/>
    <s v="100 UPTOWN RD"/>
    <s v="ITHACA"/>
    <s v="NY"/>
    <s v="14850-1632"/>
    <s v="PHYSICIAN"/>
    <s v="M"/>
    <s v="No"/>
    <s v="MMIS"/>
    <s v="NorthRPU"/>
    <s v="P"/>
    <m/>
    <m/>
    <m/>
    <s v=""/>
    <s v="E0265583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ORTIZ RALPH"/>
    <m/>
    <m/>
    <m/>
    <m/>
    <s v="ORTIZ RALPH"/>
    <s v="2127 DRYDEN ROAD"/>
    <s v="DRYDEN"/>
    <s v="NY"/>
    <s v="13053-0640"/>
    <s v="PHYSICIAN"/>
    <s v="M"/>
    <s v="No"/>
    <s v="MMIS"/>
    <s v="NorthRPU"/>
    <s v="P"/>
    <m/>
    <m/>
    <m/>
    <s v=""/>
    <s v="E0063528"/>
    <n v="0"/>
    <n v="0"/>
    <n v="0"/>
    <n v="0"/>
    <n v="0"/>
    <n v="0"/>
    <n v="0"/>
    <n v="0"/>
    <n v="0"/>
    <n v="0"/>
    <n v="0"/>
    <x v="2"/>
    <n v="1"/>
    <s v=""/>
    <s v=""/>
    <s v=""/>
    <s v=""/>
    <s v=""/>
    <s v=""/>
    <s v=""/>
    <s v=""/>
    <s v=""/>
    <n v="1"/>
    <s v=""/>
  </r>
  <r>
    <x v="0"/>
    <m/>
    <m/>
    <m/>
    <m/>
    <s v="RAMAN SUCHARITA DR."/>
    <m/>
    <m/>
    <m/>
    <m/>
    <s v="RAMAN SUCHARITA MD"/>
    <s v="GUTHRIE CLINIC LTD"/>
    <s v="SAYRE"/>
    <s v="PA"/>
    <s v="18840"/>
    <s v="PHYSICIAN"/>
    <s v="M"/>
    <s v="No"/>
    <s v="MMIS"/>
    <s v="SouthRPU"/>
    <s v="P"/>
    <m/>
    <m/>
    <m/>
    <s v=""/>
    <s v="E0106486"/>
    <n v="1"/>
    <n v="1"/>
    <n v="0"/>
    <n v="0"/>
    <n v="0"/>
    <n v="0"/>
    <n v="0"/>
    <n v="0"/>
    <n v="0"/>
    <n v="1"/>
    <n v="0"/>
    <x v="1"/>
    <n v="1"/>
    <s v=""/>
    <s v=""/>
    <s v=""/>
    <s v=""/>
    <s v=""/>
    <s v=""/>
    <s v=""/>
    <s v=""/>
    <s v=""/>
    <n v="1"/>
    <s v=""/>
  </r>
  <r>
    <x v="0"/>
    <m/>
    <m/>
    <m/>
    <m/>
    <s v="RAMANUJAPURAM RAMANUJAN M.D."/>
    <m/>
    <m/>
    <m/>
    <m/>
    <s v="RAMANUJAPURAM RAMANUJAN MD"/>
    <s v="LOURDES HOSP"/>
    <s v="BINGHAMTON"/>
    <s v="NY"/>
    <s v="13905-4198"/>
    <s v="PHYSICIANS GROUP"/>
    <s v="M"/>
    <s v="No"/>
    <s v="MMIS"/>
    <s v="SouthRPU"/>
    <s v="P"/>
    <m/>
    <m/>
    <m/>
    <s v=""/>
    <s v="E0070982"/>
    <n v="1"/>
    <n v="0"/>
    <n v="0"/>
    <n v="1"/>
    <n v="1"/>
    <n v="0"/>
    <n v="0"/>
    <n v="0"/>
    <n v="0"/>
    <n v="0"/>
    <n v="0"/>
    <x v="1"/>
    <s v=""/>
    <s v=""/>
    <s v=""/>
    <s v=""/>
    <s v=""/>
    <s v=""/>
    <s v=""/>
    <s v=""/>
    <s v=""/>
    <s v=""/>
    <n v="1"/>
    <s v=""/>
  </r>
  <r>
    <x v="0"/>
    <m/>
    <m/>
    <m/>
    <m/>
    <s v="RANA SHAMSUDDIN DR."/>
    <m/>
    <m/>
    <m/>
    <m/>
    <s v="RANA SHAMSUDDIN MD"/>
    <s v="161 RIVERSIDE DR"/>
    <s v="BINGHAMTON"/>
    <s v="NY"/>
    <s v="13905-4197"/>
    <s v="PHYSICIAN"/>
    <s v="M"/>
    <s v="No"/>
    <s v="MMIS"/>
    <s v="SouthRPU"/>
    <s v="P"/>
    <m/>
    <m/>
    <m/>
    <s v=""/>
    <s v="E0238936"/>
    <n v="1"/>
    <n v="1"/>
    <n v="0"/>
    <n v="1"/>
    <n v="1"/>
    <n v="0"/>
    <n v="0"/>
    <n v="1"/>
    <n v="0"/>
    <n v="0"/>
    <n v="1"/>
    <x v="2"/>
    <s v=""/>
    <s v=""/>
    <s v=""/>
    <s v=""/>
    <s v=""/>
    <s v=""/>
    <s v=""/>
    <s v=""/>
    <s v=""/>
    <s v=""/>
    <s v=""/>
    <s v=""/>
  </r>
  <r>
    <x v="0"/>
    <m/>
    <m/>
    <m/>
    <m/>
    <s v="RAO MUKESH DR."/>
    <m/>
    <m/>
    <m/>
    <m/>
    <s v="RAO MUKESH G MD"/>
    <s v="STE 307"/>
    <s v="BINGHAMTON"/>
    <s v="NY"/>
    <s v="13905-4176"/>
    <s v="PHYSICIAN"/>
    <s v="M"/>
    <s v="No"/>
    <s v="MMIS"/>
    <s v="SouthRPU"/>
    <s v="P"/>
    <m/>
    <m/>
    <m/>
    <s v=""/>
    <s v="E0178807"/>
    <n v="1"/>
    <n v="1"/>
    <n v="0"/>
    <n v="1"/>
    <n v="1"/>
    <n v="0"/>
    <n v="0"/>
    <n v="1"/>
    <n v="0"/>
    <n v="0"/>
    <n v="1"/>
    <x v="2"/>
    <s v=""/>
    <s v=""/>
    <s v=""/>
    <s v=""/>
    <s v=""/>
    <s v=""/>
    <s v=""/>
    <s v=""/>
    <s v=""/>
    <s v=""/>
    <n v="1"/>
    <s v=""/>
  </r>
  <r>
    <x v="0"/>
    <m/>
    <m/>
    <m/>
    <m/>
    <s v="HAQ RASHID"/>
    <m/>
    <m/>
    <m/>
    <m/>
    <s v="HAQ RASHID UL MD"/>
    <s v="750 E ADAMS ST"/>
    <s v="SYRACUSE"/>
    <s v="NY"/>
    <s v="13210-2342"/>
    <s v="PHYSICIAN"/>
    <s v="M"/>
    <s v="No"/>
    <s v="MMIS"/>
    <s v="NorthRPU"/>
    <s v="P"/>
    <m/>
    <m/>
    <m/>
    <s v=""/>
    <s v="E0024284"/>
    <n v="1"/>
    <n v="1"/>
    <n v="0"/>
    <n v="1"/>
    <n v="1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RATTENBURY HEATHER"/>
    <m/>
    <m/>
    <m/>
    <m/>
    <s v="RATTENBURY HEATHER THU"/>
    <s v="1290 UPPER FRONT ST"/>
    <s v="BINGHAMTON"/>
    <s v="NY"/>
    <s v="13901-1046"/>
    <s v="PHYSICIAN"/>
    <s v="M"/>
    <s v="No"/>
    <s v="MMIS"/>
    <s v="SouthRPU"/>
    <s v="P"/>
    <m/>
    <m/>
    <m/>
    <s v="Rattenbury Heather"/>
    <s v="E0407296"/>
    <s v="No"/>
    <s v="No"/>
    <s v="No"/>
    <s v="No"/>
    <s v="No"/>
    <s v="No"/>
    <s v="No"/>
    <s v="No"/>
    <s v="No"/>
    <s v="No"/>
    <s v="No"/>
    <x v="2"/>
    <n v="1"/>
    <s v=""/>
    <s v=""/>
    <s v=""/>
    <s v=""/>
    <s v=""/>
    <s v=""/>
    <s v=""/>
    <s v=""/>
    <s v=""/>
    <s v=""/>
    <s v=""/>
  </r>
  <r>
    <x v="0"/>
    <m/>
    <m/>
    <m/>
    <m/>
    <s v="KAVUDA RAVI DR."/>
    <m/>
    <m/>
    <m/>
    <m/>
    <s v="KAVUDA RAVI RAJ"/>
    <s v="161 RIVERSIDE DR STE 206"/>
    <s v="BINGHAMTON"/>
    <s v="NY"/>
    <s v="13905-4178"/>
    <s v="PHYSICIAN"/>
    <s v="M"/>
    <s v="No"/>
    <s v="MMIS"/>
    <s v="SouthRPU"/>
    <s v="P"/>
    <m/>
    <m/>
    <m/>
    <s v="Ravi-Raj Kavuda, MD"/>
    <s v="E0393513"/>
    <s v="No"/>
    <s v="No"/>
    <s v="No"/>
    <s v="No"/>
    <s v="No"/>
    <s v="No"/>
    <s v="No"/>
    <s v="No"/>
    <s v="No"/>
    <s v="No"/>
    <s v="No"/>
    <x v="2"/>
    <n v="1"/>
    <s v=""/>
    <s v=""/>
    <s v=""/>
    <s v=""/>
    <s v=""/>
    <s v=""/>
    <s v=""/>
    <s v=""/>
    <s v=""/>
    <n v="1"/>
    <s v=""/>
  </r>
  <r>
    <x v="0"/>
    <m/>
    <m/>
    <m/>
    <m/>
    <s v="JANNETTI RAYMOND"/>
    <m/>
    <m/>
    <m/>
    <m/>
    <s v="JANNETTI RAYMOND A         MD"/>
    <s v="BROAD RD"/>
    <s v="SYRACUSE"/>
    <s v="NY"/>
    <s v="13215-5100"/>
    <s v="PHYSICIAN"/>
    <s v="M"/>
    <s v="No"/>
    <s v="MMIS"/>
    <s v="NorthRPU"/>
    <s v="P"/>
    <m/>
    <m/>
    <m/>
    <s v=""/>
    <s v="E0198506"/>
    <n v="0"/>
    <n v="0"/>
    <n v="0"/>
    <n v="0"/>
    <n v="0"/>
    <n v="0"/>
    <n v="0"/>
    <n v="0"/>
    <n v="0"/>
    <n v="0"/>
    <n v="0"/>
    <x v="2"/>
    <n v="1"/>
    <s v=""/>
    <s v=""/>
    <s v=""/>
    <s v=""/>
    <s v=""/>
    <s v=""/>
    <s v=""/>
    <s v=""/>
    <s v=""/>
    <s v=""/>
    <s v=""/>
  </r>
  <r>
    <x v="0"/>
    <m/>
    <m/>
    <m/>
    <m/>
    <s v="RECOVERY COUNSELING, LLC"/>
    <m/>
    <m/>
    <m/>
    <m/>
    <s v="RECOVERY COUNSELING, LLC"/>
    <s v="OAS CL STE 101-103"/>
    <s v="AUBURN"/>
    <s v="NY"/>
    <s v="13021-3324"/>
    <s v="DIAGNOSTIC AND TREATMENT CENTER"/>
    <s v="M"/>
    <s v="No"/>
    <s v="MMIS"/>
    <s v="NorthRPU"/>
    <s v="P"/>
    <m/>
    <m/>
    <m/>
    <s v=""/>
    <s v="E0320685"/>
    <n v="0"/>
    <n v="0"/>
    <n v="0"/>
    <n v="0"/>
    <n v="0"/>
    <n v="0"/>
    <n v="0"/>
    <n v="0"/>
    <n v="0"/>
    <n v="0"/>
    <n v="0"/>
    <x v="1"/>
    <s v=""/>
    <s v=""/>
    <s v=""/>
    <s v=""/>
    <s v=""/>
    <n v="1"/>
    <s v=""/>
    <s v=""/>
    <s v=""/>
    <s v=""/>
    <n v="1"/>
    <s v=""/>
  </r>
  <r>
    <x v="0"/>
    <m/>
    <m/>
    <m/>
    <m/>
    <s v="REES RUSSELL DR."/>
    <m/>
    <m/>
    <m/>
    <m/>
    <s v="REES RUSSELL E MD"/>
    <s v="GUTHRIE CLINIC"/>
    <s v="SAYRE"/>
    <s v="PA"/>
    <s v="18840"/>
    <s v="PHYSICIAN"/>
    <s v="M"/>
    <s v="No"/>
    <s v="MMIS"/>
    <s v="SouthRPU"/>
    <s v="P"/>
    <m/>
    <m/>
    <m/>
    <s v=""/>
    <s v="E0038150"/>
    <n v="1"/>
    <n v="1"/>
    <n v="0"/>
    <n v="0"/>
    <n v="0"/>
    <n v="0"/>
    <n v="0"/>
    <n v="0"/>
    <n v="0"/>
    <n v="1"/>
    <n v="0"/>
    <x v="1"/>
    <n v="1"/>
    <s v=""/>
    <s v=""/>
    <s v=""/>
    <s v=""/>
    <s v=""/>
    <s v=""/>
    <s v=""/>
    <s v=""/>
    <s v=""/>
    <n v="1"/>
    <s v=""/>
  </r>
  <r>
    <x v="0"/>
    <m/>
    <m/>
    <m/>
    <m/>
    <s v="REGIONAL MEDICAL PRACTICE, PC"/>
    <m/>
    <m/>
    <m/>
    <m/>
    <s v="REGIONAL MEDICAL PRACTICE PC"/>
    <s v="134 HOMER AVE"/>
    <s v="CORTLAND"/>
    <s v="NY"/>
    <s v="13045-1206"/>
    <s v="PHYSICIANS GROUP"/>
    <s v="M"/>
    <s v="No"/>
    <s v="MMIS"/>
    <s v="NorthRPU"/>
    <s v="P"/>
    <m/>
    <m/>
    <m/>
    <s v=""/>
    <s v="E0317801"/>
    <n v="0"/>
    <n v="0"/>
    <n v="0"/>
    <n v="0"/>
    <n v="0"/>
    <n v="0"/>
    <n v="0"/>
    <n v="0"/>
    <n v="0"/>
    <n v="0"/>
    <n v="0"/>
    <x v="1"/>
    <s v=""/>
    <s v=""/>
    <s v=""/>
    <s v=""/>
    <s v=""/>
    <s v=""/>
    <s v=""/>
    <s v=""/>
    <s v=""/>
    <s v=""/>
    <n v="1"/>
    <s v=""/>
  </r>
  <r>
    <x v="1"/>
    <m/>
    <m/>
    <m/>
    <m/>
    <s v="REHABILITATION SUPPORT SERVICES, INC"/>
    <m/>
    <m/>
    <m/>
    <m/>
    <s v="REHABILITATION SUPPORT SERVICES"/>
    <s v="C/7144409 SRCR"/>
    <s v="POUGHKEEPSIE"/>
    <s v="NY"/>
    <s v="12601-5124"/>
    <s v="MULTI-TYPE"/>
    <s v="M"/>
    <s v="No"/>
    <s v="MMIS"/>
    <s v="SouthRPU"/>
    <s v="P"/>
    <m/>
    <m/>
    <m/>
    <s v=""/>
    <s v="E0165585"/>
    <n v="1"/>
    <n v="0"/>
    <n v="0"/>
    <n v="1"/>
    <n v="1"/>
    <n v="0"/>
    <n v="0"/>
    <n v="0"/>
    <n v="0"/>
    <n v="1"/>
    <n v="0"/>
    <x v="1"/>
    <s v=""/>
    <s v=""/>
    <s v=""/>
    <n v="1"/>
    <n v="1"/>
    <s v=""/>
    <s v=""/>
    <s v=""/>
    <s v=""/>
    <s v=""/>
    <s v=""/>
    <s v=""/>
  </r>
  <r>
    <x v="0"/>
    <m/>
    <m/>
    <m/>
    <m/>
    <s v="REHMAN AFZAL"/>
    <m/>
    <m/>
    <m/>
    <m/>
    <s v="REHMAN AFZAL UR MD"/>
    <s v="TIER CARDIOL GRP PC"/>
    <s v="JOHNSON CITY"/>
    <s v="NY"/>
    <s v="13790-2426"/>
    <s v="PHYSICIAN"/>
    <s v="M"/>
    <s v="No"/>
    <s v="MMIS"/>
    <s v="SouthRPU"/>
    <s v="P"/>
    <m/>
    <m/>
    <m/>
    <s v="REHMAN AFZAL"/>
    <s v="E0114291"/>
    <s v="No"/>
    <s v="No"/>
    <s v="No"/>
    <s v="No"/>
    <s v="No"/>
    <s v="No"/>
    <s v="No"/>
    <s v="No"/>
    <s v="No"/>
    <s v="No"/>
    <s v="No"/>
    <x v="1"/>
    <n v="1"/>
    <s v=""/>
    <s v=""/>
    <s v=""/>
    <s v=""/>
    <s v=""/>
    <s v=""/>
    <s v=""/>
    <s v=""/>
    <s v=""/>
    <s v=""/>
    <s v=""/>
  </r>
  <r>
    <x v="0"/>
    <m/>
    <m/>
    <m/>
    <m/>
    <s v="REILLY TRACEY"/>
    <m/>
    <m/>
    <m/>
    <m/>
    <s v="REILLY TRACEY H MD"/>
    <s v="134 HOMER AVE"/>
    <s v="CORTLAND"/>
    <s v="NY"/>
    <s v="13045-1206"/>
    <s v="PHYSICIAN"/>
    <s v="M"/>
    <s v="No"/>
    <s v="MMIS"/>
    <s v="NorthRPU"/>
    <s v="P"/>
    <m/>
    <m/>
    <m/>
    <s v=""/>
    <s v="E0032539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RESURRECCION I AM"/>
    <m/>
    <m/>
    <m/>
    <m/>
    <s v="RESURRECCION I AM PANLILIO"/>
    <s v="1 GUTHRIE SQ"/>
    <s v="SAYRE"/>
    <s v="PA"/>
    <s v="18840-1625"/>
    <s v="PHYSICIAN"/>
    <s v="M"/>
    <s v="No"/>
    <s v="MMIS"/>
    <s v="SouthRPU"/>
    <s v="P"/>
    <m/>
    <m/>
    <m/>
    <s v=""/>
    <s v="E0352992"/>
    <n v="0"/>
    <n v="0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REYES ROWENA"/>
    <m/>
    <m/>
    <m/>
    <m/>
    <s v="REYES ROWENA MARIA MD"/>
    <s v="1302 E MAIN ST"/>
    <s v="ENDICOTT"/>
    <s v="NY"/>
    <s v="13760-5430"/>
    <s v="PHYSICIAN"/>
    <s v="M"/>
    <s v="No"/>
    <s v="MMIS"/>
    <s v="SouthRPU"/>
    <s v="P"/>
    <m/>
    <m/>
    <m/>
    <s v="REYES ROWENA"/>
    <s v="E0009574"/>
    <s v="No"/>
    <s v="No"/>
    <s v="No"/>
    <s v="No"/>
    <s v="No"/>
    <s v="No"/>
    <s v="No"/>
    <s v="No"/>
    <s v="No"/>
    <s v="No"/>
    <s v="No"/>
    <x v="1"/>
    <s v=""/>
    <s v=""/>
    <s v=""/>
    <s v=""/>
    <s v=""/>
    <s v=""/>
    <s v=""/>
    <s v=""/>
    <s v=""/>
    <s v=""/>
    <s v=""/>
    <n v="1"/>
  </r>
  <r>
    <x v="0"/>
    <m/>
    <m/>
    <m/>
    <m/>
    <s v="REYNOLDS DERMOT DR."/>
    <m/>
    <m/>
    <m/>
    <m/>
    <s v="REYNOLDS DERMOT M MD"/>
    <s v="1 GUTHRIE SQ"/>
    <s v="SAYRE"/>
    <s v="PA"/>
    <s v="18840-1625"/>
    <s v="PHYSICIAN"/>
    <s v="M"/>
    <s v="No"/>
    <s v="MMIS"/>
    <s v="SouthRPU"/>
    <s v="P"/>
    <m/>
    <m/>
    <m/>
    <s v=""/>
    <s v="E0047958"/>
    <n v="1"/>
    <n v="1"/>
    <n v="0"/>
    <n v="0"/>
    <n v="0"/>
    <n v="0"/>
    <n v="0"/>
    <n v="0"/>
    <n v="0"/>
    <n v="1"/>
    <n v="0"/>
    <x v="1"/>
    <n v="1"/>
    <s v=""/>
    <s v=""/>
    <s v=""/>
    <s v=""/>
    <s v=""/>
    <s v=""/>
    <s v=""/>
    <s v=""/>
    <s v=""/>
    <n v="1"/>
    <s v=""/>
  </r>
  <r>
    <x v="0"/>
    <m/>
    <m/>
    <m/>
    <m/>
    <s v="REYNOLDS ROBERT"/>
    <m/>
    <m/>
    <m/>
    <m/>
    <s v="REYNOLDS ROBERT MICHAEL"/>
    <s v="1302 E MAIN ST"/>
    <s v="ENDICOTT"/>
    <s v="NY"/>
    <s v="13760-5430"/>
    <s v="PHYSICIAN"/>
    <s v="M"/>
    <s v="No"/>
    <s v="MMIS"/>
    <s v="SouthRPU"/>
    <s v="P"/>
    <m/>
    <m/>
    <m/>
    <s v=""/>
    <s v="E0077615"/>
    <n v="1"/>
    <n v="1"/>
    <n v="0"/>
    <n v="1"/>
    <n v="1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ALLEN RICHARD"/>
    <m/>
    <m/>
    <m/>
    <m/>
    <s v="ALLEN RICHARD L MD"/>
    <s v="101 DATES DR"/>
    <s v="ITHACA"/>
    <s v="NY"/>
    <s v="14850-1342"/>
    <s v="PHYSICIAN"/>
    <s v="M"/>
    <s v="No"/>
    <s v="MMIS"/>
    <s v="NorthRPU"/>
    <s v="P"/>
    <m/>
    <m/>
    <m/>
    <s v=""/>
    <s v="E0150171"/>
    <n v="1"/>
    <n v="1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RIGOTTI RICHARD"/>
    <m/>
    <m/>
    <m/>
    <m/>
    <s v="RIGOTTI RICHARD M MD"/>
    <s v="UHSH"/>
    <s v="JOHNSON CITY"/>
    <s v="NY"/>
    <s v="13790-2107"/>
    <s v="PHYSICIAN"/>
    <s v="M"/>
    <s v="No"/>
    <s v="MMIS"/>
    <s v="SouthRPU"/>
    <s v="P"/>
    <m/>
    <m/>
    <m/>
    <s v=""/>
    <s v="E0139409"/>
    <n v="1"/>
    <n v="1"/>
    <n v="0"/>
    <n v="1"/>
    <n v="1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MURRAY RICHARD DR."/>
    <m/>
    <m/>
    <m/>
    <m/>
    <s v="MURRAY RICHARD W MD"/>
    <s v="101 DATES DR"/>
    <s v="ITHACA"/>
    <s v="NY"/>
    <s v="14850-1342"/>
    <s v="PHYSICIAN"/>
    <s v="M"/>
    <s v="No"/>
    <s v="MMIS"/>
    <s v="NorthRPU"/>
    <s v="P"/>
    <m/>
    <m/>
    <m/>
    <s v=""/>
    <s v="E0172023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RILLORAZA FRANCISCO DR."/>
    <m/>
    <m/>
    <m/>
    <m/>
    <s v="RILLORAZA FRANCISCO L MD"/>
    <s v="169 RIVERSIDE DR STE 300"/>
    <s v="BINGHAMTON"/>
    <s v="NY"/>
    <s v="13905-4246"/>
    <s v="PHYSICIAN"/>
    <s v="M"/>
    <s v="No"/>
    <s v="MMIS"/>
    <s v="SouthRPU"/>
    <s v="P"/>
    <m/>
    <m/>
    <m/>
    <s v="RILLORAZA FRANCISCO DR."/>
    <s v="E0041509"/>
    <s v="No"/>
    <s v="No"/>
    <s v="No"/>
    <s v="No"/>
    <s v="No"/>
    <s v="No"/>
    <s v="No"/>
    <s v="No"/>
    <s v="No"/>
    <s v="No"/>
    <s v="No"/>
    <x v="1"/>
    <n v="1"/>
    <s v=""/>
    <s v=""/>
    <s v=""/>
    <s v=""/>
    <s v=""/>
    <s v=""/>
    <s v=""/>
    <s v=""/>
    <s v=""/>
    <n v="1"/>
    <s v=""/>
  </r>
  <r>
    <x v="0"/>
    <m/>
    <m/>
    <m/>
    <m/>
    <s v="RIPLEY KENNETH MR."/>
    <m/>
    <m/>
    <m/>
    <m/>
    <s v="RIPLEY KENNETH DALE JR"/>
    <s v="DEPOSIT FAM CARE CTR"/>
    <s v="DEPOSIT"/>
    <s v="NY"/>
    <s v="13754-1103"/>
    <s v="PHYSICIAN"/>
    <s v="M"/>
    <s v="No"/>
    <s v="MMIS"/>
    <s v="SouthRPU"/>
    <s v="P"/>
    <m/>
    <m/>
    <m/>
    <s v="RIPLEY KENNETH MR."/>
    <s v="E0172860"/>
    <s v="No"/>
    <s v="No"/>
    <s v="No"/>
    <s v="No"/>
    <s v="No"/>
    <s v="No"/>
    <s v="No"/>
    <s v="No"/>
    <s v="No"/>
    <s v="No"/>
    <s v="No"/>
    <x v="1"/>
    <s v=""/>
    <s v=""/>
    <s v=""/>
    <s v=""/>
    <s v=""/>
    <s v=""/>
    <s v=""/>
    <s v=""/>
    <s v=""/>
    <s v=""/>
    <s v=""/>
    <n v="1"/>
  </r>
  <r>
    <x v="0"/>
    <m/>
    <m/>
    <m/>
    <m/>
    <s v="CYR RISA"/>
    <m/>
    <m/>
    <m/>
    <m/>
    <s v="CYR RISA DUBIN"/>
    <s v="101 DATES DR"/>
    <s v="ITHACA"/>
    <s v="NY"/>
    <s v="14850-1342"/>
    <s v="PHYSICIAN"/>
    <s v="M"/>
    <s v="No"/>
    <s v="MMIS"/>
    <s v="NorthRPU"/>
    <s v="P"/>
    <m/>
    <m/>
    <m/>
    <s v=""/>
    <s v="E0354729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RISING MICHELLE"/>
    <m/>
    <m/>
    <m/>
    <m/>
    <s v="RISING MICHELLE LYNN"/>
    <m/>
    <m/>
    <m/>
    <m/>
    <s v="PHYSICIAN"/>
    <s v="M"/>
    <s v="No"/>
    <s v="MMIS"/>
    <s v="SouthRPU"/>
    <s v="P"/>
    <m/>
    <m/>
    <m/>
    <s v="Rising Michelle"/>
    <s v="E0452149"/>
    <s v="No"/>
    <s v="No"/>
    <s v="No"/>
    <s v="No"/>
    <s v="No"/>
    <s v="No"/>
    <s v="No"/>
    <s v="No"/>
    <s v="No"/>
    <s v="No"/>
    <s v="No"/>
    <x v="1"/>
    <n v="1"/>
    <s v=""/>
    <s v=""/>
    <s v=""/>
    <s v=""/>
    <s v=""/>
    <s v=""/>
    <s v=""/>
    <s v=""/>
    <s v=""/>
    <n v="1"/>
    <s v=""/>
  </r>
  <r>
    <x v="1"/>
    <m/>
    <m/>
    <m/>
    <m/>
    <s v="CARTER JADE"/>
    <m/>
    <m/>
    <m/>
    <m/>
    <s v="CARTER JADE ANNIQUE"/>
    <s v="23 CENTRAL ST"/>
    <s v="MORAVIA"/>
    <s v="NY"/>
    <s v="13118-3427"/>
    <s v="DENTIST"/>
    <s v="M"/>
    <s v="No"/>
    <s v="MMIS"/>
    <s v="NorthRPU"/>
    <s v="P"/>
    <m/>
    <m/>
    <m/>
    <s v=""/>
    <s v="E0367109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RIVARD KATHERINE"/>
    <m/>
    <m/>
    <m/>
    <m/>
    <s v="RIVARD KATHERINE M"/>
    <s v="30 HARRISON ST STE 455"/>
    <s v="JOHNSON CITY"/>
    <s v="NY"/>
    <s v="13790-2176"/>
    <s v="PHYSICIAN"/>
    <s v="M"/>
    <s v="No"/>
    <s v="MMIS"/>
    <s v="SouthRPU"/>
    <s v="P"/>
    <m/>
    <m/>
    <m/>
    <s v=""/>
    <s v="E0327691"/>
    <n v="1"/>
    <n v="1"/>
    <n v="0"/>
    <n v="1"/>
    <n v="1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KHAN RIZWAN DR."/>
    <m/>
    <m/>
    <m/>
    <m/>
    <s v="KHAN RIZWAN H"/>
    <s v="840 HANSHAW RD"/>
    <s v="ITHACA"/>
    <s v="NY"/>
    <s v="14850-1589"/>
    <s v="PHYSICIAN"/>
    <s v="M"/>
    <s v="No"/>
    <s v="MMIS"/>
    <s v="NorthRPU"/>
    <s v="P"/>
    <m/>
    <m/>
    <m/>
    <s v=""/>
    <s v="E0324093"/>
    <n v="1"/>
    <n v="1"/>
    <n v="0"/>
    <n v="1"/>
    <n v="1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ROBBINS SHEILA"/>
    <m/>
    <m/>
    <m/>
    <m/>
    <s v="ROBBINS SHEILA KAY"/>
    <s v="4417 VESTAL PKWY E"/>
    <s v="VESTAL"/>
    <s v="NY"/>
    <s v="13850-3556"/>
    <s v="PHYSICIAN"/>
    <s v="M"/>
    <s v="No"/>
    <s v="MMIS"/>
    <s v="SouthRPU"/>
    <s v="P"/>
    <m/>
    <m/>
    <m/>
    <s v="Robbins Sheila"/>
    <s v="E0001778"/>
    <s v="No"/>
    <s v="No"/>
    <s v="No"/>
    <s v="No"/>
    <s v="No"/>
    <s v="No"/>
    <s v="No"/>
    <s v="No"/>
    <s v="No"/>
    <s v="No"/>
    <s v="No"/>
    <x v="2"/>
    <s v=""/>
    <s v=""/>
    <s v=""/>
    <s v=""/>
    <s v=""/>
    <s v=""/>
    <s v=""/>
    <s v=""/>
    <s v=""/>
    <s v=""/>
    <n v="1"/>
    <s v=""/>
  </r>
  <r>
    <x v="0"/>
    <m/>
    <m/>
    <m/>
    <m/>
    <s v="ARLEO ROBERT"/>
    <m/>
    <m/>
    <m/>
    <m/>
    <s v="ARLEO ROBERT JOSEPH"/>
    <s v="100 UPTOWN RD"/>
    <s v="ITHACA"/>
    <s v="NY"/>
    <s v="14850-1632"/>
    <s v="PHYSICIAN"/>
    <s v="M"/>
    <s v="No"/>
    <s v="MMIS"/>
    <s v="NorthRPU"/>
    <s v="P"/>
    <m/>
    <m/>
    <m/>
    <s v=""/>
    <s v="E0152159"/>
    <n v="1"/>
    <n v="1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BREIMAN ROBERT DR."/>
    <m/>
    <m/>
    <m/>
    <m/>
    <s v="BREIMAN ROBERT J"/>
    <s v="209 W STATE ST"/>
    <s v="ITHACA"/>
    <s v="NY"/>
    <s v="14850-5429"/>
    <s v="PHYSICIAN"/>
    <s v="M"/>
    <s v="No"/>
    <s v="MMIS"/>
    <s v="NorthRPU"/>
    <s v="P"/>
    <m/>
    <m/>
    <m/>
    <s v=""/>
    <s v="E0258996"/>
    <n v="1"/>
    <n v="1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DOMKE ROBERT"/>
    <m/>
    <m/>
    <m/>
    <m/>
    <s v="DOMKE ROBERT M MD"/>
    <s v="601 ELMWOOD AVE"/>
    <s v="ROCHESTER"/>
    <s v="NY"/>
    <s v="14642-0001"/>
    <s v="PHYSICIAN"/>
    <s v="M"/>
    <s v="No"/>
    <s v="MMIS"/>
    <s v="NorthRPU"/>
    <s v="P"/>
    <m/>
    <m/>
    <m/>
    <s v=""/>
    <s v="E0113005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HESSON ROBERT DR."/>
    <m/>
    <m/>
    <m/>
    <m/>
    <s v="HESSON ROBERT A            MD"/>
    <s v="STE 206"/>
    <s v="ITHACA"/>
    <s v="NY"/>
    <s v="14850-1345"/>
    <s v="PHYSICIAN"/>
    <s v="M"/>
    <s v="No"/>
    <s v="MMIS"/>
    <s v="NorthRPU"/>
    <s v="P"/>
    <m/>
    <m/>
    <m/>
    <s v=""/>
    <s v="E0214256"/>
    <n v="1"/>
    <n v="1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LAMBERT ROBERT"/>
    <m/>
    <m/>
    <m/>
    <m/>
    <s v="LAMBERT ROBERT ARTHUR MD"/>
    <s v="750 E ADAMS ST"/>
    <s v="SYRACUSE"/>
    <s v="NY"/>
    <s v="13210-2342"/>
    <s v="PHYSICIAN"/>
    <s v="M"/>
    <s v="No"/>
    <s v="MMIS"/>
    <s v="NorthRPU"/>
    <s v="P"/>
    <m/>
    <m/>
    <m/>
    <s v=""/>
    <s v="E0013697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MITCHELL ROBERT DR."/>
    <m/>
    <m/>
    <m/>
    <m/>
    <s v="MITCHELL ROBERT LOUIS"/>
    <s v="101 DATES DR"/>
    <s v="ITHACA"/>
    <s v="NY"/>
    <s v="14850-1342"/>
    <s v="PHYSICIAN"/>
    <s v="M"/>
    <s v="No"/>
    <s v="MMIS"/>
    <s v="NorthRPU"/>
    <s v="P"/>
    <m/>
    <m/>
    <m/>
    <s v=""/>
    <s v="E0215935"/>
    <n v="1"/>
    <n v="1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STROMINGER ROBERT"/>
    <m/>
    <m/>
    <m/>
    <m/>
    <s v="STROMINGER ROBERT N MD"/>
    <s v="2 ASCOT PL"/>
    <s v="ITHACA"/>
    <s v="NY"/>
    <s v="14850-1072"/>
    <s v="PHYSICIAN"/>
    <s v="M"/>
    <s v="No"/>
    <s v="MMIS"/>
    <s v="NorthRPU"/>
    <s v="P"/>
    <m/>
    <m/>
    <m/>
    <s v=""/>
    <s v="E0113137"/>
    <n v="1"/>
    <n v="1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SWIFT ROBERT DR."/>
    <m/>
    <m/>
    <m/>
    <m/>
    <s v="SWIFT ROBERT D"/>
    <s v="77 NELSON ST STE 120"/>
    <s v="AUBURN"/>
    <s v="NY"/>
    <s v="13021-1941"/>
    <s v="PHYSICIAN"/>
    <s v="M"/>
    <s v="No"/>
    <s v="MMIS"/>
    <s v="NorthRPU"/>
    <s v="P"/>
    <m/>
    <m/>
    <m/>
    <s v=""/>
    <s v="E0340569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BEERS-SCHAMBACH ROBERTA"/>
    <m/>
    <m/>
    <m/>
    <m/>
    <s v="BEERS-SCHAMBACH ROBERTA RPA"/>
    <s v="169 RIVERSIDE DR"/>
    <s v="BINGHAMTON"/>
    <s v="NY"/>
    <s v="13905-4246"/>
    <s v="PHYSICIAN"/>
    <s v="M"/>
    <s v="No"/>
    <s v="MMIS"/>
    <s v="SouthRPU"/>
    <s v="P"/>
    <m/>
    <m/>
    <m/>
    <s v="Roberta L. Beers-Schambach, RPA-C"/>
    <s v="E0014984"/>
    <s v="No"/>
    <s v="No"/>
    <s v="No"/>
    <s v="No"/>
    <s v="No"/>
    <s v="No"/>
    <s v="No"/>
    <s v="No"/>
    <s v="No"/>
    <s v="No"/>
    <s v="No"/>
    <x v="1"/>
    <n v="1"/>
    <s v=""/>
    <s v=""/>
    <s v=""/>
    <s v=""/>
    <s v=""/>
    <s v=""/>
    <s v=""/>
    <s v=""/>
    <s v=""/>
    <n v="1"/>
    <s v=""/>
  </r>
  <r>
    <x v="0"/>
    <m/>
    <m/>
    <m/>
    <m/>
    <m/>
    <m/>
    <m/>
    <m/>
    <m/>
    <s v="ROBINSON TERRACE SENIOR LIVING"/>
    <s v="1 BUNTLINE DR"/>
    <s v="STAMFORD"/>
    <s v="NY"/>
    <s v="12167-1203"/>
    <s v="HOME HEALTH AGENCY"/>
    <s v="M"/>
    <s v="No"/>
    <s v="MMIS"/>
    <s v="EastRPU"/>
    <s v="P"/>
    <m/>
    <m/>
    <m/>
    <s v=""/>
    <s v="E0332170"/>
    <n v="1"/>
    <n v="0"/>
    <n v="1"/>
    <n v="0"/>
    <n v="0"/>
    <n v="0"/>
    <n v="0"/>
    <n v="0"/>
    <n v="0"/>
    <n v="0"/>
    <n v="0"/>
    <x v="1"/>
    <s v=""/>
    <s v=""/>
    <s v=""/>
    <s v=""/>
    <s v=""/>
    <s v=""/>
    <s v=""/>
    <s v=""/>
    <s v=""/>
    <s v=""/>
    <n v="1"/>
    <s v=""/>
  </r>
  <r>
    <x v="1"/>
    <m/>
    <m/>
    <m/>
    <m/>
    <s v="ROCHE TIMOTHY"/>
    <m/>
    <m/>
    <m/>
    <m/>
    <s v="ROCHE TIMOTHY SCOTT DO"/>
    <s v="1302 E MAIN ST"/>
    <s v="ENDICOTT"/>
    <s v="NY"/>
    <s v="13760-5430"/>
    <s v="PHYSICIAN"/>
    <s v="M"/>
    <s v="No"/>
    <s v="MMIS"/>
    <s v="SouthRPU"/>
    <s v="P"/>
    <m/>
    <m/>
    <m/>
    <s v=""/>
    <s v="E0071898"/>
    <n v="0"/>
    <n v="0"/>
    <n v="0"/>
    <n v="0"/>
    <n v="0"/>
    <n v="0"/>
    <n v="0"/>
    <n v="0"/>
    <n v="0"/>
    <n v="0"/>
    <n v="0"/>
    <x v="2"/>
    <n v="1"/>
    <s v=""/>
    <s v=""/>
    <s v=""/>
    <s v=""/>
    <s v=""/>
    <s v=""/>
    <s v=""/>
    <s v=""/>
    <s v=""/>
    <n v="1"/>
    <s v=""/>
  </r>
  <r>
    <x v="0"/>
    <m/>
    <m/>
    <m/>
    <m/>
    <s v="RODRIGUEZ-BETANCOURT LUIS DR."/>
    <m/>
    <m/>
    <m/>
    <m/>
    <s v="RODRIGUEZ BETANCOURT LUIS MD"/>
    <s v="MMC EMERG ROOM"/>
    <s v="BRONX"/>
    <s v="NY"/>
    <s v="10467-2401"/>
    <s v="PHYSICIAN"/>
    <s v="M"/>
    <s v="No"/>
    <s v="MMIS"/>
    <s v="EastRPU"/>
    <s v="P"/>
    <m/>
    <m/>
    <m/>
    <s v="RODRIGUEZ-BETANCOURT LUIS DR."/>
    <s v="E0150108"/>
    <s v="No"/>
    <s v="No"/>
    <s v="No"/>
    <s v="No"/>
    <s v="No"/>
    <s v="No"/>
    <s v="No"/>
    <s v="No"/>
    <s v="No"/>
    <s v="No"/>
    <s v="No"/>
    <x v="2"/>
    <s v=""/>
    <s v=""/>
    <s v=""/>
    <s v=""/>
    <s v=""/>
    <s v=""/>
    <s v=""/>
    <s v=""/>
    <s v=""/>
    <s v=""/>
    <n v="1"/>
    <s v=""/>
  </r>
  <r>
    <x v="0"/>
    <m/>
    <m/>
    <m/>
    <m/>
    <s v="SCOTT ROGER"/>
    <m/>
    <m/>
    <m/>
    <m/>
    <s v="SCOTT ROGER EDWARD MD"/>
    <s v="MT VIEW PLAZA"/>
    <s v="HALLSTEAD"/>
    <s v="PA"/>
    <s v="18822"/>
    <s v="PHYSICIAN"/>
    <s v="M"/>
    <s v="No"/>
    <s v="MMIS"/>
    <s v="SouthRPU"/>
    <s v="P"/>
    <m/>
    <m/>
    <m/>
    <s v=""/>
    <s v="E0093247"/>
    <n v="1"/>
    <n v="1"/>
    <n v="0"/>
    <n v="0"/>
    <n v="1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GURUNG ROJI"/>
    <m/>
    <m/>
    <m/>
    <m/>
    <s v="GURUNG ROJI"/>
    <s v="3101 SHIPPERS RD STE 203"/>
    <s v="VESTAL"/>
    <s v="NY"/>
    <s v="13850-2003"/>
    <s v="PHYSICIAN"/>
    <s v="M"/>
    <s v="No"/>
    <s v="MMIS"/>
    <s v="SouthRPU"/>
    <s v="P"/>
    <m/>
    <m/>
    <m/>
    <s v="Roji Gurung, FNP"/>
    <s v="E0418430"/>
    <s v="No"/>
    <s v="No"/>
    <s v="No"/>
    <s v="No"/>
    <s v="No"/>
    <s v="No"/>
    <s v="No"/>
    <s v="No"/>
    <s v="No"/>
    <s v="No"/>
    <s v="No"/>
    <x v="2"/>
    <s v=""/>
    <s v=""/>
    <s v=""/>
    <s v=""/>
    <s v=""/>
    <s v=""/>
    <s v=""/>
    <s v=""/>
    <s v=""/>
    <s v=""/>
    <s v=""/>
    <s v=""/>
  </r>
  <r>
    <x v="0"/>
    <m/>
    <m/>
    <m/>
    <m/>
    <s v="PRAGER ROMAN"/>
    <m/>
    <m/>
    <m/>
    <m/>
    <s v="PRAGER ROMAN"/>
    <s v="33-57 HARRISON ST"/>
    <s v="JOHNSON CITY"/>
    <s v="NY"/>
    <s v="13790-2107"/>
    <s v="PHYSICIAN"/>
    <s v="M"/>
    <s v="No"/>
    <s v="MMIS"/>
    <s v="SouthRPU"/>
    <s v="P"/>
    <m/>
    <m/>
    <m/>
    <s v=""/>
    <s v="E0359340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ROMEO ELIZABETH MS."/>
    <m/>
    <m/>
    <m/>
    <m/>
    <s v="ROMEO ELIZABETH ANN"/>
    <s v="276-280 ROBINSON ST"/>
    <s v="BINGHAMTON"/>
    <s v="NY"/>
    <s v="13904-1659"/>
    <s v="PHYSICIAN"/>
    <s v="M"/>
    <s v="No"/>
    <s v="MMIS"/>
    <s v="SouthRPU"/>
    <s v="P"/>
    <m/>
    <m/>
    <m/>
    <s v="ROMEO ELIZABETH MS."/>
    <s v="E0103231"/>
    <s v="No"/>
    <s v="No"/>
    <s v="No"/>
    <s v="No"/>
    <s v="No"/>
    <s v="No"/>
    <s v="No"/>
    <s v="No"/>
    <s v="No"/>
    <s v="No"/>
    <s v="No"/>
    <x v="2"/>
    <s v=""/>
    <s v=""/>
    <s v=""/>
    <s v=""/>
    <s v=""/>
    <s v=""/>
    <s v=""/>
    <s v=""/>
    <s v=""/>
    <s v=""/>
    <n v="1"/>
    <s v=""/>
  </r>
  <r>
    <x v="0"/>
    <m/>
    <m/>
    <m/>
    <m/>
    <s v="RONAN PETER"/>
    <m/>
    <m/>
    <m/>
    <m/>
    <s v="RONAN PETER GRAHAM         MD"/>
    <s v="UNTD HLTH SVC/BGH"/>
    <s v="BINGHAMTON"/>
    <s v="NY"/>
    <s v="13903"/>
    <s v="PHYSICIAN"/>
    <s v="M"/>
    <s v="No"/>
    <s v="MMIS"/>
    <s v="SouthRPU"/>
    <s v="P"/>
    <m/>
    <m/>
    <m/>
    <s v=""/>
    <s v="E0209777"/>
    <n v="0"/>
    <n v="0"/>
    <n v="0"/>
    <n v="0"/>
    <n v="0"/>
    <n v="0"/>
    <n v="0"/>
    <n v="0"/>
    <n v="0"/>
    <n v="0"/>
    <n v="0"/>
    <x v="2"/>
    <n v="1"/>
    <s v=""/>
    <s v=""/>
    <s v=""/>
    <n v="1"/>
    <s v=""/>
    <s v=""/>
    <s v=""/>
    <s v=""/>
    <s v=""/>
    <n v="1"/>
    <s v=""/>
  </r>
  <r>
    <x v="0"/>
    <m/>
    <m/>
    <m/>
    <m/>
    <s v="SOLIS ROSA"/>
    <m/>
    <m/>
    <m/>
    <m/>
    <s v="SOLIS ROSA A MD"/>
    <s v="33-57 HARRISON ST"/>
    <s v="JOHNSON CITY"/>
    <s v="NY"/>
    <s v="13790-2107"/>
    <s v="PHYSICIAN"/>
    <s v="M"/>
    <s v="No"/>
    <s v="MMIS"/>
    <s v="SouthRPU"/>
    <s v="P"/>
    <m/>
    <m/>
    <m/>
    <s v=""/>
    <s v="E0058652"/>
    <n v="1"/>
    <n v="1"/>
    <n v="0"/>
    <n v="1"/>
    <n v="1"/>
    <n v="0"/>
    <n v="0"/>
    <n v="0"/>
    <n v="0"/>
    <n v="0"/>
    <n v="0"/>
    <x v="2"/>
    <n v="1"/>
    <s v=""/>
    <s v=""/>
    <s v=""/>
    <s v=""/>
    <s v=""/>
    <s v=""/>
    <s v=""/>
    <s v=""/>
    <s v=""/>
    <n v="1"/>
    <s v=""/>
  </r>
  <r>
    <x v="0"/>
    <m/>
    <m/>
    <m/>
    <m/>
    <s v="ROSA STEPHANIE"/>
    <m/>
    <m/>
    <m/>
    <m/>
    <s v="ROSA STEPHANIE M"/>
    <s v="33-57 HARRISON ST"/>
    <s v="JOHNSON CITY"/>
    <s v="NY"/>
    <s v="13790-2107"/>
    <s v="PHYSICIAN"/>
    <s v="M"/>
    <s v="No"/>
    <s v="MMIS"/>
    <s v="SouthRPU"/>
    <s v="P"/>
    <m/>
    <m/>
    <m/>
    <s v="ROSA STEPHANIE"/>
    <s v="E0394172"/>
    <s v="No"/>
    <s v="No"/>
    <s v="No"/>
    <s v="No"/>
    <s v="No"/>
    <s v="No"/>
    <s v="No"/>
    <s v="No"/>
    <s v="No"/>
    <s v="No"/>
    <s v="No"/>
    <x v="1"/>
    <n v="1"/>
    <s v=""/>
    <s v=""/>
    <s v=""/>
    <s v=""/>
    <s v=""/>
    <s v=""/>
    <s v=""/>
    <s v=""/>
    <s v=""/>
    <s v=""/>
    <s v=""/>
  </r>
  <r>
    <x v="0"/>
    <m/>
    <m/>
    <m/>
    <m/>
    <s v="ROSATO ELIZABETH DR."/>
    <m/>
    <m/>
    <m/>
    <m/>
    <s v="ROSATO ELIZABETH ANN"/>
    <s v="4417 VESTAL PKWY E"/>
    <s v="VESTAL"/>
    <s v="NY"/>
    <s v="13850-3556"/>
    <s v="PHYSICIAN"/>
    <s v="M"/>
    <s v="No"/>
    <s v="MMIS"/>
    <s v="SouthRPU"/>
    <s v="P"/>
    <m/>
    <m/>
    <m/>
    <s v=""/>
    <s v="E0337258"/>
    <n v="1"/>
    <n v="1"/>
    <n v="0"/>
    <n v="1"/>
    <n v="1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LAKIN ROSE"/>
    <m/>
    <m/>
    <m/>
    <m/>
    <s v="LAKIN ROSE M RPA"/>
    <s v="33-57 HARRISON ST"/>
    <s v="JOHNSON CITY"/>
    <s v="NY"/>
    <s v="13790-2107"/>
    <s v="PHYSICIAN"/>
    <s v="M"/>
    <s v="No"/>
    <s v="MMIS"/>
    <s v="SouthRPU"/>
    <s v="P"/>
    <m/>
    <m/>
    <m/>
    <s v=""/>
    <s v="E0030184"/>
    <n v="1"/>
    <n v="1"/>
    <n v="0"/>
    <n v="1"/>
    <n v="1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1"/>
    <m/>
    <m/>
    <m/>
    <m/>
    <s v="HURLEY ROSEMARIE"/>
    <m/>
    <m/>
    <m/>
    <m/>
    <s v="HURLEY ROSEMARIE           MD"/>
    <s v="CTLD MEMORIAL HOSPIT"/>
    <s v="CORTLAND"/>
    <s v="NY"/>
    <s v="13045-1206"/>
    <s v="PHYSICIAN"/>
    <s v="M"/>
    <s v="No"/>
    <s v="MMIS"/>
    <s v="NorthRPU"/>
    <s v="P"/>
    <m/>
    <m/>
    <m/>
    <s v=""/>
    <s v="E0210566"/>
    <n v="0"/>
    <n v="0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ROSENFELD VALERIE"/>
    <m/>
    <m/>
    <m/>
    <m/>
    <s v="ROSENFELD VALERIE"/>
    <s v="1040 VESTAL PKWY"/>
    <s v="VESTAL"/>
    <s v="NY"/>
    <s v="13850-1748"/>
    <s v="CLINICAL SOCIAL WORKER (CSW)"/>
    <s v="M"/>
    <s v="No"/>
    <s v="MMIS"/>
    <s v="SouthRPU"/>
    <s v="P"/>
    <m/>
    <m/>
    <m/>
    <s v=""/>
    <s v="E0304468"/>
    <n v="0"/>
    <n v="0"/>
    <n v="0"/>
    <n v="0"/>
    <n v="0"/>
    <n v="0"/>
    <n v="0"/>
    <n v="0"/>
    <n v="0"/>
    <n v="0"/>
    <n v="0"/>
    <x v="1"/>
    <n v="1"/>
    <s v=""/>
    <s v=""/>
    <s v=""/>
    <n v="1"/>
    <s v=""/>
    <s v=""/>
    <s v=""/>
    <s v=""/>
    <s v=""/>
    <s v=""/>
    <s v=""/>
  </r>
  <r>
    <x v="1"/>
    <m/>
    <m/>
    <m/>
    <m/>
    <s v="ROSENSTEIN JEROME"/>
    <m/>
    <m/>
    <m/>
    <m/>
    <s v="ROSENSTEIN JEROME H MD"/>
    <s v="601 RIVERSIDE DR"/>
    <s v="JOHNSON CITY"/>
    <s v="NY"/>
    <s v="13790-2544"/>
    <s v="PHYSICIAN"/>
    <s v="M"/>
    <s v="No"/>
    <s v="MMIS"/>
    <s v="SouthRPU"/>
    <s v="P"/>
    <m/>
    <m/>
    <m/>
    <s v=""/>
    <s v="E0077178"/>
    <n v="1"/>
    <n v="1"/>
    <n v="0"/>
    <n v="1"/>
    <n v="1"/>
    <n v="0"/>
    <n v="0"/>
    <n v="1"/>
    <n v="0"/>
    <n v="0"/>
    <n v="1"/>
    <x v="1"/>
    <n v="1"/>
    <s v=""/>
    <s v=""/>
    <s v=""/>
    <s v=""/>
    <s v=""/>
    <s v=""/>
    <s v=""/>
    <s v=""/>
    <s v=""/>
    <n v="1"/>
    <s v=""/>
  </r>
  <r>
    <x v="0"/>
    <m/>
    <m/>
    <m/>
    <m/>
    <s v="ROSMAN SCOTT"/>
    <m/>
    <m/>
    <m/>
    <m/>
    <s v="ROSMAN SCOTT R"/>
    <s v="33 MITCHELL AVE"/>
    <s v="BINGHAMTON"/>
    <s v="NY"/>
    <s v="13903-1619"/>
    <s v="PHYSICIAN"/>
    <s v="M"/>
    <s v="No"/>
    <s v="MMIS"/>
    <s v="SouthRPU"/>
    <s v="P"/>
    <m/>
    <m/>
    <m/>
    <s v=""/>
    <s v="E0322552"/>
    <n v="1"/>
    <n v="1"/>
    <n v="0"/>
    <n v="1"/>
    <n v="1"/>
    <n v="1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EGGLESTON COURTNEY"/>
    <m/>
    <m/>
    <m/>
    <m/>
    <s v="EGGLESTON COURTNEY L"/>
    <s v="33-57 HARRISON ST"/>
    <s v="JOHNSON CITY"/>
    <s v="NY"/>
    <s v="13790-2107"/>
    <s v="PHYSICIAN"/>
    <s v="M"/>
    <s v="No"/>
    <s v="MMIS"/>
    <s v="SouthRPU"/>
    <s v="P"/>
    <m/>
    <m/>
    <m/>
    <s v=""/>
    <s v="E0288029"/>
    <n v="1"/>
    <n v="1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1"/>
    <m/>
    <m/>
    <m/>
    <m/>
    <s v="ROSS JENNY MS."/>
    <m/>
    <m/>
    <m/>
    <m/>
    <s v="ROSS JENNY ELLEN"/>
    <s v="160 MAIN ST"/>
    <s v="PENN YAN"/>
    <s v="NY"/>
    <s v="14527-1204"/>
    <s v="PHYSICIAN"/>
    <s v="M"/>
    <s v="No"/>
    <s v="MMIS"/>
    <s v="WestRPU"/>
    <s v="P"/>
    <m/>
    <m/>
    <m/>
    <s v=""/>
    <s v="E0329254"/>
    <n v="0"/>
    <n v="0"/>
    <n v="0"/>
    <n v="0"/>
    <n v="0"/>
    <n v="0"/>
    <n v="0"/>
    <n v="0"/>
    <n v="0"/>
    <n v="0"/>
    <n v="0"/>
    <x v="2"/>
    <n v="1"/>
    <s v=""/>
    <s v=""/>
    <s v=""/>
    <s v=""/>
    <s v=""/>
    <s v=""/>
    <s v=""/>
    <s v=""/>
    <s v=""/>
    <n v="1"/>
    <s v=""/>
  </r>
  <r>
    <x v="0"/>
    <m/>
    <m/>
    <m/>
    <m/>
    <s v="ROUSE STEVEN DR."/>
    <m/>
    <m/>
    <m/>
    <m/>
    <s v="ROUSE STEVEN BRYAN         MD"/>
    <s v="GUTHRIE SQUARE"/>
    <s v="SAYRE"/>
    <s v="PA"/>
    <s v="18840"/>
    <s v="PHYSICIAN"/>
    <s v="M"/>
    <s v="No"/>
    <s v="MMIS"/>
    <s v="SouthRPU"/>
    <s v="P"/>
    <m/>
    <m/>
    <m/>
    <s v=""/>
    <s v="E0223564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RUBIN HYMAN"/>
    <m/>
    <m/>
    <m/>
    <m/>
    <s v="RUBIN HYMAN"/>
    <s v="40 ARCH ST"/>
    <s v="JOHNSON CITY"/>
    <s v="NY"/>
    <s v="13790-2102"/>
    <s v="CLINICAL SOCIAL WORKER (CSW)"/>
    <s v="M"/>
    <s v="No"/>
    <s v="MMIS"/>
    <s v="SouthRPU"/>
    <s v="P"/>
    <m/>
    <m/>
    <m/>
    <s v=""/>
    <s v="E0286095"/>
    <n v="0"/>
    <n v="0"/>
    <n v="0"/>
    <n v="0"/>
    <n v="0"/>
    <n v="0"/>
    <n v="0"/>
    <n v="0"/>
    <n v="0"/>
    <n v="0"/>
    <n v="0"/>
    <x v="1"/>
    <n v="1"/>
    <s v=""/>
    <s v=""/>
    <s v=""/>
    <n v="1"/>
    <s v=""/>
    <s v=""/>
    <s v=""/>
    <s v=""/>
    <s v=""/>
    <s v=""/>
    <s v=""/>
  </r>
  <r>
    <x v="0"/>
    <m/>
    <m/>
    <m/>
    <m/>
    <s v="RUBIN JOHN"/>
    <m/>
    <m/>
    <m/>
    <m/>
    <s v="RUBIN JOHN"/>
    <s v="2209 GENESEE ST"/>
    <s v="UTICA"/>
    <s v="NY"/>
    <s v="13501-5930"/>
    <s v="PHYSICIAN"/>
    <s v="M"/>
    <s v="No"/>
    <s v="MMIS"/>
    <s v="SouthRPU"/>
    <s v="P"/>
    <m/>
    <m/>
    <m/>
    <s v=""/>
    <s v="E0085053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RUCHAMES ROBERT"/>
    <m/>
    <m/>
    <m/>
    <m/>
    <s v="RUCHAMES ROBERT MARK"/>
    <s v="257 MAIN ST"/>
    <s v="BINGHAMTON"/>
    <s v="NY"/>
    <s v="13905-2522"/>
    <s v="CLINICAL SOCIAL WORKER (CSW)"/>
    <s v="M"/>
    <s v="No"/>
    <s v="MMIS"/>
    <s v="SouthRPU"/>
    <s v="P"/>
    <m/>
    <m/>
    <m/>
    <s v=""/>
    <s v="E0096475"/>
    <n v="0"/>
    <n v="0"/>
    <n v="0"/>
    <n v="0"/>
    <n v="0"/>
    <n v="0"/>
    <n v="0"/>
    <n v="0"/>
    <n v="0"/>
    <n v="0"/>
    <n v="0"/>
    <x v="1"/>
    <n v="1"/>
    <s v=""/>
    <s v=""/>
    <s v=""/>
    <n v="1"/>
    <s v=""/>
    <s v=""/>
    <s v=""/>
    <s v=""/>
    <s v=""/>
    <s v=""/>
    <s v=""/>
  </r>
  <r>
    <x v="0"/>
    <m/>
    <m/>
    <m/>
    <m/>
    <s v="RUDZINSKI WOJCIECH DR."/>
    <m/>
    <m/>
    <m/>
    <m/>
    <s v="RUDZINSKI WOJCIECH"/>
    <s v="1 GUTHRIE SQ"/>
    <s v="SAYRE"/>
    <s v="PA"/>
    <s v="18840-1625"/>
    <s v="PHYSICIAN"/>
    <s v="M"/>
    <s v="No"/>
    <s v="MMIS"/>
    <s v="SouthRPU"/>
    <s v="P"/>
    <m/>
    <m/>
    <m/>
    <s v=""/>
    <s v="E0353498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RUITER TODD DR."/>
    <m/>
    <m/>
    <m/>
    <m/>
    <s v="RUITER TODD CHARLES DO"/>
    <s v="43 PEARL ST W"/>
    <s v="SIDNEY"/>
    <s v="NY"/>
    <s v="13838-1330"/>
    <s v="PHYSICIAN"/>
    <s v="M"/>
    <s v="No"/>
    <s v="MMIS"/>
    <s v="EastRPU"/>
    <s v="P"/>
    <m/>
    <m/>
    <m/>
    <s v="RUITER TODD DR."/>
    <s v="E0290227"/>
    <s v="No"/>
    <s v="No"/>
    <s v="No"/>
    <s v="No"/>
    <s v="No"/>
    <s v="No"/>
    <s v="No"/>
    <s v="No"/>
    <s v="No"/>
    <s v="No"/>
    <s v="No"/>
    <x v="1"/>
    <s v=""/>
    <s v=""/>
    <s v=""/>
    <s v=""/>
    <s v=""/>
    <s v=""/>
    <s v=""/>
    <s v=""/>
    <s v=""/>
    <s v=""/>
    <s v=""/>
    <n v="1"/>
  </r>
  <r>
    <x v="0"/>
    <s v="P.O. Box 416, 2663 Main Street"/>
    <s v="Whitney Point"/>
    <s v="NY"/>
    <s v="13862"/>
    <m/>
    <m/>
    <m/>
    <m/>
    <m/>
    <m/>
    <m/>
    <m/>
    <m/>
    <m/>
    <m/>
    <s v="M"/>
    <s v="No"/>
    <s v="No NPI or MMIS"/>
    <s v="SouthRPU"/>
    <s v="P"/>
    <m/>
    <m/>
    <m/>
    <s v=""/>
    <s v="Rural Health Network of South Central New York, Inc."/>
    <n v="1"/>
    <m/>
    <m/>
    <n v="1"/>
    <n v="1"/>
    <s v="No"/>
    <s v="No"/>
    <s v="No"/>
    <s v="No"/>
    <s v="No"/>
    <s v="No"/>
    <x v="1"/>
    <s v=""/>
    <s v=""/>
    <s v=""/>
    <s v=""/>
    <s v=""/>
    <s v=""/>
    <s v=""/>
    <s v=""/>
    <s v=""/>
    <n v="1"/>
    <s v=""/>
    <s v=""/>
  </r>
  <r>
    <x v="0"/>
    <m/>
    <m/>
    <m/>
    <m/>
    <s v="BROWN RYAN"/>
    <m/>
    <m/>
    <m/>
    <m/>
    <s v="BROWN RYAN CARL"/>
    <s v="169 RIVERSIDE DR"/>
    <s v="BINGHAMTON"/>
    <s v="NY"/>
    <s v="13905-4246"/>
    <s v="PHYSICIAN"/>
    <s v="M"/>
    <s v="No"/>
    <s v="MMIS"/>
    <s v="SouthRPU"/>
    <s v="P"/>
    <m/>
    <m/>
    <m/>
    <s v="Ryan C. Brown, RPA-C"/>
    <s v="E0302939"/>
    <s v="No"/>
    <s v="No"/>
    <s v="No"/>
    <s v="No"/>
    <s v="No"/>
    <s v="No"/>
    <s v="No"/>
    <s v="No"/>
    <s v="No"/>
    <s v="No"/>
    <s v="No"/>
    <x v="1"/>
    <n v="1"/>
    <s v=""/>
    <s v=""/>
    <s v=""/>
    <s v=""/>
    <s v=""/>
    <s v=""/>
    <s v=""/>
    <s v=""/>
    <s v=""/>
    <n v="1"/>
    <s v=""/>
  </r>
  <r>
    <x v="1"/>
    <m/>
    <m/>
    <m/>
    <m/>
    <s v="RYAN CHRISTOPHER"/>
    <m/>
    <m/>
    <m/>
    <m/>
    <s v="RYAN CHRISTOPHER W MD"/>
    <s v="40 ARCH ST"/>
    <s v="JOHNSON CITY"/>
    <s v="NY"/>
    <s v="13790-2102"/>
    <s v="PHYSICIAN"/>
    <s v="M"/>
    <s v="No"/>
    <s v="MMIS"/>
    <s v="SouthRPU"/>
    <s v="P"/>
    <m/>
    <m/>
    <m/>
    <s v=""/>
    <s v="E0153349"/>
    <n v="0"/>
    <n v="0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RYAN DEBRA DR."/>
    <m/>
    <m/>
    <m/>
    <m/>
    <s v="RYAN DEBRA ANN"/>
    <s v="GUTHRIE SQUARE"/>
    <s v="SAYRE"/>
    <s v="PA"/>
    <s v="18840"/>
    <s v="PHYSICIAN"/>
    <s v="M"/>
    <s v="No"/>
    <s v="MMIS"/>
    <s v="SouthRPU"/>
    <s v="P"/>
    <m/>
    <m/>
    <m/>
    <s v=""/>
    <s v="E0203703"/>
    <n v="1"/>
    <n v="1"/>
    <n v="0"/>
    <n v="0"/>
    <n v="0"/>
    <n v="0"/>
    <n v="0"/>
    <n v="1"/>
    <n v="1"/>
    <n v="1"/>
    <n v="0"/>
    <x v="2"/>
    <s v=""/>
    <s v=""/>
    <s v=""/>
    <s v=""/>
    <s v=""/>
    <s v=""/>
    <s v=""/>
    <s v=""/>
    <s v=""/>
    <s v=""/>
    <n v="1"/>
    <s v=""/>
  </r>
  <r>
    <x v="0"/>
    <m/>
    <m/>
    <m/>
    <m/>
    <s v="RYAN ELIZABETH DR."/>
    <m/>
    <m/>
    <m/>
    <m/>
    <s v="RYAN ELIZABETH BOGEL"/>
    <s v="7150 N MAIN ST"/>
    <s v="OVID"/>
    <s v="NY"/>
    <s v="14521-0000"/>
    <s v="PHYSICIAN"/>
    <s v="M"/>
    <s v="No"/>
    <s v="MMIS"/>
    <s v="SouthRPU"/>
    <s v="P"/>
    <m/>
    <m/>
    <m/>
    <s v="Ryan Elizabeth"/>
    <s v="E0371021"/>
    <s v="No"/>
    <s v="No"/>
    <s v="No"/>
    <s v="No"/>
    <s v="No"/>
    <s v="No"/>
    <s v="No"/>
    <s v="No"/>
    <s v="No"/>
    <s v="No"/>
    <s v="No"/>
    <x v="2"/>
    <s v=""/>
    <s v=""/>
    <s v=""/>
    <s v=""/>
    <s v=""/>
    <s v=""/>
    <s v=""/>
    <s v=""/>
    <s v=""/>
    <s v=""/>
    <n v="1"/>
    <s v=""/>
  </r>
  <r>
    <x v="0"/>
    <s v="P.O. Box 97, 3069 B Spencer Hill Road"/>
    <s v="Corning"/>
    <s v="NY"/>
    <s v="14830"/>
    <m/>
    <m/>
    <m/>
    <m/>
    <m/>
    <m/>
    <m/>
    <m/>
    <m/>
    <m/>
    <m/>
    <s v="M"/>
    <s v="No"/>
    <s v="No NPI or MMIS"/>
    <s v="WestRPU"/>
    <s v="P"/>
    <m/>
    <m/>
    <m/>
    <s v=""/>
    <s v="S2AY Rural Health Network"/>
    <n v="1"/>
    <m/>
    <m/>
    <n v="1"/>
    <n v="1"/>
    <s v="No"/>
    <s v="No"/>
    <s v="No"/>
    <s v="No"/>
    <s v="No"/>
    <s v="No"/>
    <x v="1"/>
    <s v=""/>
    <s v=""/>
    <s v=""/>
    <s v=""/>
    <s v=""/>
    <s v=""/>
    <s v=""/>
    <s v=""/>
    <s v=""/>
    <n v="1"/>
    <s v=""/>
    <s v=""/>
  </r>
  <r>
    <x v="0"/>
    <m/>
    <m/>
    <m/>
    <m/>
    <s v="SABATINO MICHAEL DR."/>
    <m/>
    <m/>
    <m/>
    <m/>
    <s v="SABATINO MICHAEL MD"/>
    <s v="10-42 MITCHELL AVE"/>
    <s v="BINGHAMTON"/>
    <s v="NY"/>
    <s v="13903-1617"/>
    <s v="PHYSICIAN"/>
    <s v="M"/>
    <s v="No"/>
    <s v="MMIS"/>
    <s v="SouthRPU"/>
    <s v="P"/>
    <m/>
    <m/>
    <m/>
    <s v=""/>
    <s v="E0322795"/>
    <n v="0"/>
    <n v="0"/>
    <n v="0"/>
    <n v="0"/>
    <n v="0"/>
    <n v="0"/>
    <n v="0"/>
    <n v="0"/>
    <n v="0"/>
    <n v="0"/>
    <n v="0"/>
    <x v="1"/>
    <n v="1"/>
    <s v=""/>
    <s v=""/>
    <s v=""/>
    <n v="1"/>
    <s v=""/>
    <s v=""/>
    <s v=""/>
    <s v=""/>
    <s v=""/>
    <s v=""/>
    <s v=""/>
  </r>
  <r>
    <x v="0"/>
    <m/>
    <m/>
    <m/>
    <m/>
    <s v="SABER KENDALL"/>
    <m/>
    <m/>
    <m/>
    <m/>
    <s v="SABER KENDALL M"/>
    <s v="CHENANGO MEM HOSP"/>
    <s v="NORWICH"/>
    <s v="NY"/>
    <s v="13815-1240"/>
    <s v="PHYSICIAN"/>
    <s v="M"/>
    <s v="No"/>
    <s v="MMIS"/>
    <s v="EastRPU"/>
    <s v="P"/>
    <m/>
    <m/>
    <m/>
    <s v=""/>
    <s v="E0114297"/>
    <n v="0"/>
    <n v="0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s v=""/>
    <s v=""/>
  </r>
  <r>
    <x v="0"/>
    <m/>
    <m/>
    <m/>
    <m/>
    <s v="SACKS RONALD"/>
    <m/>
    <m/>
    <m/>
    <m/>
    <s v="SACKS RONALD H MD"/>
    <s v="179 N BROAD ST"/>
    <s v="NORWICH"/>
    <s v="NY"/>
    <s v="13815-1019"/>
    <s v="PHYSICIAN"/>
    <s v="M"/>
    <s v="No"/>
    <s v="MMIS"/>
    <s v="EastRPU"/>
    <s v="P"/>
    <m/>
    <m/>
    <m/>
    <s v=""/>
    <s v="E0143815"/>
    <n v="1"/>
    <n v="1"/>
    <n v="0"/>
    <n v="1"/>
    <n v="1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1"/>
    <m/>
    <m/>
    <m/>
    <m/>
    <s v="SAEED AZMAT DR."/>
    <m/>
    <m/>
    <m/>
    <m/>
    <s v="SAEED AZMAT"/>
    <s v="LICH MPA PC PED"/>
    <s v="BROOKLYN"/>
    <s v="NY"/>
    <s v="11201-5514"/>
    <s v="PHYSICIAN"/>
    <s v="M"/>
    <s v="No"/>
    <s v="MMIS"/>
    <s v="SouthRPU"/>
    <s v="P"/>
    <m/>
    <m/>
    <m/>
    <s v="SAEED AZMAT DR."/>
    <s v="E0178904"/>
    <s v="No"/>
    <s v="No"/>
    <s v="No"/>
    <s v="No"/>
    <s v="No"/>
    <s v="No"/>
    <s v="No"/>
    <s v="No"/>
    <s v="No"/>
    <s v="No"/>
    <s v="No"/>
    <x v="2"/>
    <s v=""/>
    <s v=""/>
    <s v=""/>
    <s v=""/>
    <s v=""/>
    <s v=""/>
    <s v=""/>
    <s v=""/>
    <s v=""/>
    <s v=""/>
    <n v="1"/>
    <s v=""/>
  </r>
  <r>
    <x v="0"/>
    <m/>
    <m/>
    <m/>
    <m/>
    <s v="SALMAN NADA"/>
    <m/>
    <m/>
    <m/>
    <m/>
    <s v="SALMAN NADA MUNIR"/>
    <s v="5 KENNEDY PKWY"/>
    <s v="CORTLAND"/>
    <s v="NY"/>
    <s v="13045-1409"/>
    <s v="PHYSICIAN"/>
    <s v="M"/>
    <s v="No"/>
    <s v="MMIS"/>
    <s v="NorthRPU"/>
    <s v="P"/>
    <m/>
    <m/>
    <m/>
    <s v="SALMAN NADA"/>
    <s v="E0209328"/>
    <s v="No"/>
    <s v="No"/>
    <s v="No"/>
    <s v="No"/>
    <s v="No"/>
    <s v="No"/>
    <s v="No"/>
    <s v="No"/>
    <s v="No"/>
    <s v="No"/>
    <s v="No"/>
    <x v="2"/>
    <s v=""/>
    <s v=""/>
    <s v=""/>
    <s v=""/>
    <s v=""/>
    <s v=""/>
    <s v=""/>
    <s v=""/>
    <s v=""/>
    <s v=""/>
    <n v="1"/>
    <s v=""/>
  </r>
  <r>
    <x v="0"/>
    <m/>
    <m/>
    <m/>
    <m/>
    <s v="HUSSEINI SAMI DR."/>
    <m/>
    <m/>
    <m/>
    <m/>
    <s v="HUSSEINI SAMI T            MD"/>
    <s v="1301 TRUMANSBURG RD"/>
    <s v="ITHACA"/>
    <s v="NY"/>
    <s v="14850-1397"/>
    <s v="PHYSICIAN"/>
    <s v="M"/>
    <s v="No"/>
    <s v="MMIS"/>
    <s v="NorthRPU"/>
    <s v="P"/>
    <m/>
    <m/>
    <m/>
    <s v=""/>
    <s v="E0224063"/>
    <n v="1"/>
    <n v="1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SAMODAL RODRIGO DR."/>
    <m/>
    <m/>
    <m/>
    <m/>
    <s v="SAMODAL RODRIGO T JR MD"/>
    <s v="GUTHRIE CL"/>
    <s v="HORSEHEADS"/>
    <s v="NY"/>
    <s v="14845-8533"/>
    <s v="PHYSICIAN"/>
    <s v="M"/>
    <s v="No"/>
    <s v="MMIS"/>
    <s v="WestRPU"/>
    <s v="P"/>
    <m/>
    <m/>
    <m/>
    <s v=""/>
    <s v="E0042006"/>
    <n v="1"/>
    <n v="1"/>
    <n v="0"/>
    <n v="0"/>
    <n v="0"/>
    <n v="0"/>
    <n v="0"/>
    <n v="1"/>
    <n v="1"/>
    <n v="1"/>
    <n v="0"/>
    <x v="2"/>
    <s v=""/>
    <s v=""/>
    <s v=""/>
    <s v=""/>
    <s v=""/>
    <s v=""/>
    <s v=""/>
    <s v=""/>
    <s v=""/>
    <s v=""/>
    <n v="1"/>
    <s v=""/>
  </r>
  <r>
    <x v="0"/>
    <m/>
    <m/>
    <m/>
    <m/>
    <s v="SAMPSON LAWRENCE DR."/>
    <m/>
    <m/>
    <m/>
    <m/>
    <s v="SAMPSON LAWRENCE NATHAN"/>
    <s v="1 GUTHRIE SQ"/>
    <s v="SAYRE"/>
    <s v="PA"/>
    <s v="18840-1625"/>
    <s v="PHYSICIAN"/>
    <s v="M"/>
    <s v="No"/>
    <s v="MMIS"/>
    <s v="SouthRPU"/>
    <s v="P"/>
    <m/>
    <m/>
    <m/>
    <s v=""/>
    <s v="E0142435"/>
    <n v="1"/>
    <n v="1"/>
    <n v="0"/>
    <n v="0"/>
    <n v="0"/>
    <n v="0"/>
    <n v="0"/>
    <n v="0"/>
    <n v="0"/>
    <n v="1"/>
    <n v="0"/>
    <x v="1"/>
    <n v="1"/>
    <s v=""/>
    <s v=""/>
    <s v=""/>
    <s v=""/>
    <s v=""/>
    <s v=""/>
    <s v=""/>
    <s v=""/>
    <s v=""/>
    <n v="1"/>
    <s v=""/>
  </r>
  <r>
    <x v="0"/>
    <m/>
    <m/>
    <m/>
    <m/>
    <m/>
    <m/>
    <m/>
    <m/>
    <m/>
    <s v="SANDWAY DAVID CHARLES"/>
    <s v="601 RIVERSIDE DR"/>
    <s v="JOHNSON CITY"/>
    <s v="NY"/>
    <s v="13790-2544"/>
    <s v="PHYSICIAN"/>
    <s v="M"/>
    <s v="No"/>
    <s v="MMIS"/>
    <s v="SouthRPU"/>
    <s v="P"/>
    <m/>
    <m/>
    <m/>
    <s v=""/>
    <s v="E0085168"/>
    <n v="0"/>
    <n v="0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VOHRA SANJEEV DR."/>
    <m/>
    <m/>
    <m/>
    <m/>
    <s v="VOHRA SANJEEV MD"/>
    <s v="HUSSEINI &amp; HUSA MD"/>
    <s v="ITHACA"/>
    <s v="NY"/>
    <s v="14850-1397"/>
    <s v="PHYSICIAN"/>
    <s v="M"/>
    <s v="No"/>
    <s v="MMIS"/>
    <s v="NorthRPU"/>
    <s v="P"/>
    <m/>
    <m/>
    <m/>
    <s v=""/>
    <s v="E0131727"/>
    <n v="1"/>
    <n v="1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PATEL SANJIV DR."/>
    <m/>
    <m/>
    <m/>
    <m/>
    <s v="PATEL SANJIV ARJUN MD"/>
    <s v="169 RIVERSIDE DR"/>
    <s v="BINGHAMTON"/>
    <s v="NY"/>
    <s v="13905-4246"/>
    <s v="PHYSICIAN"/>
    <s v="M"/>
    <s v="No"/>
    <s v="MMIS"/>
    <s v="SouthRPU"/>
    <s v="P"/>
    <m/>
    <m/>
    <m/>
    <s v="Sanjiv A. Patel, MD"/>
    <s v="E0100058"/>
    <s v="No"/>
    <s v="No"/>
    <s v="No"/>
    <s v="No"/>
    <s v="No"/>
    <s v="No"/>
    <s v="No"/>
    <s v="No"/>
    <s v="No"/>
    <s v="No"/>
    <s v="No"/>
    <x v="2"/>
    <s v=""/>
    <s v=""/>
    <s v=""/>
    <s v=""/>
    <s v=""/>
    <s v=""/>
    <s v=""/>
    <s v=""/>
    <s v=""/>
    <s v=""/>
    <n v="1"/>
    <s v=""/>
  </r>
  <r>
    <x v="0"/>
    <m/>
    <m/>
    <m/>
    <m/>
    <m/>
    <m/>
    <m/>
    <m/>
    <m/>
    <s v="SANTA-INES CARLOS P        MD"/>
    <s v="GUTHRIE SQUARE"/>
    <s v="SAYRE"/>
    <s v="PA"/>
    <s v="18840"/>
    <s v="PHYSICIAN"/>
    <s v="M"/>
    <s v="No"/>
    <s v="MMIS"/>
    <s v="NorthRPU"/>
    <s v="P"/>
    <m/>
    <m/>
    <m/>
    <s v=""/>
    <s v="E0206284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SANTA INES CARLOS DR."/>
    <m/>
    <m/>
    <m/>
    <m/>
    <s v="SANTA INES CARLOS JR MD"/>
    <s v="7529 MOONVALLEY DR"/>
    <s v="LIVERPOOL"/>
    <s v="NY"/>
    <s v="13088-4130"/>
    <s v="PHYSICIAN"/>
    <s v="M"/>
    <s v="No"/>
    <s v="MMIS"/>
    <s v="NorthRPU"/>
    <s v="P"/>
    <m/>
    <m/>
    <m/>
    <s v=""/>
    <s v="E0035625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MUKKA SANTOSH"/>
    <m/>
    <m/>
    <m/>
    <m/>
    <s v="MUKKA SANTOSH KUMAR"/>
    <s v="161 RIVERSIDE DR STE 206"/>
    <s v="BINGHAMTON"/>
    <s v="NY"/>
    <s v="13905-4178"/>
    <s v="PHYSICIAN"/>
    <s v="M"/>
    <s v="No"/>
    <s v="MMIS"/>
    <s v="SouthRPU"/>
    <s v="P"/>
    <m/>
    <m/>
    <m/>
    <s v="Santosh K. Mukka, MD"/>
    <s v="E0393572"/>
    <s v="No"/>
    <s v="No"/>
    <s v="No"/>
    <s v="No"/>
    <s v="No"/>
    <s v="No"/>
    <s v="No"/>
    <s v="No"/>
    <s v="No"/>
    <s v="No"/>
    <s v="No"/>
    <x v="2"/>
    <n v="1"/>
    <s v=""/>
    <s v=""/>
    <s v=""/>
    <s v=""/>
    <s v=""/>
    <s v=""/>
    <s v=""/>
    <s v=""/>
    <s v=""/>
    <n v="1"/>
    <s v=""/>
  </r>
  <r>
    <x v="0"/>
    <m/>
    <m/>
    <m/>
    <m/>
    <s v="SMITH SARA"/>
    <m/>
    <m/>
    <m/>
    <m/>
    <s v="SMITH SARA MCKERCHER"/>
    <s v="1302 E MAIN ST"/>
    <s v="ENDICOTT"/>
    <s v="NY"/>
    <s v="13760-5430"/>
    <s v="PHYSICIAN"/>
    <s v="M"/>
    <s v="No"/>
    <s v="MMIS"/>
    <s v="SouthRPU"/>
    <s v="P"/>
    <m/>
    <m/>
    <m/>
    <s v="Sara M Smith"/>
    <s v="E0386413"/>
    <s v="No"/>
    <s v="No"/>
    <s v="No"/>
    <s v="No"/>
    <s v="No"/>
    <s v="No"/>
    <s v="No"/>
    <s v="No"/>
    <s v="No"/>
    <s v="No"/>
    <s v="No"/>
    <x v="1"/>
    <n v="1"/>
    <s v=""/>
    <s v=""/>
    <s v=""/>
    <s v=""/>
    <s v=""/>
    <s v=""/>
    <s v=""/>
    <s v=""/>
    <s v=""/>
    <n v="1"/>
    <s v=""/>
  </r>
  <r>
    <x v="0"/>
    <m/>
    <m/>
    <m/>
    <m/>
    <s v="SINGLAR SARAH"/>
    <m/>
    <m/>
    <m/>
    <m/>
    <s v="SINGLAR SARAH MARIE"/>
    <s v="15 BIRDSALL ST"/>
    <s v="GREENE"/>
    <s v="NY"/>
    <s v="13778-1057"/>
    <s v="PHYSICIAN"/>
    <s v="M"/>
    <s v="No"/>
    <s v="MMIS"/>
    <s v="SouthRPU"/>
    <s v="P"/>
    <m/>
    <m/>
    <m/>
    <s v="Sarah Singlar"/>
    <s v="E0412771"/>
    <s v="No"/>
    <s v="No"/>
    <s v="No"/>
    <s v="No"/>
    <s v="No"/>
    <s v="No"/>
    <s v="No"/>
    <s v="No"/>
    <s v="No"/>
    <s v="No"/>
    <s v="No"/>
    <x v="2"/>
    <s v=""/>
    <s v=""/>
    <s v=""/>
    <s v=""/>
    <s v=""/>
    <s v=""/>
    <s v=""/>
    <s v=""/>
    <s v=""/>
    <s v=""/>
    <s v=""/>
    <s v=""/>
  </r>
  <r>
    <x v="0"/>
    <m/>
    <m/>
    <m/>
    <m/>
    <s v="SARGENT ANITA DR."/>
    <m/>
    <m/>
    <m/>
    <m/>
    <s v="SARGENT ANITA"/>
    <s v="161 RIVERSIDE DR STE 109"/>
    <s v="BINGHAMTON"/>
    <s v="NY"/>
    <s v="13905-4178"/>
    <s v="PHYSICIAN"/>
    <s v="M"/>
    <s v="No"/>
    <s v="MMIS"/>
    <s v="SouthRPU"/>
    <s v="P"/>
    <m/>
    <m/>
    <m/>
    <s v="SARGENT ANITA DR."/>
    <s v="E0337439"/>
    <s v="No"/>
    <s v="No"/>
    <s v="No"/>
    <s v="No"/>
    <s v="No"/>
    <s v="No"/>
    <s v="No"/>
    <s v="No"/>
    <s v="No"/>
    <s v="No"/>
    <s v="No"/>
    <x v="1"/>
    <n v="1"/>
    <s v=""/>
    <s v=""/>
    <s v=""/>
    <s v=""/>
    <s v=""/>
    <s v=""/>
    <s v=""/>
    <s v=""/>
    <s v=""/>
    <n v="1"/>
    <s v=""/>
  </r>
  <r>
    <x v="0"/>
    <m/>
    <m/>
    <m/>
    <m/>
    <s v="SARKER ASHIT DR."/>
    <m/>
    <m/>
    <m/>
    <m/>
    <s v="SARKER ASHIT BARAN"/>
    <s v="1 GUTHRIE SQ"/>
    <s v="SAYRE"/>
    <s v="PA"/>
    <s v="18840-1625"/>
    <s v="PHYSICIAN"/>
    <s v="M"/>
    <s v="No"/>
    <s v="MMIS"/>
    <s v="SouthRPU"/>
    <s v="P"/>
    <m/>
    <m/>
    <m/>
    <s v=""/>
    <s v="E0324567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SOLOMON SARRA DR."/>
    <m/>
    <m/>
    <m/>
    <m/>
    <s v="SOLOMON SARRA GWYN MD"/>
    <s v="GUTHRIE CL LTD"/>
    <s v="WATKINS GLEN"/>
    <s v="NY"/>
    <s v="14891-1260"/>
    <s v="PHYSICIAN"/>
    <s v="M"/>
    <s v="No"/>
    <s v="MMIS"/>
    <s v="NorthRPU"/>
    <s v="P"/>
    <m/>
    <m/>
    <m/>
    <s v=""/>
    <s v="E0059354"/>
    <n v="1"/>
    <n v="1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1"/>
    <m/>
    <m/>
    <m/>
    <m/>
    <s v="SAVORY BRIDGET"/>
    <m/>
    <m/>
    <m/>
    <m/>
    <s v="SAVORY BRIDGET"/>
    <s v="MARATHON ELEM SCHOOL"/>
    <s v="MARATHON"/>
    <s v="NY"/>
    <s v="13803-2808"/>
    <s v="PHYSICIAN"/>
    <s v="M"/>
    <s v="No"/>
    <s v="MMIS"/>
    <s v="NorthRPU"/>
    <s v="P"/>
    <m/>
    <m/>
    <m/>
    <s v=""/>
    <s v="E0330196"/>
    <n v="1"/>
    <n v="1"/>
    <n v="0"/>
    <n v="0"/>
    <n v="1"/>
    <n v="1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SAYLOR KAREN"/>
    <m/>
    <m/>
    <m/>
    <m/>
    <s v="SAYLOR KAREN E MD"/>
    <s v="7 COLONIAL DR"/>
    <s v="TOWANDA"/>
    <s v="PA"/>
    <s v="18848-9707"/>
    <s v="PHYSICIAN"/>
    <s v="M"/>
    <s v="No"/>
    <s v="MMIS"/>
    <s v="SouthRPU"/>
    <s v="P"/>
    <m/>
    <m/>
    <m/>
    <s v=""/>
    <s v="E0003211"/>
    <n v="0"/>
    <n v="0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1"/>
    <m/>
    <m/>
    <m/>
    <m/>
    <s v="SCARSETH STEPHEN MR."/>
    <m/>
    <m/>
    <m/>
    <m/>
    <s v="SCARSETH STEPHEN CLIVE"/>
    <s v="2224 E MAIN ST"/>
    <s v="MARATHON"/>
    <s v="NY"/>
    <s v="13803-0000"/>
    <s v="PHYSICIAN"/>
    <s v="M"/>
    <s v="No"/>
    <s v="MMIS"/>
    <s v="NorthRPU"/>
    <s v="P"/>
    <m/>
    <m/>
    <m/>
    <s v=""/>
    <s v="E0011887"/>
    <n v="0"/>
    <n v="0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s v=""/>
    <s v=""/>
  </r>
  <r>
    <x v="0"/>
    <m/>
    <m/>
    <m/>
    <m/>
    <s v="SCHACKOW T. ERIC DR."/>
    <m/>
    <m/>
    <m/>
    <m/>
    <s v="SCHACKOW T ERIC"/>
    <s v="1 GUTHRIE SQ"/>
    <s v="SAYRE"/>
    <s v="PA"/>
    <s v="18840-1625"/>
    <s v="PHYSICIAN"/>
    <s v="M"/>
    <s v="No"/>
    <s v="MMIS"/>
    <s v="NorthRPU"/>
    <s v="P"/>
    <m/>
    <m/>
    <m/>
    <s v="Schackow T. Eric"/>
    <s v="E0119474"/>
    <s v="No"/>
    <s v="No"/>
    <s v="No"/>
    <s v="No"/>
    <s v="No"/>
    <s v="No"/>
    <s v="No"/>
    <s v="No"/>
    <s v="No"/>
    <s v="No"/>
    <s v="No"/>
    <x v="1"/>
    <n v="1"/>
    <s v=""/>
    <s v=""/>
    <s v=""/>
    <s v=""/>
    <s v=""/>
    <s v=""/>
    <s v=""/>
    <s v=""/>
    <s v=""/>
    <n v="1"/>
    <s v=""/>
  </r>
  <r>
    <x v="0"/>
    <m/>
    <m/>
    <m/>
    <m/>
    <s v="SCHERER JUDITH"/>
    <m/>
    <m/>
    <m/>
    <m/>
    <s v="SCHERER JUDITH M"/>
    <s v="TOMPKINS COMM HOSP"/>
    <s v="ITHACA"/>
    <s v="NY"/>
    <s v="14850-1342"/>
    <s v="PHYSICIAN"/>
    <s v="M"/>
    <s v="No"/>
    <s v="MMIS"/>
    <s v="NorthRPU"/>
    <s v="P"/>
    <m/>
    <m/>
    <m/>
    <s v="SCHERER JUDITH"/>
    <s v="E0154246"/>
    <s v="No"/>
    <s v="No"/>
    <s v="No"/>
    <s v="No"/>
    <s v="No"/>
    <s v="No"/>
    <s v="No"/>
    <s v="No"/>
    <s v="No"/>
    <s v="No"/>
    <s v="No"/>
    <x v="1"/>
    <n v="1"/>
    <s v=""/>
    <s v=""/>
    <s v=""/>
    <s v=""/>
    <s v=""/>
    <s v=""/>
    <s v=""/>
    <s v=""/>
    <s v=""/>
    <n v="1"/>
    <s v=""/>
  </r>
  <r>
    <x v="0"/>
    <m/>
    <m/>
    <m/>
    <m/>
    <s v="SCHIAVONE MICHAEL DR."/>
    <m/>
    <m/>
    <m/>
    <m/>
    <s v="SCHIAVONE MICHAEL"/>
    <s v="1 ATWELL RD"/>
    <s v="COOPERSTOWN"/>
    <s v="NY"/>
    <s v="13326-1301"/>
    <s v="PHYSICIAN"/>
    <s v="M"/>
    <s v="No"/>
    <s v="MMIS"/>
    <s v="EastRPU"/>
    <s v="P"/>
    <m/>
    <m/>
    <m/>
    <s v=""/>
    <s v="E0314009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SCHLAEN BRENDA"/>
    <m/>
    <m/>
    <m/>
    <m/>
    <s v="SCHLAEN BRENDA-ROXANA MD"/>
    <s v="1290 UPPER FRONT ST"/>
    <s v="BINGHAMTON"/>
    <s v="NY"/>
    <s v="13901-1043"/>
    <s v="PHYSICIAN"/>
    <s v="M"/>
    <s v="No"/>
    <s v="MMIS"/>
    <s v="SouthRPU"/>
    <s v="P"/>
    <m/>
    <m/>
    <m/>
    <s v=""/>
    <s v="E0027422"/>
    <n v="1"/>
    <n v="1"/>
    <n v="0"/>
    <n v="1"/>
    <n v="1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SCHULTZ JULIA"/>
    <m/>
    <m/>
    <m/>
    <m/>
    <s v="SCHULTZ JULIA M"/>
    <s v="53 PINE ST"/>
    <s v="DEPOSIT"/>
    <s v="NY"/>
    <s v="13754-1301"/>
    <s v="PHYSICIAN"/>
    <s v="M"/>
    <s v="No"/>
    <s v="MMIS"/>
    <s v="SouthRPU"/>
    <s v="P"/>
    <m/>
    <m/>
    <m/>
    <s v="Schultz Julia"/>
    <s v="E0339145"/>
    <s v="No"/>
    <s v="No"/>
    <s v="No"/>
    <s v="No"/>
    <s v="No"/>
    <s v="No"/>
    <s v="No"/>
    <s v="No"/>
    <s v="No"/>
    <s v="No"/>
    <s v="No"/>
    <x v="2"/>
    <s v=""/>
    <s v=""/>
    <s v=""/>
    <s v=""/>
    <s v=""/>
    <s v=""/>
    <s v=""/>
    <s v=""/>
    <s v=""/>
    <s v=""/>
    <n v="1"/>
    <s v=""/>
  </r>
  <r>
    <x v="0"/>
    <m/>
    <m/>
    <m/>
    <m/>
    <s v="SCHUYLER COUNTY"/>
    <m/>
    <m/>
    <m/>
    <m/>
    <s v="SCHUYLER CO HOME HEALTH PSSHSP"/>
    <s v="106 S PERRY ST"/>
    <s v="WATKINS GLEN"/>
    <s v="NY"/>
    <s v="14891-1435"/>
    <s v="DIAGNOSTIC AND TREATMENT CENTER"/>
    <s v="M"/>
    <s v="No"/>
    <s v="MMIS"/>
    <s v="NorthRPU"/>
    <s v="P"/>
    <m/>
    <m/>
    <m/>
    <s v="SCHUYLER CO HOME HLTH PSSHSP"/>
    <s v="E0156880"/>
    <s v="No"/>
    <s v="No"/>
    <s v="No"/>
    <s v="No"/>
    <s v="No"/>
    <s v="No"/>
    <s v="No"/>
    <s v="No"/>
    <s v="No"/>
    <s v="No"/>
    <s v="No"/>
    <x v="1"/>
    <s v=""/>
    <s v=""/>
    <s v=""/>
    <s v=""/>
    <s v=""/>
    <s v=""/>
    <s v=""/>
    <s v=""/>
    <s v=""/>
    <s v=""/>
    <s v=""/>
    <n v="1"/>
  </r>
  <r>
    <x v="0"/>
    <m/>
    <m/>
    <m/>
    <m/>
    <s v="SCHUYLER COUNTY"/>
    <m/>
    <m/>
    <m/>
    <m/>
    <s v="SCHUYLER HOME HLTH AGCY    CO"/>
    <s v="425-447 PENNSYLVANIA AVE"/>
    <s v="ELMIRA"/>
    <s v="NY"/>
    <s v="14904-1762"/>
    <s v="HOME HEALTH AGENCY"/>
    <s v="M"/>
    <s v="No"/>
    <s v="MMIS"/>
    <s v="WestRPU"/>
    <s v="P"/>
    <m/>
    <m/>
    <m/>
    <s v=""/>
    <s v="E0263604"/>
    <n v="0"/>
    <n v="0"/>
    <n v="0"/>
    <n v="0"/>
    <n v="0"/>
    <n v="0"/>
    <n v="0"/>
    <n v="0"/>
    <n v="0"/>
    <n v="0"/>
    <n v="0"/>
    <x v="1"/>
    <s v=""/>
    <s v=""/>
    <s v=""/>
    <n v="1"/>
    <s v=""/>
    <s v=""/>
    <s v=""/>
    <s v=""/>
    <s v=""/>
    <s v=""/>
    <n v="1"/>
    <s v=""/>
  </r>
  <r>
    <x v="1"/>
    <m/>
    <m/>
    <m/>
    <m/>
    <s v="SCHUYLER COUNTY CHAPTER, NYSARC, INC."/>
    <m/>
    <m/>
    <m/>
    <m/>
    <s v="SCHUYLER COUNTY NYS ARC CEDAR"/>
    <s v="CEDAR STREET ICF"/>
    <s v="WATKINS GLEN"/>
    <s v="NY"/>
    <s v="14891-1101"/>
    <s v="LONG TERM CARE FACILITY"/>
    <s v="M"/>
    <s v="No"/>
    <s v="MMIS"/>
    <s v="NorthRPU"/>
    <s v="P"/>
    <m/>
    <m/>
    <m/>
    <s v=""/>
    <s v="E0219924"/>
    <n v="0"/>
    <n v="0"/>
    <n v="0"/>
    <n v="0"/>
    <n v="0"/>
    <n v="0"/>
    <n v="0"/>
    <n v="0"/>
    <n v="0"/>
    <n v="0"/>
    <n v="0"/>
    <x v="1"/>
    <s v=""/>
    <s v=""/>
    <s v=""/>
    <s v=""/>
    <s v=""/>
    <s v=""/>
    <s v=""/>
    <s v=""/>
    <s v=""/>
    <s v=""/>
    <n v="1"/>
    <s v=""/>
  </r>
  <r>
    <x v="0"/>
    <m/>
    <m/>
    <m/>
    <m/>
    <m/>
    <m/>
    <m/>
    <m/>
    <m/>
    <s v="SCHUYLER COUNTY CHAPT NYS ARC"/>
    <s v="203 12TH ST # 205"/>
    <s v="WATKINS GLEN"/>
    <s v="NY"/>
    <s v="14891-1617"/>
    <s v="TRANSPORTATION"/>
    <s v="M"/>
    <s v="No"/>
    <s v="MMIS"/>
    <s v="NorthRPU"/>
    <s v="P"/>
    <m/>
    <m/>
    <m/>
    <s v="Schuyler County Chapter, NYSARC Inc."/>
    <s v="E0208756"/>
    <s v="No"/>
    <s v="No"/>
    <s v="No"/>
    <s v="No"/>
    <s v="No"/>
    <s v="No"/>
    <s v="No"/>
    <s v="No"/>
    <s v="No"/>
    <s v="No"/>
    <s v="No"/>
    <x v="1"/>
    <s v=""/>
    <s v=""/>
    <s v=""/>
    <s v=""/>
    <s v=""/>
    <s v=""/>
    <s v=""/>
    <s v=""/>
    <s v=""/>
    <s v=""/>
    <s v=""/>
    <n v="1"/>
  </r>
  <r>
    <x v="0"/>
    <m/>
    <m/>
    <m/>
    <m/>
    <s v="SCHUYLER COUNTY CHAPTER, NYSARC, INC."/>
    <m/>
    <m/>
    <m/>
    <m/>
    <s v="SCHUYLER COUNTY NYS ARC CANAL"/>
    <s v="CANAL ST ICF"/>
    <s v="MONTOUR FALLS"/>
    <s v="NY"/>
    <s v="14865-9641"/>
    <s v="LONG TERM CARE FACILITY"/>
    <s v="M"/>
    <s v="No"/>
    <s v="MMIS"/>
    <s v="NorthRPU"/>
    <s v="P"/>
    <m/>
    <m/>
    <m/>
    <s v=""/>
    <s v="E0177193"/>
    <n v="0"/>
    <n v="0"/>
    <n v="0"/>
    <n v="0"/>
    <n v="0"/>
    <n v="0"/>
    <n v="0"/>
    <n v="0"/>
    <n v="0"/>
    <n v="0"/>
    <n v="0"/>
    <x v="1"/>
    <s v=""/>
    <s v=""/>
    <s v=""/>
    <s v=""/>
    <s v=""/>
    <s v=""/>
    <s v=""/>
    <s v=""/>
    <s v=""/>
    <s v=""/>
    <n v="1"/>
    <s v=""/>
  </r>
  <r>
    <x v="0"/>
    <m/>
    <m/>
    <m/>
    <m/>
    <m/>
    <m/>
    <m/>
    <m/>
    <m/>
    <s v="SCHUYLER COUNTY CHAPTER NYSARC"/>
    <s v="203 12TH ST"/>
    <s v="WATKINS GLEN"/>
    <s v="NY"/>
    <s v="14891-1617"/>
    <s v="HOME HEALTH AGENCY"/>
    <s v="M"/>
    <s v="No"/>
    <s v="MMIS"/>
    <s v="NorthRPU"/>
    <s v="P"/>
    <m/>
    <m/>
    <m/>
    <s v=""/>
    <s v="E0099535"/>
    <n v="0"/>
    <n v="0"/>
    <n v="0"/>
    <n v="0"/>
    <n v="0"/>
    <n v="0"/>
    <n v="0"/>
    <n v="0"/>
    <n v="0"/>
    <n v="0"/>
    <n v="0"/>
    <x v="1"/>
    <s v=""/>
    <s v=""/>
    <s v=""/>
    <n v="1"/>
    <s v=""/>
    <s v=""/>
    <s v=""/>
    <s v=""/>
    <s v=""/>
    <s v=""/>
    <s v=""/>
    <s v=""/>
  </r>
  <r>
    <x v="0"/>
    <m/>
    <m/>
    <m/>
    <m/>
    <m/>
    <m/>
    <m/>
    <m/>
    <m/>
    <s v="SCHUYLER CO CHAP NYSARC HCBS2"/>
    <s v="UUD3126"/>
    <s v="WATKINS GLEN"/>
    <s v="NY"/>
    <s v="14891"/>
    <s v="HOME HEALTH AGENCY"/>
    <s v="M"/>
    <s v="No"/>
    <s v="MMIS"/>
    <s v="NorthRPU"/>
    <s v="P"/>
    <m/>
    <m/>
    <m/>
    <s v="Schuyler County Chapter, NYSARC Inc."/>
    <s v="E0090759"/>
    <s v="No"/>
    <s v="No"/>
    <s v="No"/>
    <s v="No"/>
    <s v="No"/>
    <s v="No"/>
    <s v="No"/>
    <s v="No"/>
    <s v="No"/>
    <s v="No"/>
    <s v="No"/>
    <x v="1"/>
    <s v=""/>
    <s v=""/>
    <s v=""/>
    <s v=""/>
    <s v=""/>
    <s v=""/>
    <s v=""/>
    <s v=""/>
    <s v=""/>
    <s v=""/>
    <s v=""/>
    <n v="1"/>
  </r>
  <r>
    <x v="0"/>
    <m/>
    <m/>
    <m/>
    <m/>
    <m/>
    <m/>
    <m/>
    <m/>
    <m/>
    <s v="SCHUYLER CO CHAP NYSARC SMP"/>
    <s v="REGION-OUTSIDE NYC"/>
    <s v="WATKINS GLEN"/>
    <s v="NY"/>
    <s v="14891-1617"/>
    <s v="HOME HEALTH AGENCY"/>
    <s v="M"/>
    <s v="No"/>
    <s v="MMIS"/>
    <s v="NorthRPU"/>
    <s v="P"/>
    <m/>
    <m/>
    <m/>
    <s v=""/>
    <s v="E0083245"/>
    <n v="0"/>
    <n v="0"/>
    <n v="0"/>
    <n v="0"/>
    <n v="0"/>
    <n v="0"/>
    <n v="0"/>
    <n v="0"/>
    <n v="0"/>
    <n v="0"/>
    <n v="0"/>
    <x v="1"/>
    <s v=""/>
    <s v=""/>
    <s v=""/>
    <s v=""/>
    <s v=""/>
    <s v=""/>
    <s v=""/>
    <s v=""/>
    <s v=""/>
    <s v=""/>
    <n v="1"/>
    <s v=""/>
  </r>
  <r>
    <x v="0"/>
    <m/>
    <m/>
    <m/>
    <m/>
    <m/>
    <m/>
    <m/>
    <m/>
    <m/>
    <s v="SCHUYLER CO CHAP NYSARC INC"/>
    <s v="SUPPORTIVE"/>
    <s v="WATKINS GLEN"/>
    <s v="NY"/>
    <s v="14891-1617"/>
    <s v="HOME HEALTH AGENCY"/>
    <s v="M"/>
    <s v="No"/>
    <s v="MMIS"/>
    <s v="NorthRPU"/>
    <s v="P"/>
    <m/>
    <m/>
    <m/>
    <s v=""/>
    <s v="E0075190"/>
    <n v="0"/>
    <n v="0"/>
    <n v="0"/>
    <n v="0"/>
    <n v="0"/>
    <n v="0"/>
    <n v="0"/>
    <n v="0"/>
    <n v="0"/>
    <n v="0"/>
    <n v="0"/>
    <x v="1"/>
    <s v=""/>
    <s v=""/>
    <s v=""/>
    <s v=""/>
    <s v=""/>
    <s v=""/>
    <s v=""/>
    <s v=""/>
    <s v=""/>
    <s v=""/>
    <n v="1"/>
    <s v=""/>
  </r>
  <r>
    <x v="0"/>
    <m/>
    <m/>
    <m/>
    <m/>
    <m/>
    <m/>
    <m/>
    <m/>
    <m/>
    <s v="SCHUYLER CO CHAP NYSARC  SPV"/>
    <s v="SUPERVISED"/>
    <s v="WATKINS GLEN"/>
    <s v="NY"/>
    <s v="14891-1617"/>
    <s v="HOME HEALTH AGENCY"/>
    <s v="M"/>
    <s v="No"/>
    <s v="MMIS"/>
    <s v="NorthRPU"/>
    <s v="P"/>
    <m/>
    <m/>
    <m/>
    <s v=""/>
    <s v="E0075186"/>
    <n v="0"/>
    <n v="0"/>
    <n v="0"/>
    <n v="0"/>
    <n v="0"/>
    <n v="0"/>
    <n v="0"/>
    <n v="0"/>
    <n v="0"/>
    <n v="0"/>
    <n v="0"/>
    <x v="1"/>
    <s v=""/>
    <s v=""/>
    <s v=""/>
    <s v=""/>
    <s v=""/>
    <s v=""/>
    <s v=""/>
    <s v=""/>
    <s v=""/>
    <s v=""/>
    <n v="1"/>
    <s v=""/>
  </r>
  <r>
    <x v="0"/>
    <m/>
    <m/>
    <m/>
    <m/>
    <m/>
    <m/>
    <m/>
    <m/>
    <m/>
    <s v="SCHUYLER COUNTY NYSARC RSP"/>
    <s v="203 12TH ST"/>
    <s v="WATKINS GLEN"/>
    <s v="NY"/>
    <s v="14891-1617"/>
    <s v="HOME HEALTH AGENCY"/>
    <s v="M"/>
    <s v="No"/>
    <s v="MMIS"/>
    <s v="NorthRPU"/>
    <s v="P"/>
    <m/>
    <m/>
    <m/>
    <s v=""/>
    <s v="E0040200"/>
    <n v="0"/>
    <n v="0"/>
    <n v="0"/>
    <n v="0"/>
    <n v="0"/>
    <n v="0"/>
    <n v="0"/>
    <n v="0"/>
    <n v="0"/>
    <n v="0"/>
    <n v="0"/>
    <x v="1"/>
    <s v=""/>
    <s v=""/>
    <s v=""/>
    <s v=""/>
    <s v=""/>
    <s v=""/>
    <s v=""/>
    <s v=""/>
    <s v=""/>
    <s v=""/>
    <n v="1"/>
    <s v=""/>
  </r>
  <r>
    <x v="0"/>
    <m/>
    <m/>
    <m/>
    <m/>
    <m/>
    <m/>
    <m/>
    <m/>
    <m/>
    <s v="SCHUYLER CO CHAP NYSARC DAY"/>
    <s v="GROUP DAY HAB"/>
    <s v="WATKINS GLEN"/>
    <s v="NY"/>
    <s v="14891-1617"/>
    <s v="HOME HEALTH AGENCY"/>
    <s v="M"/>
    <s v="No"/>
    <s v="MMIS"/>
    <s v="NorthRPU"/>
    <s v="P"/>
    <m/>
    <m/>
    <m/>
    <s v=""/>
    <s v="E0029938"/>
    <n v="0"/>
    <n v="0"/>
    <n v="0"/>
    <n v="0"/>
    <n v="0"/>
    <n v="0"/>
    <n v="0"/>
    <n v="0"/>
    <n v="0"/>
    <n v="0"/>
    <n v="0"/>
    <x v="1"/>
    <s v=""/>
    <s v=""/>
    <s v=""/>
    <s v=""/>
    <s v=""/>
    <s v=""/>
    <s v=""/>
    <s v=""/>
    <s v=""/>
    <s v=""/>
    <n v="1"/>
    <s v=""/>
  </r>
  <r>
    <x v="0"/>
    <m/>
    <m/>
    <m/>
    <m/>
    <m/>
    <m/>
    <m/>
    <m/>
    <m/>
    <s v="SCHUYLER CO NYSARC BROOME MSC"/>
    <s v="203 12TH ST"/>
    <s v="WATKINS GLEN"/>
    <s v="NY"/>
    <s v="14891-1617"/>
    <s v="HOME HEALTH AGENCY"/>
    <s v="M"/>
    <s v="No"/>
    <s v="MMIS"/>
    <s v="NorthRPU"/>
    <s v="P"/>
    <m/>
    <m/>
    <m/>
    <s v=""/>
    <s v="E0025799"/>
    <n v="0"/>
    <n v="0"/>
    <n v="0"/>
    <n v="0"/>
    <n v="0"/>
    <n v="0"/>
    <n v="0"/>
    <n v="0"/>
    <n v="0"/>
    <n v="0"/>
    <n v="0"/>
    <x v="1"/>
    <s v=""/>
    <s v=""/>
    <s v=""/>
    <n v="1"/>
    <s v=""/>
    <s v=""/>
    <s v=""/>
    <s v=""/>
    <s v=""/>
    <s v=""/>
    <s v=""/>
    <s v=""/>
  </r>
  <r>
    <x v="0"/>
    <m/>
    <m/>
    <m/>
    <m/>
    <s v="SCHUYLER COUNTY CHAPTER, NYSARC, INC,"/>
    <m/>
    <m/>
    <m/>
    <m/>
    <s v="SCHUYLER COUNTY CHAPTER NYSARC INC"/>
    <s v="425-447 PENNSYLVANIA AVE"/>
    <s v="ELMIRA"/>
    <s v="NY"/>
    <s v="14904-1762"/>
    <s v="HOME HEALTH AGENCY"/>
    <s v="M"/>
    <s v="No"/>
    <s v="MMIS"/>
    <s v="NorthRPU"/>
    <s v="P"/>
    <m/>
    <m/>
    <m/>
    <s v=""/>
    <s v="E0345927"/>
    <n v="0"/>
    <n v="0"/>
    <n v="0"/>
    <n v="0"/>
    <n v="0"/>
    <n v="0"/>
    <n v="0"/>
    <n v="0"/>
    <n v="0"/>
    <n v="0"/>
    <n v="0"/>
    <x v="1"/>
    <s v=""/>
    <s v=""/>
    <s v=""/>
    <n v="1"/>
    <s v=""/>
    <s v=""/>
    <s v=""/>
    <s v=""/>
    <s v=""/>
    <s v=""/>
    <s v=""/>
    <s v=""/>
  </r>
  <r>
    <x v="1"/>
    <m/>
    <m/>
    <m/>
    <m/>
    <s v="SCHUYLER COUNTY MENTAL HEALTH"/>
    <m/>
    <m/>
    <m/>
    <m/>
    <s v="SCHUYLER COUNTY MENTAL HLTH SVCS"/>
    <s v="106 S PERRY ST"/>
    <s v="WATKINS GLEN"/>
    <s v="NY"/>
    <s v="14891-1615"/>
    <s v="MULTI-TYPE"/>
    <s v="M"/>
    <s v="No"/>
    <s v="MMIS"/>
    <s v="NorthRPU"/>
    <s v="P"/>
    <m/>
    <m/>
    <m/>
    <s v=""/>
    <s v="E0162808"/>
    <n v="0"/>
    <n v="0"/>
    <n v="0"/>
    <n v="0"/>
    <n v="0"/>
    <n v="0"/>
    <n v="0"/>
    <n v="0"/>
    <n v="0"/>
    <n v="0"/>
    <n v="0"/>
    <x v="1"/>
    <s v=""/>
    <s v=""/>
    <s v=""/>
    <n v="1"/>
    <n v="1"/>
    <s v=""/>
    <s v=""/>
    <s v=""/>
    <s v=""/>
    <s v=""/>
    <n v="1"/>
    <s v=""/>
  </r>
  <r>
    <x v="1"/>
    <m/>
    <m/>
    <m/>
    <m/>
    <s v="SCHUYLER COUNTY"/>
    <m/>
    <m/>
    <m/>
    <m/>
    <s v="SCHUYLER COUNTY LEGISLATURE"/>
    <s v="106 S PERRY ST"/>
    <s v="WATKINS GLEN"/>
    <s v="NY"/>
    <s v="14891-1615"/>
    <s v="DIAGNOSTIC AND TREATMENT CENTER"/>
    <s v="M"/>
    <s v="No"/>
    <s v="MMIS"/>
    <s v="NorthRPU"/>
    <s v="P"/>
    <m/>
    <m/>
    <m/>
    <s v=""/>
    <s v="E0263649"/>
    <n v="0"/>
    <n v="0"/>
    <n v="0"/>
    <n v="0"/>
    <n v="0"/>
    <n v="0"/>
    <n v="0"/>
    <n v="0"/>
    <n v="0"/>
    <n v="0"/>
    <n v="0"/>
    <x v="1"/>
    <s v=""/>
    <s v=""/>
    <n v="1"/>
    <s v=""/>
    <s v=""/>
    <s v=""/>
    <s v=""/>
    <s v=""/>
    <s v=""/>
    <s v=""/>
    <s v=""/>
    <s v=""/>
  </r>
  <r>
    <x v="0"/>
    <m/>
    <m/>
    <m/>
    <m/>
    <s v="SCHUYLER HOSPITAL INC"/>
    <m/>
    <m/>
    <m/>
    <m/>
    <s v="SCHUYLER HOSPITAL INC"/>
    <s v="230 STEUBEN ST"/>
    <s v="MONTOUR FALLS"/>
    <s v="NY"/>
    <s v="14865-9648"/>
    <s v="MULTI-TYPE"/>
    <s v="M"/>
    <s v="No"/>
    <s v="MMIS"/>
    <s v="NorthRPU"/>
    <s v="P"/>
    <m/>
    <m/>
    <m/>
    <s v=""/>
    <s v="E0319815"/>
    <n v="1"/>
    <n v="1"/>
    <n v="0"/>
    <n v="0"/>
    <n v="0"/>
    <n v="0"/>
    <n v="0"/>
    <n v="0"/>
    <n v="0"/>
    <n v="0"/>
    <n v="0"/>
    <x v="1"/>
    <s v=""/>
    <s v=""/>
    <s v=""/>
    <s v=""/>
    <s v=""/>
    <s v=""/>
    <s v=""/>
    <s v=""/>
    <s v=""/>
    <s v=""/>
    <n v="1"/>
    <s v=""/>
  </r>
  <r>
    <x v="1"/>
    <m/>
    <m/>
    <m/>
    <m/>
    <s v="SCHUYLER HOSPITAL INC"/>
    <m/>
    <m/>
    <m/>
    <m/>
    <s v="SCHUYLER HOSPITAL"/>
    <s v="220 STEUBEN ST"/>
    <s v="MONTOUR FALLS"/>
    <s v="NY"/>
    <s v="14865-9740"/>
    <s v="HOSPITAL"/>
    <s v="M"/>
    <s v="No"/>
    <s v="MMIS"/>
    <s v="NorthRPU"/>
    <s v="P"/>
    <m/>
    <m/>
    <m/>
    <s v=""/>
    <s v="E0262916"/>
    <n v="1"/>
    <n v="1"/>
    <n v="0"/>
    <n v="0"/>
    <n v="0"/>
    <n v="0"/>
    <n v="0"/>
    <n v="0"/>
    <n v="0"/>
    <n v="0"/>
    <n v="0"/>
    <x v="1"/>
    <s v=""/>
    <n v="1"/>
    <n v="1"/>
    <s v=""/>
    <s v=""/>
    <s v=""/>
    <s v=""/>
    <n v="1"/>
    <s v=""/>
    <s v=""/>
    <n v="1"/>
    <s v=""/>
  </r>
  <r>
    <x v="1"/>
    <m/>
    <m/>
    <m/>
    <m/>
    <s v="SCHUYLER HOSPITAL INC"/>
    <m/>
    <m/>
    <m/>
    <m/>
    <s v="SCHUYLER HOSPITAL"/>
    <s v="220 STEUBEN ST"/>
    <s v="MONTOUR FALLS"/>
    <s v="NY"/>
    <s v="14865-9740"/>
    <s v="HOSPITAL"/>
    <s v="M"/>
    <s v="No"/>
    <s v="MMIS"/>
    <s v="NorthRPU"/>
    <s v="P"/>
    <m/>
    <m/>
    <m/>
    <s v=""/>
    <s v="E0262916"/>
    <n v="1"/>
    <n v="1"/>
    <n v="0"/>
    <n v="0"/>
    <n v="0"/>
    <n v="0"/>
    <n v="0"/>
    <n v="0"/>
    <n v="0"/>
    <n v="0"/>
    <n v="0"/>
    <x v="1"/>
    <s v=""/>
    <n v="1"/>
    <n v="1"/>
    <s v=""/>
    <s v=""/>
    <s v=""/>
    <s v=""/>
    <n v="1"/>
    <s v=""/>
    <s v=""/>
    <n v="1"/>
    <s v=""/>
  </r>
  <r>
    <x v="0"/>
    <m/>
    <m/>
    <m/>
    <m/>
    <s v="SCHWARTZ JERROLD"/>
    <m/>
    <m/>
    <m/>
    <m/>
    <s v="SCHWARTZ JERROLD PAUL MD"/>
    <s v="LOURDES HOSP"/>
    <s v="BINGHAMTON"/>
    <s v="NY"/>
    <s v="13905-4198"/>
    <s v="PHYSICIAN"/>
    <s v="M"/>
    <s v="No"/>
    <s v="MMIS"/>
    <s v="SouthRPU"/>
    <s v="P"/>
    <m/>
    <m/>
    <m/>
    <s v=""/>
    <s v="E0068752"/>
    <n v="0"/>
    <n v="0"/>
    <n v="0"/>
    <n v="0"/>
    <n v="0"/>
    <n v="0"/>
    <n v="0"/>
    <n v="0"/>
    <n v="0"/>
    <n v="0"/>
    <n v="0"/>
    <x v="2"/>
    <n v="1"/>
    <s v=""/>
    <s v=""/>
    <s v=""/>
    <s v=""/>
    <s v=""/>
    <s v=""/>
    <s v=""/>
    <s v=""/>
    <s v=""/>
    <n v="1"/>
    <s v=""/>
  </r>
  <r>
    <x v="0"/>
    <m/>
    <m/>
    <m/>
    <m/>
    <s v="GLICK SCOTT DR."/>
    <m/>
    <m/>
    <m/>
    <m/>
    <s v="GLICK SCOTT M"/>
    <s v="10 ARROWOOD DR"/>
    <s v="ITHACA"/>
    <s v="NY"/>
    <s v="14850-1857"/>
    <s v="PHYSICIAN"/>
    <s v="M"/>
    <s v="No"/>
    <s v="MMIS"/>
    <s v="NorthRPU"/>
    <s v="P"/>
    <m/>
    <m/>
    <m/>
    <s v=""/>
    <s v="E0350845"/>
    <n v="1"/>
    <n v="1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SEDDON LORRAINE DR."/>
    <m/>
    <m/>
    <m/>
    <m/>
    <s v="SEDDON LORRAINE MD"/>
    <s v="179 N BROAD ST"/>
    <s v="NORWICH"/>
    <s v="NY"/>
    <s v="13815-1019"/>
    <s v="PHYSICIAN"/>
    <s v="M"/>
    <s v="No"/>
    <s v="MMIS"/>
    <s v="EastRPU"/>
    <s v="P"/>
    <m/>
    <m/>
    <m/>
    <s v=""/>
    <s v="E0212461"/>
    <n v="0"/>
    <n v="0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SEEDAT GHAZALA DR."/>
    <m/>
    <m/>
    <m/>
    <m/>
    <s v="SEEDAT GHAZALA ALI DO"/>
    <s v="224 S GEDDES ST"/>
    <s v="SYRACUSE"/>
    <s v="NY"/>
    <s v="13204-2809"/>
    <s v="DENTIST"/>
    <s v="M"/>
    <s v="No"/>
    <s v="MMIS"/>
    <s v="NorthRPU"/>
    <s v="P"/>
    <m/>
    <m/>
    <m/>
    <s v=""/>
    <s v="E0021004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1"/>
    <m/>
    <m/>
    <m/>
    <m/>
    <s v="SCHUYLER HOSPITAL INC"/>
    <m/>
    <m/>
    <m/>
    <m/>
    <s v="SCHUYLER HOSP LONG TERM   INC"/>
    <s v="220 STEUBEN ST"/>
    <s v="MONTOUR FALLS"/>
    <s v="NY"/>
    <s v="14865-9740"/>
    <s v="HOSPITAL"/>
    <s v="M"/>
    <s v="No"/>
    <s v="MMIS"/>
    <s v="NorthRPU"/>
    <s v="P"/>
    <m/>
    <m/>
    <m/>
    <s v=""/>
    <s v="E0263948"/>
    <n v="0"/>
    <n v="0"/>
    <n v="0"/>
    <n v="0"/>
    <n v="0"/>
    <n v="0"/>
    <n v="0"/>
    <n v="0"/>
    <n v="0"/>
    <n v="0"/>
    <n v="0"/>
    <x v="1"/>
    <s v=""/>
    <s v=""/>
    <s v=""/>
    <s v=""/>
    <s v=""/>
    <s v=""/>
    <n v="1"/>
    <s v=""/>
    <s v=""/>
    <s v=""/>
    <n v="1"/>
    <s v=""/>
  </r>
  <r>
    <x v="0"/>
    <m/>
    <m/>
    <m/>
    <m/>
    <s v="YOON SERENA DR."/>
    <m/>
    <m/>
    <m/>
    <m/>
    <s v="YOON SERENA HANEE MD"/>
    <s v="8 BRENTWOOD DR STE B"/>
    <s v="ITHACA"/>
    <s v="NY"/>
    <s v="14850-1871"/>
    <s v="PHYSICIAN"/>
    <s v="M"/>
    <s v="No"/>
    <s v="MMIS"/>
    <s v="NorthRPU"/>
    <s v="P"/>
    <m/>
    <m/>
    <m/>
    <s v=""/>
    <s v="E0133697"/>
    <n v="0"/>
    <n v="0"/>
    <n v="0"/>
    <n v="0"/>
    <n v="0"/>
    <n v="0"/>
    <n v="0"/>
    <n v="0"/>
    <n v="0"/>
    <n v="0"/>
    <n v="0"/>
    <x v="2"/>
    <n v="1"/>
    <s v=""/>
    <s v=""/>
    <s v=""/>
    <s v=""/>
    <s v=""/>
    <s v=""/>
    <s v=""/>
    <s v=""/>
    <s v=""/>
    <n v="1"/>
    <s v=""/>
  </r>
  <r>
    <x v="0"/>
    <m/>
    <m/>
    <m/>
    <m/>
    <s v="SERENS KELLEY MISS"/>
    <m/>
    <m/>
    <m/>
    <m/>
    <s v="SERENS KELLEY A"/>
    <s v="134 HOMER AVE"/>
    <s v="CORTLAND"/>
    <s v="NY"/>
    <s v="13045-1206"/>
    <s v="PHYSICIAN"/>
    <s v="M"/>
    <s v="No"/>
    <s v="MMIS"/>
    <s v="NorthRPU"/>
    <s v="P"/>
    <m/>
    <m/>
    <m/>
    <s v=""/>
    <s v="E0367234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1"/>
    <m/>
    <m/>
    <m/>
    <m/>
    <s v="SERRANO DE MALAVET JANETTE DR."/>
    <m/>
    <m/>
    <m/>
    <m/>
    <s v="SERRANO DE MALAVET JANETTE"/>
    <m/>
    <s v="CORNING"/>
    <s v="NY"/>
    <s v="14830-2287"/>
    <s v="PHYSICIAN"/>
    <s v="M"/>
    <s v="No"/>
    <s v="MMIS"/>
    <s v="WestRPU"/>
    <s v="P"/>
    <m/>
    <m/>
    <m/>
    <s v=""/>
    <s v="E0142437"/>
    <n v="0"/>
    <n v="0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s v="10 Kennedy Parkway"/>
    <s v="Cortland"/>
    <s v="NY"/>
    <s v="13045"/>
    <m/>
    <m/>
    <m/>
    <m/>
    <m/>
    <m/>
    <m/>
    <m/>
    <m/>
    <m/>
    <m/>
    <s v="M"/>
    <s v="No"/>
    <s v="No NPI or MMIS"/>
    <s v="NorthRPU"/>
    <s v="P"/>
    <m/>
    <m/>
    <m/>
    <s v=""/>
    <s v="Seven Valleys Health Coalition"/>
    <n v="1"/>
    <m/>
    <m/>
    <m/>
    <n v="1"/>
    <s v="No"/>
    <s v="No"/>
    <s v="No"/>
    <s v="No"/>
    <s v="No"/>
    <s v="No"/>
    <x v="1"/>
    <s v=""/>
    <s v=""/>
    <s v=""/>
    <s v=""/>
    <s v=""/>
    <s v=""/>
    <s v=""/>
    <s v=""/>
    <s v=""/>
    <n v="1"/>
    <s v=""/>
    <s v=""/>
  </r>
  <r>
    <x v="0"/>
    <m/>
    <m/>
    <m/>
    <m/>
    <s v="JAMIL SHABANA DR."/>
    <m/>
    <m/>
    <m/>
    <m/>
    <s v="JAMIL SHABANA MD"/>
    <s v="1020 VESTAL PKWY E"/>
    <s v="VESTAL"/>
    <s v="NY"/>
    <s v="13850-1748"/>
    <s v="PHYSICIAN"/>
    <s v="M"/>
    <s v="No"/>
    <s v="MMIS"/>
    <s v="SouthRPU"/>
    <s v="P"/>
    <m/>
    <m/>
    <m/>
    <s v="Shabana Jamil, MD"/>
    <s v="E0016810"/>
    <s v="No"/>
    <s v="No"/>
    <s v="No"/>
    <s v="No"/>
    <s v="No"/>
    <s v="No"/>
    <s v="No"/>
    <s v="No"/>
    <s v="No"/>
    <s v="No"/>
    <s v="No"/>
    <x v="2"/>
    <s v=""/>
    <s v=""/>
    <s v=""/>
    <s v=""/>
    <s v=""/>
    <s v=""/>
    <s v=""/>
    <s v=""/>
    <s v=""/>
    <s v=""/>
    <n v="1"/>
    <s v=""/>
  </r>
  <r>
    <x v="0"/>
    <m/>
    <m/>
    <m/>
    <m/>
    <s v="SHADY AMR"/>
    <m/>
    <m/>
    <m/>
    <m/>
    <s v="SHADY AMR ALI MD"/>
    <s v="601 RIVERSIDE DR"/>
    <s v="JOHNSON CITY"/>
    <s v="NY"/>
    <s v="13790-2544"/>
    <s v="PHYSICIAN"/>
    <s v="M"/>
    <s v="No"/>
    <s v="MMIS"/>
    <s v="SouthRPU"/>
    <s v="P"/>
    <m/>
    <m/>
    <m/>
    <s v=""/>
    <s v="E0032279"/>
    <n v="1"/>
    <n v="1"/>
    <n v="0"/>
    <n v="1"/>
    <n v="1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SHAH ASHOKKUMAR DR."/>
    <m/>
    <m/>
    <m/>
    <m/>
    <s v="SHAH ASHOKKUMAR RATANLAL"/>
    <s v="GUTHRIE SQUARE"/>
    <s v="SAYRE"/>
    <s v="PA"/>
    <s v="18840"/>
    <s v="PHYSICIAN"/>
    <s v="M"/>
    <s v="No"/>
    <s v="MMIS"/>
    <s v="SouthRPU"/>
    <s v="P"/>
    <m/>
    <m/>
    <m/>
    <s v=""/>
    <s v="E0064589"/>
    <n v="1"/>
    <n v="1"/>
    <n v="0"/>
    <n v="0"/>
    <n v="0"/>
    <n v="0"/>
    <n v="0"/>
    <n v="0"/>
    <n v="0"/>
    <n v="1"/>
    <n v="0"/>
    <x v="1"/>
    <n v="1"/>
    <s v=""/>
    <s v=""/>
    <s v=""/>
    <s v=""/>
    <s v=""/>
    <s v=""/>
    <s v=""/>
    <s v=""/>
    <s v=""/>
    <n v="1"/>
    <s v=""/>
  </r>
  <r>
    <x v="0"/>
    <m/>
    <m/>
    <m/>
    <m/>
    <s v="SHAH MANISH DR."/>
    <m/>
    <m/>
    <m/>
    <m/>
    <s v="SHAH MANISH VIPINCHADRA"/>
    <s v="179 N BROAD ST"/>
    <s v="NORWICH"/>
    <s v="NY"/>
    <s v="13815-1019"/>
    <s v="PHYSICIAN"/>
    <s v="M"/>
    <s v="No"/>
    <s v="MMIS"/>
    <s v="EastRPU"/>
    <s v="P"/>
    <m/>
    <m/>
    <m/>
    <s v=""/>
    <s v="E0346403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SHAH ZIA DR."/>
    <m/>
    <m/>
    <m/>
    <m/>
    <s v="SHAH ZIA H MD"/>
    <s v="BINGHAMTON GENERAL"/>
    <s v="BINGHAMTON"/>
    <s v="NY"/>
    <s v="13903"/>
    <s v="PHYSICIAN"/>
    <s v="M"/>
    <s v="No"/>
    <s v="MMIS"/>
    <s v="SouthRPU"/>
    <s v="P"/>
    <m/>
    <m/>
    <m/>
    <s v="SHAH ZIA DR."/>
    <s v="E0135655"/>
    <s v="No"/>
    <s v="No"/>
    <s v="No"/>
    <s v="No"/>
    <s v="No"/>
    <s v="No"/>
    <s v="No"/>
    <s v="No"/>
    <s v="No"/>
    <s v="No"/>
    <s v="No"/>
    <x v="1"/>
    <n v="1"/>
    <s v=""/>
    <s v=""/>
    <s v=""/>
    <s v=""/>
    <s v=""/>
    <s v=""/>
    <s v=""/>
    <s v=""/>
    <s v=""/>
    <n v="1"/>
    <s v=""/>
  </r>
  <r>
    <x v="0"/>
    <m/>
    <m/>
    <m/>
    <m/>
    <s v="MALIK SHAHID"/>
    <m/>
    <m/>
    <m/>
    <m/>
    <s v="MALIK SHAHID NASIR MD"/>
    <s v="800 HOOPER RD"/>
    <s v="ENDWELL"/>
    <s v="NY"/>
    <s v="13760-1560"/>
    <s v="PHYSICIAN"/>
    <s v="M"/>
    <s v="No"/>
    <s v="MMIS"/>
    <s v="SouthRPU"/>
    <s v="P"/>
    <m/>
    <m/>
    <m/>
    <s v=""/>
    <s v="E0016323"/>
    <n v="0"/>
    <n v="0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MUGHAL SHAHID"/>
    <m/>
    <m/>
    <m/>
    <m/>
    <s v="MUGHAL SHAKID AHMED MD"/>
    <s v="PRIMARY CARE ASSOC"/>
    <s v="BINGHAMTON"/>
    <s v="NY"/>
    <s v="13904-1661"/>
    <s v="PHYSICIAN"/>
    <s v="M"/>
    <s v="No"/>
    <s v="MMIS"/>
    <s v="SouthRPU"/>
    <s v="P"/>
    <m/>
    <m/>
    <m/>
    <s v=""/>
    <s v="E0071897"/>
    <n v="1"/>
    <n v="1"/>
    <n v="0"/>
    <n v="1"/>
    <n v="1"/>
    <n v="0"/>
    <n v="0"/>
    <n v="0"/>
    <n v="0"/>
    <n v="0"/>
    <n v="0"/>
    <x v="2"/>
    <n v="1"/>
    <s v=""/>
    <s v=""/>
    <s v=""/>
    <s v=""/>
    <s v=""/>
    <s v=""/>
    <s v=""/>
    <s v=""/>
    <s v=""/>
    <n v="1"/>
    <s v=""/>
  </r>
  <r>
    <x v="1"/>
    <m/>
    <m/>
    <m/>
    <m/>
    <s v="IZADYAR SHAHRAM"/>
    <m/>
    <m/>
    <m/>
    <m/>
    <s v="IZADYAR SHAHRAM"/>
    <s v="750 E ADAMS ST"/>
    <s v="SYRACUSE"/>
    <s v="NY"/>
    <s v="13210-2342"/>
    <s v="PHYSICIAN"/>
    <s v="M"/>
    <s v="No"/>
    <s v="MMIS"/>
    <s v="NorthRPU"/>
    <s v="P"/>
    <m/>
    <m/>
    <m/>
    <s v=""/>
    <s v="E0335281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BICHALA SHALINI DR."/>
    <m/>
    <m/>
    <m/>
    <m/>
    <s v="BICHALA SHALINI"/>
    <m/>
    <m/>
    <m/>
    <m/>
    <s v="PHYSICIAN"/>
    <s v="M"/>
    <s v="No"/>
    <s v="MMIS"/>
    <s v="SouthRPU"/>
    <s v="P"/>
    <m/>
    <m/>
    <m/>
    <s v="Shalini Bichala, MD"/>
    <s v="E0443241"/>
    <s v="No"/>
    <s v="No"/>
    <s v="No"/>
    <s v="No"/>
    <s v="No"/>
    <s v="No"/>
    <s v="No"/>
    <s v="No"/>
    <s v="No"/>
    <s v="No"/>
    <s v="No"/>
    <x v="2"/>
    <n v="1"/>
    <s v=""/>
    <s v=""/>
    <s v=""/>
    <s v=""/>
    <s v=""/>
    <s v=""/>
    <s v=""/>
    <s v=""/>
    <s v=""/>
    <s v=""/>
    <s v=""/>
  </r>
  <r>
    <x v="0"/>
    <m/>
    <m/>
    <m/>
    <m/>
    <s v="SHALLER MARGE"/>
    <m/>
    <m/>
    <m/>
    <m/>
    <s v="SHALLER MARQUERITE E NP"/>
    <s v="346 GRAND AVE"/>
    <s v="JOHNSON CITY"/>
    <s v="NY"/>
    <s v="13790-2558"/>
    <s v="PHYSICIAN"/>
    <s v="M"/>
    <s v="No"/>
    <s v="MMIS"/>
    <s v="SouthRPU"/>
    <s v="P"/>
    <m/>
    <m/>
    <m/>
    <s v="SHALLER MARGE"/>
    <s v="E0085167"/>
    <s v="No"/>
    <s v="No"/>
    <s v="No"/>
    <s v="No"/>
    <s v="No"/>
    <s v="No"/>
    <s v="No"/>
    <s v="No"/>
    <s v="No"/>
    <s v="No"/>
    <s v="No"/>
    <x v="1"/>
    <s v=""/>
    <s v=""/>
    <s v=""/>
    <s v=""/>
    <s v=""/>
    <s v=""/>
    <s v=""/>
    <s v=""/>
    <s v=""/>
    <s v=""/>
    <s v=""/>
    <n v="1"/>
  </r>
  <r>
    <x v="1"/>
    <m/>
    <m/>
    <m/>
    <m/>
    <s v="SHAPIRO OLEG"/>
    <m/>
    <m/>
    <m/>
    <m/>
    <s v="SHAPIRO OLEG"/>
    <s v="750 E ADAMS ST"/>
    <s v="SYRACUSE"/>
    <s v="NY"/>
    <s v="13210-2342"/>
    <s v="PHYSICIAN"/>
    <s v="M"/>
    <s v="No"/>
    <s v="MMIS"/>
    <s v="NorthRPU"/>
    <s v="P"/>
    <m/>
    <m/>
    <m/>
    <s v=""/>
    <s v="E0284336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SHARMA HARI DR."/>
    <m/>
    <m/>
    <m/>
    <m/>
    <s v="SHARMA HARI HAR"/>
    <s v="CORNING HOSP"/>
    <s v="CORNING"/>
    <s v="NY"/>
    <s v="14830-2899"/>
    <s v="PHYSICIAN"/>
    <s v="M"/>
    <s v="No"/>
    <s v="MMIS"/>
    <s v="WestRPU"/>
    <s v="P"/>
    <m/>
    <m/>
    <m/>
    <s v=""/>
    <s v="E0259742"/>
    <n v="1"/>
    <n v="1"/>
    <n v="0"/>
    <n v="0"/>
    <n v="0"/>
    <n v="0"/>
    <n v="0"/>
    <n v="1"/>
    <n v="1"/>
    <n v="1"/>
    <n v="0"/>
    <x v="2"/>
    <s v=""/>
    <s v=""/>
    <s v=""/>
    <s v=""/>
    <s v=""/>
    <s v=""/>
    <s v=""/>
    <s v=""/>
    <s v=""/>
    <s v=""/>
    <n v="1"/>
    <s v=""/>
  </r>
  <r>
    <x v="0"/>
    <m/>
    <m/>
    <m/>
    <m/>
    <s v="SHARMA RAM DR."/>
    <m/>
    <m/>
    <m/>
    <m/>
    <s v="SHARMA RAM CHARITRA MD"/>
    <s v="GUTHRIE CLINIC LTD"/>
    <s v="SAYRE"/>
    <s v="PA"/>
    <s v="18840"/>
    <s v="PHYSICIAN"/>
    <s v="M"/>
    <s v="No"/>
    <s v="MMIS"/>
    <s v="SouthRPU"/>
    <s v="P"/>
    <m/>
    <m/>
    <m/>
    <s v=""/>
    <s v="E0119472"/>
    <n v="1"/>
    <n v="1"/>
    <n v="0"/>
    <n v="0"/>
    <n v="0"/>
    <n v="0"/>
    <n v="0"/>
    <n v="1"/>
    <n v="1"/>
    <n v="1"/>
    <n v="0"/>
    <x v="2"/>
    <s v=""/>
    <s v=""/>
    <s v=""/>
    <s v=""/>
    <s v=""/>
    <s v=""/>
    <s v=""/>
    <s v=""/>
    <s v=""/>
    <s v=""/>
    <n v="1"/>
    <s v=""/>
  </r>
  <r>
    <x v="0"/>
    <m/>
    <m/>
    <m/>
    <m/>
    <s v="BALDAUF-MADERO SHARON"/>
    <m/>
    <m/>
    <m/>
    <m/>
    <s v="BALDAUF-MADERO SHARON DIANE"/>
    <s v="1 FOXCARE DR"/>
    <s v="ONEONTA"/>
    <s v="NY"/>
    <s v="13820-2086"/>
    <s v="PHYSICIAN"/>
    <s v="M"/>
    <s v="No"/>
    <s v="MMIS"/>
    <s v="EastRPU"/>
    <s v="P"/>
    <m/>
    <m/>
    <m/>
    <s v=""/>
    <s v="E0109153"/>
    <n v="0"/>
    <n v="0"/>
    <n v="0"/>
    <n v="0"/>
    <n v="0"/>
    <n v="0"/>
    <n v="0"/>
    <n v="0"/>
    <n v="0"/>
    <n v="0"/>
    <n v="0"/>
    <x v="2"/>
    <n v="1"/>
    <s v=""/>
    <s v=""/>
    <s v=""/>
    <s v=""/>
    <s v=""/>
    <s v=""/>
    <s v=""/>
    <s v=""/>
    <s v=""/>
    <n v="1"/>
    <s v=""/>
  </r>
  <r>
    <x v="0"/>
    <m/>
    <m/>
    <m/>
    <m/>
    <s v="ZIEGLER SHARON"/>
    <m/>
    <m/>
    <m/>
    <m/>
    <s v="ZIEGLER SHARON LYNN"/>
    <s v="BUFFALO GENERAL HOSP"/>
    <s v="BUFFALO"/>
    <s v="NY"/>
    <s v="14203-1154"/>
    <s v="PHYSICIAN"/>
    <s v="M"/>
    <s v="No"/>
    <s v="MMIS"/>
    <s v="NorthRPU"/>
    <s v="P"/>
    <m/>
    <m/>
    <m/>
    <s v=""/>
    <s v="E0155436"/>
    <n v="1"/>
    <n v="1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EMMONS SHAWN DR."/>
    <m/>
    <m/>
    <m/>
    <m/>
    <s v="EMMONS SHAWN PATRICK"/>
    <s v="1302 E MAIN ST"/>
    <s v="ENDICOTT"/>
    <s v="NY"/>
    <s v="13760-5430"/>
    <s v="PHYSICIAN"/>
    <s v="M"/>
    <s v="No"/>
    <s v="MMIS"/>
    <s v="SouthRPU"/>
    <s v="P"/>
    <m/>
    <m/>
    <m/>
    <s v=""/>
    <s v="E0293625"/>
    <n v="0"/>
    <n v="0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BARRETT SHEAN"/>
    <m/>
    <m/>
    <m/>
    <m/>
    <s v="BARRETT SHEAN LOGAN"/>
    <s v="500 5TH AVE"/>
    <s v="OWEGO"/>
    <s v="NY"/>
    <s v="13827-1620"/>
    <s v="PHYSICIAN"/>
    <s v="M"/>
    <s v="No"/>
    <s v="MMIS"/>
    <s v="SouthRPU"/>
    <s v="P"/>
    <m/>
    <m/>
    <m/>
    <s v="Shean L. Barrett, MD"/>
    <s v="E0371054"/>
    <s v="No"/>
    <s v="No"/>
    <s v="No"/>
    <s v="No"/>
    <s v="No"/>
    <s v="No"/>
    <s v="No"/>
    <s v="No"/>
    <s v="No"/>
    <s v="No"/>
    <s v="No"/>
    <x v="2"/>
    <s v=""/>
    <s v=""/>
    <s v=""/>
    <s v=""/>
    <s v=""/>
    <s v=""/>
    <s v=""/>
    <s v=""/>
    <s v=""/>
    <s v=""/>
    <n v="1"/>
    <s v=""/>
  </r>
  <r>
    <x v="0"/>
    <m/>
    <m/>
    <m/>
    <m/>
    <s v="SHEEHAN MAYGOE DR."/>
    <m/>
    <m/>
    <m/>
    <m/>
    <s v="SHEEHAN MAYGOE RICHARD"/>
    <s v="100 JOHN ROEMMELT DR"/>
    <s v="HORSEHEADS"/>
    <s v="NY"/>
    <s v="14845-8301"/>
    <s v="PHYSICIAN"/>
    <s v="M"/>
    <s v="No"/>
    <s v="MMIS"/>
    <s v="WestRPU"/>
    <s v="P"/>
    <m/>
    <m/>
    <m/>
    <s v=""/>
    <s v="E0313720"/>
    <n v="0"/>
    <n v="0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SHEIKH MUSTAQ"/>
    <m/>
    <m/>
    <m/>
    <m/>
    <s v="SHEIKH MUSHTAQ A           MD"/>
    <s v="1879 W WATER ST"/>
    <s v="ELMIRA"/>
    <s v="NY"/>
    <s v="14905"/>
    <s v="PHYSICIAN"/>
    <s v="M"/>
    <s v="No"/>
    <s v="MMIS"/>
    <s v="WestRPU"/>
    <s v="P"/>
    <m/>
    <m/>
    <m/>
    <s v=""/>
    <s v="E0258616"/>
    <n v="0"/>
    <n v="0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1"/>
    <m/>
    <m/>
    <m/>
    <m/>
    <s v="SHERIFF-WHITE PHYLLIS"/>
    <m/>
    <m/>
    <m/>
    <m/>
    <s v="SHERIFF-WHITE PHYLLIS MD"/>
    <s v="179 N BROAD ST"/>
    <s v="NORWICH"/>
    <s v="NY"/>
    <s v="13815-1019"/>
    <s v="PHYSICIAN"/>
    <s v="M"/>
    <s v="No"/>
    <s v="MMIS"/>
    <s v="EastRPU"/>
    <s v="P"/>
    <m/>
    <m/>
    <m/>
    <s v=""/>
    <s v="E0020580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SHOLAR LISA MISS"/>
    <m/>
    <m/>
    <m/>
    <m/>
    <s v="SHOLAR LISA"/>
    <s v="24 COPELAND AVE"/>
    <s v="HOMER"/>
    <s v="NY"/>
    <s v="13077-1529"/>
    <s v="CLINICAL SOCIAL WORKER (CSW)"/>
    <s v="M"/>
    <s v="No"/>
    <s v="MMIS"/>
    <s v="NorthRPU"/>
    <s v="P"/>
    <m/>
    <m/>
    <m/>
    <s v=""/>
    <s v="E0295032"/>
    <n v="0"/>
    <n v="0"/>
    <n v="0"/>
    <n v="0"/>
    <n v="0"/>
    <n v="0"/>
    <n v="0"/>
    <n v="0"/>
    <n v="0"/>
    <n v="0"/>
    <n v="0"/>
    <x v="1"/>
    <n v="1"/>
    <s v=""/>
    <s v=""/>
    <s v=""/>
    <n v="1"/>
    <s v=""/>
    <s v=""/>
    <s v=""/>
    <s v=""/>
    <s v=""/>
    <s v=""/>
    <s v=""/>
  </r>
  <r>
    <x v="0"/>
    <m/>
    <m/>
    <m/>
    <m/>
    <s v="SHUMEYKO NANCY"/>
    <m/>
    <m/>
    <m/>
    <m/>
    <s v="SHUMEYKO NANCY KELLER MD"/>
    <m/>
    <s v="JOHNSON CITY"/>
    <s v="NY"/>
    <s v="13790-2597"/>
    <s v="PHYSICIAN"/>
    <s v="M"/>
    <s v="No"/>
    <s v="MMIS"/>
    <s v="SouthRPU"/>
    <s v="P"/>
    <m/>
    <m/>
    <m/>
    <s v=""/>
    <s v="E0191452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SICILIANO MICHAEL DR."/>
    <m/>
    <m/>
    <m/>
    <m/>
    <s v="SICILIANO MICHAEL A"/>
    <s v="123 CONHOCTON ST"/>
    <s v="CORNING"/>
    <s v="NY"/>
    <s v="14830-2959"/>
    <s v="PHYSICIAN"/>
    <s v="M"/>
    <s v="No"/>
    <s v="MMIS"/>
    <s v="WestRPU"/>
    <s v="P"/>
    <m/>
    <m/>
    <m/>
    <s v=""/>
    <s v="E0338635"/>
    <n v="0"/>
    <n v="0"/>
    <n v="0"/>
    <n v="0"/>
    <n v="0"/>
    <n v="0"/>
    <n v="0"/>
    <n v="0"/>
    <n v="0"/>
    <n v="0"/>
    <n v="0"/>
    <x v="2"/>
    <n v="1"/>
    <s v=""/>
    <s v=""/>
    <s v=""/>
    <s v=""/>
    <s v=""/>
    <s v=""/>
    <s v=""/>
    <s v=""/>
    <s v=""/>
    <n v="1"/>
    <s v=""/>
  </r>
  <r>
    <x v="0"/>
    <m/>
    <m/>
    <m/>
    <m/>
    <s v="SIENKIEWICZ GENADIJ DR."/>
    <m/>
    <m/>
    <m/>
    <m/>
    <s v="SIENKIEWICZ GENADIJ"/>
    <s v="200 FRONT ST"/>
    <s v="VESTAL"/>
    <s v="NY"/>
    <s v="13850-1559"/>
    <s v="PHYSICIAN"/>
    <s v="M"/>
    <s v="No"/>
    <s v="MMIS"/>
    <s v="SouthRPU"/>
    <s v="P"/>
    <m/>
    <m/>
    <m/>
    <s v=""/>
    <s v="E0231128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1"/>
    <m/>
    <m/>
    <m/>
    <m/>
    <s v="SILVA LOURDES"/>
    <m/>
    <m/>
    <m/>
    <m/>
    <s v="SILVA LOURDES G"/>
    <s v="33 MITCHELL AVE STE 102"/>
    <s v="BINGHAMTON"/>
    <s v="NY"/>
    <s v="13903-1619"/>
    <s v="PHYSICIAN"/>
    <s v="M"/>
    <s v="No"/>
    <s v="MMIS"/>
    <s v="SouthRPU"/>
    <s v="P"/>
    <m/>
    <m/>
    <m/>
    <s v=""/>
    <s v="E0295876"/>
    <n v="0"/>
    <n v="0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SIMCOE JAMES DR."/>
    <m/>
    <m/>
    <m/>
    <m/>
    <s v="SIMCOE JAMES RITCHIE"/>
    <s v="CHENANGO MEM HSP"/>
    <s v="NORWICH"/>
    <s v="NY"/>
    <s v="13815-1097"/>
    <s v="PHYSICIAN"/>
    <s v="M"/>
    <s v="No"/>
    <s v="MMIS"/>
    <s v="EastRPU"/>
    <s v="P"/>
    <m/>
    <m/>
    <m/>
    <s v=""/>
    <s v="E0192920"/>
    <n v="1"/>
    <n v="1"/>
    <n v="0"/>
    <n v="1"/>
    <n v="1"/>
    <n v="0"/>
    <n v="0"/>
    <n v="0"/>
    <n v="0"/>
    <n v="0"/>
    <n v="0"/>
    <x v="2"/>
    <s v=""/>
    <s v=""/>
    <s v=""/>
    <s v=""/>
    <s v=""/>
    <s v=""/>
    <s v=""/>
    <s v=""/>
    <s v=""/>
    <s v=""/>
    <s v=""/>
    <s v=""/>
  </r>
  <r>
    <x v="0"/>
    <m/>
    <m/>
    <m/>
    <m/>
    <s v="SIVERS DOUGLAS"/>
    <m/>
    <m/>
    <m/>
    <m/>
    <s v="SIVERS DOUGLAS R"/>
    <m/>
    <m/>
    <m/>
    <m/>
    <s v="PHYSICIAN"/>
    <s v="M"/>
    <s v="No"/>
    <s v="MMIS"/>
    <s v="SouthRPU"/>
    <s v="P"/>
    <m/>
    <m/>
    <m/>
    <s v="Sivers Douglas"/>
    <s v="E0442781"/>
    <s v="No"/>
    <s v="No"/>
    <s v="No"/>
    <s v="No"/>
    <s v="No"/>
    <s v="No"/>
    <s v="No"/>
    <s v="No"/>
    <s v="No"/>
    <s v="No"/>
    <s v="No"/>
    <x v="2"/>
    <s v=""/>
    <s v=""/>
    <s v=""/>
    <s v=""/>
    <s v=""/>
    <s v=""/>
    <s v=""/>
    <s v=""/>
    <s v=""/>
    <s v=""/>
    <n v="1"/>
    <s v=""/>
  </r>
  <r>
    <x v="0"/>
    <m/>
    <m/>
    <m/>
    <m/>
    <s v="SKEIST BARRY DR."/>
    <m/>
    <m/>
    <m/>
    <m/>
    <s v="SKEIST BARRY P             MD"/>
    <s v="GUTHRIE SQUARE"/>
    <s v="SAYRE"/>
    <s v="PA"/>
    <s v="18840"/>
    <s v="PHYSICIAN"/>
    <s v="M"/>
    <s v="No"/>
    <s v="MMIS"/>
    <s v="SouthRPU"/>
    <s v="P"/>
    <m/>
    <m/>
    <m/>
    <s v=""/>
    <s v="E0209184"/>
    <n v="1"/>
    <n v="1"/>
    <n v="0"/>
    <n v="0"/>
    <n v="0"/>
    <n v="0"/>
    <n v="0"/>
    <n v="0"/>
    <n v="0"/>
    <n v="1"/>
    <n v="0"/>
    <x v="1"/>
    <n v="1"/>
    <s v=""/>
    <s v=""/>
    <s v=""/>
    <s v=""/>
    <s v=""/>
    <s v=""/>
    <s v=""/>
    <s v=""/>
    <s v=""/>
    <n v="1"/>
    <s v=""/>
  </r>
  <r>
    <x v="0"/>
    <m/>
    <m/>
    <m/>
    <m/>
    <s v="SKEZAS JACOB DR."/>
    <m/>
    <m/>
    <m/>
    <m/>
    <s v="SKEZAS JACOB W MD"/>
    <s v="1780 HANSHAW RD"/>
    <s v="ITHACA"/>
    <s v="NY"/>
    <s v="14850-9105"/>
    <s v="PHYSICIAN"/>
    <s v="M"/>
    <s v="No"/>
    <s v="MMIS"/>
    <s v="NorthRPU"/>
    <s v="P"/>
    <m/>
    <m/>
    <m/>
    <s v=""/>
    <s v="E0191053"/>
    <n v="1"/>
    <n v="1"/>
    <n v="0"/>
    <n v="0"/>
    <n v="0"/>
    <n v="0"/>
    <n v="0"/>
    <n v="1"/>
    <n v="1"/>
    <n v="1"/>
    <n v="0"/>
    <x v="2"/>
    <s v=""/>
    <s v=""/>
    <s v=""/>
    <s v=""/>
    <s v=""/>
    <s v=""/>
    <s v=""/>
    <s v=""/>
    <s v=""/>
    <s v=""/>
    <n v="1"/>
    <s v=""/>
  </r>
  <r>
    <x v="0"/>
    <m/>
    <m/>
    <m/>
    <m/>
    <s v="SKIADAS MELISSA"/>
    <m/>
    <m/>
    <m/>
    <m/>
    <s v="SKIADAS MELISSA ERIN"/>
    <s v="800 HOOPER RD"/>
    <s v="ENDWELL"/>
    <s v="NY"/>
    <s v="13760-1560"/>
    <s v="PHYSICIAN"/>
    <s v="M"/>
    <s v="No"/>
    <s v="MMIS"/>
    <s v="SouthRPU"/>
    <s v="P"/>
    <m/>
    <m/>
    <m/>
    <s v=""/>
    <s v="E0297647"/>
    <n v="1"/>
    <n v="1"/>
    <n v="0"/>
    <n v="1"/>
    <n v="1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SKIFF JAMES"/>
    <m/>
    <m/>
    <m/>
    <m/>
    <s v="SKIFF JAMES M MD"/>
    <s v="54 MAIN STREET"/>
    <s v="CANDOR"/>
    <s v="NY"/>
    <s v="13743"/>
    <s v="PHYSICIAN"/>
    <s v="M"/>
    <s v="No"/>
    <s v="MMIS"/>
    <s v="SouthRPU"/>
    <s v="P"/>
    <m/>
    <m/>
    <m/>
    <s v=""/>
    <s v="E0166055"/>
    <n v="1"/>
    <n v="1"/>
    <n v="0"/>
    <n v="1"/>
    <n v="1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SMITH CARLY"/>
    <m/>
    <m/>
    <m/>
    <m/>
    <s v="SMITH CARLY ALEXANDRA"/>
    <m/>
    <m/>
    <m/>
    <m/>
    <s v="PHYSICIAN"/>
    <s v="M"/>
    <s v="No"/>
    <s v="MMIS"/>
    <s v="NorthRPU"/>
    <s v="P"/>
    <m/>
    <m/>
    <m/>
    <s v="Smith Carly"/>
    <s v="E0446684"/>
    <s v="No"/>
    <s v="No"/>
    <s v="No"/>
    <s v="No"/>
    <s v="No"/>
    <s v="No"/>
    <s v="No"/>
    <s v="No"/>
    <s v="No"/>
    <s v="No"/>
    <s v="No"/>
    <x v="2"/>
    <s v=""/>
    <s v=""/>
    <s v=""/>
    <s v=""/>
    <s v=""/>
    <s v=""/>
    <s v=""/>
    <s v=""/>
    <s v=""/>
    <s v=""/>
    <s v=""/>
    <s v=""/>
  </r>
  <r>
    <x v="0"/>
    <m/>
    <m/>
    <m/>
    <m/>
    <s v="SMITH JANELLE"/>
    <m/>
    <m/>
    <m/>
    <m/>
    <s v="SMITH JANELLE M"/>
    <s v="179 RIVER ST"/>
    <s v="ONEONTA"/>
    <s v="NY"/>
    <s v="13820-2239"/>
    <s v="CLINICAL SOCIAL WORKER (CSW)"/>
    <s v="M"/>
    <s v="No"/>
    <s v="MMIS"/>
    <s v="EastRPU"/>
    <s v="P"/>
    <m/>
    <m/>
    <m/>
    <s v=""/>
    <s v="E0283874"/>
    <n v="0"/>
    <n v="0"/>
    <n v="0"/>
    <n v="0"/>
    <n v="0"/>
    <n v="0"/>
    <n v="0"/>
    <n v="0"/>
    <n v="0"/>
    <n v="0"/>
    <n v="0"/>
    <x v="1"/>
    <n v="1"/>
    <s v=""/>
    <s v=""/>
    <s v=""/>
    <n v="1"/>
    <s v=""/>
    <s v=""/>
    <s v=""/>
    <s v=""/>
    <s v=""/>
    <n v="1"/>
    <s v=""/>
  </r>
  <r>
    <x v="1"/>
    <m/>
    <m/>
    <m/>
    <m/>
    <s v="SMITH MELISSA MS."/>
    <m/>
    <m/>
    <m/>
    <m/>
    <s v="SMITH MELISSA MARGARET"/>
    <s v="44 PEARL ST W"/>
    <s v="SIDNEY"/>
    <s v="NY"/>
    <s v="13838-1325"/>
    <s v="PHYSICIAN"/>
    <s v="M"/>
    <s v="No"/>
    <s v="MMIS"/>
    <s v="EastRPU"/>
    <s v="P"/>
    <m/>
    <m/>
    <m/>
    <s v=""/>
    <s v="E0286821"/>
    <n v="0"/>
    <n v="0"/>
    <n v="0"/>
    <n v="0"/>
    <n v="0"/>
    <n v="0"/>
    <n v="0"/>
    <n v="0"/>
    <n v="0"/>
    <n v="0"/>
    <n v="0"/>
    <x v="2"/>
    <n v="1"/>
    <s v=""/>
    <s v=""/>
    <s v=""/>
    <s v=""/>
    <s v=""/>
    <s v=""/>
    <s v=""/>
    <s v=""/>
    <s v=""/>
    <n v="1"/>
    <s v=""/>
  </r>
  <r>
    <x v="0"/>
    <m/>
    <m/>
    <m/>
    <m/>
    <s v="SNYDER CHRISTINE"/>
    <m/>
    <m/>
    <m/>
    <m/>
    <s v="SNYDER CHRISTINE"/>
    <s v="GUTHRIE CLINIC LTD"/>
    <s v="SAYRE"/>
    <s v="PA"/>
    <s v="18840"/>
    <s v="PHYSICIAN"/>
    <s v="M"/>
    <s v="No"/>
    <s v="MMIS"/>
    <s v="SouthRPU"/>
    <s v="P"/>
    <m/>
    <m/>
    <m/>
    <s v=""/>
    <s v="E0152017"/>
    <n v="1"/>
    <n v="1"/>
    <n v="0"/>
    <n v="1"/>
    <n v="1"/>
    <n v="0"/>
    <n v="0"/>
    <n v="0"/>
    <n v="0"/>
    <n v="0"/>
    <n v="1"/>
    <x v="1"/>
    <n v="1"/>
    <s v=""/>
    <s v=""/>
    <s v=""/>
    <s v=""/>
    <s v=""/>
    <s v=""/>
    <s v=""/>
    <s v=""/>
    <s v=""/>
    <s v=""/>
    <s v=""/>
  </r>
  <r>
    <x v="1"/>
    <m/>
    <m/>
    <m/>
    <m/>
    <m/>
    <m/>
    <m/>
    <m/>
    <m/>
    <s v="SO TIER INDEPENDENCE CTR SMP"/>
    <s v="REGION-OUTSIDE NYC"/>
    <s v="BINGHAMTON"/>
    <s v="NY"/>
    <s v="13901-2802"/>
    <s v="HOME HEALTH AGENCY"/>
    <s v="M"/>
    <s v="No"/>
    <s v="MMIS"/>
    <s v="SouthRPU"/>
    <s v="P"/>
    <m/>
    <m/>
    <m/>
    <s v="SO TIER INDEPENDENCE CTR SMP"/>
    <s v="E0083201"/>
    <s v="No"/>
    <s v="No"/>
    <s v="No"/>
    <s v="No"/>
    <s v="No"/>
    <s v="No"/>
    <s v="No"/>
    <s v="No"/>
    <s v="No"/>
    <s v="No"/>
    <s v="No"/>
    <x v="1"/>
    <s v=""/>
    <s v=""/>
    <s v=""/>
    <s v=""/>
    <s v=""/>
    <s v=""/>
    <s v=""/>
    <s v=""/>
    <s v=""/>
    <s v=""/>
    <n v="1"/>
    <s v=""/>
  </r>
  <r>
    <x v="0"/>
    <m/>
    <m/>
    <m/>
    <m/>
    <s v="GALLERANI MEGAN"/>
    <m/>
    <m/>
    <m/>
    <m/>
    <s v="SOMERS MEGAN MELISSA"/>
    <s v="4038 WEST RD"/>
    <s v="CORTLAND"/>
    <s v="NY"/>
    <s v="13045-1842"/>
    <s v="PHYSICIAN"/>
    <s v="M"/>
    <s v="No"/>
    <s v="MMIS"/>
    <s v="NorthRPU"/>
    <s v="P"/>
    <m/>
    <m/>
    <m/>
    <s v="Somers Megan"/>
    <s v="E0396994"/>
    <s v="No"/>
    <s v="No"/>
    <s v="No"/>
    <s v="No"/>
    <s v="No"/>
    <s v="No"/>
    <s v="No"/>
    <s v="No"/>
    <s v="No"/>
    <s v="No"/>
    <s v="No"/>
    <x v="1"/>
    <n v="1"/>
    <s v=""/>
    <s v=""/>
    <s v=""/>
    <s v=""/>
    <s v=""/>
    <s v=""/>
    <s v=""/>
    <s v=""/>
    <s v=""/>
    <s v=""/>
    <s v=""/>
  </r>
  <r>
    <x v="1"/>
    <m/>
    <m/>
    <m/>
    <m/>
    <s v="SOUTHERN TIER AIDS PROGRAM, INC."/>
    <m/>
    <m/>
    <m/>
    <m/>
    <s v="SOUTHERN TIER AIDS PROGRAM AI"/>
    <s v="22 RIVERSIDE DR"/>
    <s v="BINGHAMTON"/>
    <s v="NY"/>
    <s v="13905-4659"/>
    <s v="HOME HEALTH AGENCY"/>
    <s v="M"/>
    <s v="No"/>
    <s v="MMIS"/>
    <s v="SouthRPU"/>
    <s v="P"/>
    <m/>
    <m/>
    <m/>
    <s v=""/>
    <s v="E0131906"/>
    <n v="0"/>
    <n v="0"/>
    <n v="0"/>
    <n v="0"/>
    <n v="0"/>
    <n v="0"/>
    <n v="0"/>
    <n v="0"/>
    <n v="0"/>
    <n v="0"/>
    <n v="0"/>
    <x v="1"/>
    <s v=""/>
    <s v=""/>
    <s v=""/>
    <n v="1"/>
    <s v=""/>
    <s v=""/>
    <s v=""/>
    <s v=""/>
    <s v=""/>
    <s v=""/>
    <s v=""/>
    <s v=""/>
  </r>
  <r>
    <x v="0"/>
    <s v="45 Lewis Street"/>
    <s v="Binghamton"/>
    <s v="NY"/>
    <s v="13901"/>
    <m/>
    <m/>
    <m/>
    <m/>
    <m/>
    <m/>
    <m/>
    <m/>
    <m/>
    <m/>
    <m/>
    <s v="M"/>
    <s v="No"/>
    <s v="No NPI or MMIS"/>
    <s v="SouthRPU"/>
    <s v="P"/>
    <m/>
    <m/>
    <m/>
    <s v="Southern Tier Healthlink"/>
    <m/>
    <s v="No"/>
    <s v="No"/>
    <s v="No"/>
    <s v="No"/>
    <s v="No"/>
    <s v="No"/>
    <s v="No"/>
    <s v="No"/>
    <s v="No"/>
    <s v="No"/>
    <s v="No"/>
    <x v="1"/>
    <s v=""/>
    <s v=""/>
    <s v=""/>
    <s v=""/>
    <s v=""/>
    <s v=""/>
    <s v=""/>
    <s v=""/>
    <s v=""/>
    <n v="1"/>
    <s v=""/>
    <s v=""/>
  </r>
  <r>
    <x v="0"/>
    <m/>
    <m/>
    <m/>
    <m/>
    <s v="CAREFIRST NY, INC."/>
    <m/>
    <m/>
    <m/>
    <m/>
    <s v="CAREFIRST/SOUTHERN TIER HOSPICE"/>
    <s v="3805 MEADSCREEK RD"/>
    <s v="PAINTED POST"/>
    <s v="NY"/>
    <s v="14870-9509"/>
    <s v="DIAGNOSTIC AND TREATMENT CENTER"/>
    <s v="M"/>
    <s v="No"/>
    <s v="MMIS"/>
    <s v="WestRPU"/>
    <s v="P"/>
    <m/>
    <m/>
    <m/>
    <s v=""/>
    <s v="E0202369"/>
    <n v="1"/>
    <n v="1"/>
    <n v="0"/>
    <n v="1"/>
    <n v="0"/>
    <n v="0"/>
    <n v="0"/>
    <n v="0"/>
    <n v="1"/>
    <n v="0"/>
    <n v="0"/>
    <x v="1"/>
    <s v=""/>
    <s v=""/>
    <s v=""/>
    <s v=""/>
    <s v=""/>
    <s v=""/>
    <s v=""/>
    <s v=""/>
    <n v="1"/>
    <s v=""/>
    <n v="1"/>
    <s v=""/>
  </r>
  <r>
    <x v="1"/>
    <m/>
    <m/>
    <m/>
    <m/>
    <m/>
    <m/>
    <m/>
    <m/>
    <m/>
    <s v="SOUTHERN TIER INDEPENDENCE CENTER"/>
    <s v="135 E FREDERICK ST"/>
    <s v="BINGHAMTON"/>
    <s v="NY"/>
    <s v="13904-1224"/>
    <s v="HOME HEALTH AGENCY"/>
    <s v="M"/>
    <s v="No"/>
    <s v="MMIS"/>
    <s v="SouthRPU"/>
    <s v="P"/>
    <m/>
    <m/>
    <m/>
    <s v=""/>
    <s v="E0125908"/>
    <n v="0"/>
    <n v="0"/>
    <n v="0"/>
    <n v="0"/>
    <n v="0"/>
    <n v="0"/>
    <n v="0"/>
    <n v="0"/>
    <n v="0"/>
    <n v="0"/>
    <n v="0"/>
    <x v="1"/>
    <s v=""/>
    <s v=""/>
    <s v=""/>
    <s v=""/>
    <s v=""/>
    <s v=""/>
    <s v=""/>
    <s v=""/>
    <s v=""/>
    <s v=""/>
    <n v="1"/>
    <s v=""/>
  </r>
  <r>
    <x v="1"/>
    <m/>
    <m/>
    <m/>
    <m/>
    <m/>
    <m/>
    <m/>
    <m/>
    <m/>
    <s v="SOUTHERN TIER INDEP CTR DAY"/>
    <s v="GROUP DAY HAB"/>
    <s v="BINGHAMTON"/>
    <s v="NY"/>
    <s v="13901-2802"/>
    <s v="HOME HEALTH AGENCY"/>
    <s v="M"/>
    <s v="No"/>
    <s v="MMIS"/>
    <s v="SouthRPU"/>
    <s v="P"/>
    <m/>
    <m/>
    <m/>
    <s v="SOUTHERN TIER INDEP CTR DAY"/>
    <s v="E0030815"/>
    <s v="No"/>
    <s v="No"/>
    <s v="No"/>
    <s v="No"/>
    <s v="No"/>
    <s v="No"/>
    <s v="No"/>
    <s v="No"/>
    <s v="No"/>
    <s v="No"/>
    <s v="No"/>
    <x v="1"/>
    <s v=""/>
    <s v=""/>
    <s v=""/>
    <s v=""/>
    <s v=""/>
    <s v=""/>
    <s v=""/>
    <s v=""/>
    <s v=""/>
    <s v=""/>
    <n v="1"/>
    <s v=""/>
  </r>
  <r>
    <x v="0"/>
    <m/>
    <m/>
    <m/>
    <m/>
    <s v="SPENCER FREDERICK"/>
    <m/>
    <m/>
    <m/>
    <m/>
    <s v="SPENCER FREDERICK"/>
    <s v="257 MAIN ST"/>
    <s v="BINGHAMTON"/>
    <s v="NY"/>
    <s v="13905-2522"/>
    <s v="CLINICAL SOCIAL WORKER (CSW)"/>
    <s v="M"/>
    <s v="No"/>
    <s v="MMIS"/>
    <s v="SouthRPU"/>
    <s v="P"/>
    <m/>
    <m/>
    <m/>
    <s v="SPENCER FREDERICK"/>
    <s v="E0294949"/>
    <s v="No"/>
    <s v="No"/>
    <s v="No"/>
    <s v="No"/>
    <s v="No"/>
    <s v="No"/>
    <s v="No"/>
    <s v="No"/>
    <s v="No"/>
    <s v="No"/>
    <s v="No"/>
    <x v="1"/>
    <s v=""/>
    <s v=""/>
    <s v=""/>
    <s v=""/>
    <s v=""/>
    <s v=""/>
    <s v=""/>
    <s v=""/>
    <s v=""/>
    <s v=""/>
    <s v=""/>
    <n v="1"/>
  </r>
  <r>
    <x v="0"/>
    <m/>
    <m/>
    <m/>
    <m/>
    <s v="SPENCER RYAN"/>
    <m/>
    <m/>
    <m/>
    <m/>
    <s v="SPENCER RYAN"/>
    <s v="93 PENNSYLVANIA AVE"/>
    <s v="BINGHAMTON"/>
    <s v="NY"/>
    <s v="13903-1645"/>
    <s v="THERAPIST"/>
    <s v="M"/>
    <s v="No"/>
    <s v="MMIS"/>
    <s v="SouthRPU"/>
    <s v="P"/>
    <m/>
    <m/>
    <m/>
    <s v="SPENCER RYAN"/>
    <s v="E0339794"/>
    <s v="No"/>
    <s v="No"/>
    <s v="No"/>
    <s v="No"/>
    <s v="No"/>
    <s v="No"/>
    <s v="No"/>
    <s v="No"/>
    <s v="No"/>
    <s v="No"/>
    <s v="No"/>
    <x v="1"/>
    <n v="1"/>
    <s v=""/>
    <s v=""/>
    <s v=""/>
    <s v=""/>
    <s v=""/>
    <s v=""/>
    <s v=""/>
    <s v=""/>
    <s v=""/>
    <s v=""/>
    <s v=""/>
  </r>
  <r>
    <x v="1"/>
    <m/>
    <m/>
    <m/>
    <m/>
    <s v="SPIELMAN CONNIE"/>
    <m/>
    <m/>
    <m/>
    <m/>
    <s v="SPIELMAN CONNIE L"/>
    <s v="460 ANDES RD"/>
    <s v="DELHI"/>
    <s v="NY"/>
    <s v="13753-7407"/>
    <s v="PHYSICIAN"/>
    <s v="M"/>
    <s v="No"/>
    <s v="MMIS"/>
    <s v="EastRPU"/>
    <s v="P"/>
    <m/>
    <m/>
    <m/>
    <s v=""/>
    <s v="E0067229"/>
    <n v="0"/>
    <n v="0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s v=""/>
    <s v=""/>
  </r>
  <r>
    <x v="0"/>
    <m/>
    <m/>
    <m/>
    <m/>
    <s v="SPORN DANIEL DR."/>
    <m/>
    <m/>
    <m/>
    <m/>
    <s v="SPORN DANIEL P MD"/>
    <s v="GUTHRIE CLINIC LTD"/>
    <s v="SAYRE"/>
    <s v="PA"/>
    <s v="18840"/>
    <s v="PHYSICIAN"/>
    <s v="M"/>
    <s v="No"/>
    <s v="MMIS"/>
    <s v="SouthRPU"/>
    <s v="P"/>
    <m/>
    <m/>
    <m/>
    <s v=""/>
    <s v="E0173430"/>
    <n v="1"/>
    <n v="1"/>
    <n v="0"/>
    <n v="0"/>
    <n v="0"/>
    <n v="0"/>
    <n v="0"/>
    <n v="0"/>
    <n v="0"/>
    <n v="1"/>
    <n v="0"/>
    <x v="1"/>
    <n v="1"/>
    <s v=""/>
    <s v=""/>
    <s v=""/>
    <s v=""/>
    <s v=""/>
    <s v=""/>
    <s v=""/>
    <s v=""/>
    <s v=""/>
    <n v="1"/>
    <s v=""/>
  </r>
  <r>
    <x v="1"/>
    <m/>
    <m/>
    <m/>
    <m/>
    <s v="SPRINGBROOK NY, INC"/>
    <m/>
    <m/>
    <m/>
    <m/>
    <s v="SPRINGBROOK NY INC"/>
    <s v="5 COURT ST"/>
    <s v="NORWICH"/>
    <s v="NY"/>
    <s v="13815-1654"/>
    <s v="MULTI-TYPE"/>
    <s v="M"/>
    <s v="No"/>
    <s v="MMIS"/>
    <s v="EastRPU"/>
    <s v="P"/>
    <m/>
    <m/>
    <m/>
    <s v=""/>
    <s v="E0368010"/>
    <n v="0"/>
    <n v="0"/>
    <n v="0"/>
    <n v="0"/>
    <n v="0"/>
    <n v="0"/>
    <n v="0"/>
    <n v="0"/>
    <n v="0"/>
    <n v="0"/>
    <n v="0"/>
    <x v="1"/>
    <s v=""/>
    <s v=""/>
    <n v="1"/>
    <s v=""/>
    <s v=""/>
    <s v=""/>
    <s v=""/>
    <s v=""/>
    <s v=""/>
    <s v=""/>
    <s v=""/>
    <s v=""/>
  </r>
  <r>
    <x v="0"/>
    <m/>
    <m/>
    <m/>
    <m/>
    <s v="PRASAD SRINIVASA"/>
    <m/>
    <m/>
    <m/>
    <m/>
    <s v="PRASAD SRINIVASA BR"/>
    <s v="BINGHAMTON GEN HOSP"/>
    <s v="BINGHAMTON"/>
    <s v="NY"/>
    <s v="13903"/>
    <s v="PHYSICIAN"/>
    <s v="M"/>
    <s v="No"/>
    <s v="MMIS"/>
    <s v="SouthRPU"/>
    <s v="P"/>
    <m/>
    <m/>
    <m/>
    <s v=""/>
    <s v="E0218558"/>
    <n v="1"/>
    <n v="1"/>
    <n v="0"/>
    <n v="1"/>
    <n v="1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MANDAPALLI SRINIVASA DR."/>
    <m/>
    <m/>
    <m/>
    <m/>
    <s v="MANDAPALLI SRINIVASA RAO"/>
    <s v="33-57 HARRISON ST"/>
    <s v="JOHNSON CITY"/>
    <s v="NY"/>
    <s v="13790-2107"/>
    <s v="PHYSICIAN"/>
    <s v="M"/>
    <s v="No"/>
    <s v="MMIS"/>
    <s v="SouthRPU"/>
    <s v="P"/>
    <m/>
    <m/>
    <m/>
    <s v=""/>
    <s v="E0331364"/>
    <n v="1"/>
    <n v="1"/>
    <n v="0"/>
    <n v="1"/>
    <n v="1"/>
    <n v="0"/>
    <n v="0"/>
    <n v="0"/>
    <n v="0"/>
    <n v="0"/>
    <n v="0"/>
    <x v="2"/>
    <n v="1"/>
    <s v=""/>
    <s v=""/>
    <s v=""/>
    <s v=""/>
    <s v=""/>
    <s v=""/>
    <s v=""/>
    <s v=""/>
    <s v=""/>
    <s v=""/>
    <s v=""/>
  </r>
  <r>
    <x v="1"/>
    <m/>
    <m/>
    <m/>
    <m/>
    <s v="NIRGUDKAR SRIRAM DR."/>
    <m/>
    <m/>
    <m/>
    <m/>
    <s v="NIRGUDKAR SRIRAM D         MD"/>
    <s v="CS WILSON MEM HSP"/>
    <s v="JOHNSON CITY"/>
    <s v="NY"/>
    <s v="13790"/>
    <s v="PHYSICIAN"/>
    <s v="M"/>
    <s v="No"/>
    <s v="MMIS"/>
    <s v="SouthRPU"/>
    <s v="P"/>
    <m/>
    <m/>
    <m/>
    <s v=""/>
    <s v="E0255722"/>
    <n v="1"/>
    <n v="1"/>
    <n v="0"/>
    <n v="1"/>
    <n v="1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DEVAPATLA SRISATISH DR."/>
    <m/>
    <m/>
    <m/>
    <m/>
    <s v="DEVAPATLA SRISATICH MD"/>
    <s v="101 DATES DR"/>
    <s v="ITHACA"/>
    <s v="NY"/>
    <s v="14850-1342"/>
    <s v="PHYSICIAN"/>
    <s v="M"/>
    <s v="No"/>
    <s v="MMIS"/>
    <s v="NorthRPU"/>
    <s v="P"/>
    <m/>
    <m/>
    <m/>
    <s v=""/>
    <s v="E0062992"/>
    <n v="1"/>
    <n v="1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SRIVATANA UKORN DR."/>
    <m/>
    <m/>
    <m/>
    <m/>
    <s v="SRIVATANA UKORN MD"/>
    <s v="GUTHRIE CLINIC"/>
    <s v="SAYRE"/>
    <s v="PA"/>
    <s v="18840"/>
    <s v="PHYSICIAN"/>
    <s v="M"/>
    <s v="No"/>
    <s v="MMIS"/>
    <s v="SouthRPU"/>
    <s v="P"/>
    <m/>
    <m/>
    <m/>
    <s v=""/>
    <s v="E0076250"/>
    <n v="1"/>
    <n v="1"/>
    <n v="0"/>
    <n v="0"/>
    <n v="0"/>
    <n v="0"/>
    <n v="0"/>
    <n v="0"/>
    <n v="0"/>
    <n v="1"/>
    <n v="0"/>
    <x v="1"/>
    <n v="1"/>
    <s v=""/>
    <s v=""/>
    <s v=""/>
    <s v=""/>
    <s v=""/>
    <s v=""/>
    <s v=""/>
    <s v=""/>
    <s v=""/>
    <n v="1"/>
    <s v=""/>
  </r>
  <r>
    <x v="1"/>
    <m/>
    <m/>
    <m/>
    <m/>
    <s v="PENDELL STACEY"/>
    <m/>
    <m/>
    <m/>
    <m/>
    <s v="PENDELL STACEY A"/>
    <s v="10-42 MITCHELL AVE"/>
    <s v="BINGHAMTON"/>
    <s v="NY"/>
    <s v="13903-1617"/>
    <s v="PHYSICIAN"/>
    <s v="M"/>
    <s v="No"/>
    <s v="MMIS"/>
    <s v="SouthRPU"/>
    <s v="P"/>
    <m/>
    <m/>
    <m/>
    <s v=""/>
    <s v="E0283777"/>
    <n v="0"/>
    <n v="0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STAMFORD HEALTH CARE SOCIETY"/>
    <s v="ONE BUNTLINE DR"/>
    <s v="STAMFORD"/>
    <s v="NY"/>
    <s v="12167"/>
    <m/>
    <m/>
    <m/>
    <m/>
    <m/>
    <m/>
    <s v="M"/>
    <s v="No"/>
    <s v="NPI only"/>
    <s v="EastRPU"/>
    <s v="P"/>
    <m/>
    <m/>
    <m/>
    <s v="STAMFORD HEALTH CARE SOCIETY"/>
    <m/>
    <s v="No"/>
    <s v="No"/>
    <s v="No"/>
    <s v="No"/>
    <s v="No"/>
    <s v="No"/>
    <s v="No"/>
    <s v="No"/>
    <s v="No"/>
    <s v="No"/>
    <s v="No"/>
    <x v="1"/>
    <s v=""/>
    <s v=""/>
    <s v=""/>
    <s v=""/>
    <s v=""/>
    <s v=""/>
    <s v=""/>
    <s v=""/>
    <s v=""/>
    <s v=""/>
    <s v=""/>
    <n v="1"/>
  </r>
  <r>
    <x v="1"/>
    <m/>
    <m/>
    <m/>
    <m/>
    <s v="STAMFORD HEALTH CARE SOCIETY, INC."/>
    <m/>
    <m/>
    <m/>
    <m/>
    <s v="ROBINSON TERRACE"/>
    <s v="28652 STATE HIGHWAY 23"/>
    <s v="STAMFORD"/>
    <s v="NY"/>
    <s v="12167-1712"/>
    <s v="HOSPITAL"/>
    <s v="M"/>
    <s v="No"/>
    <s v="MMIS"/>
    <s v="EastRPU"/>
    <s v="P"/>
    <m/>
    <m/>
    <m/>
    <s v="STAMFORD HEALTH CARE SOCIETY, INC."/>
    <s v="E0260066"/>
    <s v="No"/>
    <s v="No"/>
    <s v="No"/>
    <s v="No"/>
    <s v="No"/>
    <s v="No"/>
    <s v="No"/>
    <s v="No"/>
    <s v="No"/>
    <s v="No"/>
    <s v="No"/>
    <x v="1"/>
    <s v=""/>
    <s v=""/>
    <s v=""/>
    <s v=""/>
    <s v=""/>
    <s v=""/>
    <n v="1"/>
    <s v=""/>
    <s v=""/>
    <s v=""/>
    <n v="1"/>
    <s v=""/>
  </r>
  <r>
    <x v="0"/>
    <m/>
    <m/>
    <m/>
    <m/>
    <s v="FOX STANLEY DR."/>
    <m/>
    <m/>
    <m/>
    <m/>
    <s v="FOX STANLEY ALAN"/>
    <s v="739 ST HIGHWAY 20"/>
    <s v="ONEONTA"/>
    <s v="NY"/>
    <s v="13820-0001"/>
    <s v="PHYSICIAN"/>
    <s v="M"/>
    <s v="No"/>
    <s v="MMIS"/>
    <s v="EastRPU"/>
    <s v="P"/>
    <m/>
    <m/>
    <m/>
    <s v=""/>
    <s v="E0116920"/>
    <n v="1"/>
    <n v="1"/>
    <n v="0"/>
    <n v="1"/>
    <n v="1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STAPLETON DWIGHT DR."/>
    <m/>
    <m/>
    <m/>
    <m/>
    <s v="STAPLETON DWIGHT D MD"/>
    <s v="GUTHRIE SQUARE"/>
    <s v="SAYRE"/>
    <s v="PA"/>
    <s v="18840"/>
    <s v="PHYSICIAN"/>
    <s v="M"/>
    <s v="No"/>
    <s v="MMIS"/>
    <s v="SouthRPU"/>
    <s v="P"/>
    <m/>
    <m/>
    <m/>
    <s v=""/>
    <s v="E0081130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1"/>
    <m/>
    <m/>
    <m/>
    <m/>
    <s v="STAYTON HOLLI"/>
    <m/>
    <m/>
    <m/>
    <m/>
    <s v="STAYTON HOLLI A"/>
    <s v="10-42 MITCHELL AVE"/>
    <s v="BINGHAMTON"/>
    <s v="NY"/>
    <s v="13903-1617"/>
    <s v="PHYSICIAN"/>
    <s v="M"/>
    <s v="No"/>
    <s v="MMIS"/>
    <s v="SouthRPU"/>
    <s v="P"/>
    <m/>
    <m/>
    <m/>
    <s v=""/>
    <s v="E0067227"/>
    <n v="0"/>
    <n v="0"/>
    <n v="0"/>
    <n v="0"/>
    <n v="0"/>
    <n v="0"/>
    <n v="0"/>
    <n v="0"/>
    <n v="0"/>
    <n v="0"/>
    <n v="0"/>
    <x v="2"/>
    <s v=""/>
    <s v=""/>
    <s v=""/>
    <s v=""/>
    <n v="1"/>
    <s v=""/>
    <s v=""/>
    <s v=""/>
    <s v=""/>
    <s v=""/>
    <n v="1"/>
    <s v=""/>
  </r>
  <r>
    <x v="0"/>
    <m/>
    <m/>
    <m/>
    <m/>
    <s v="STECKLINE KEVIN"/>
    <m/>
    <m/>
    <m/>
    <m/>
    <s v="STECKLINE KEVIN RPA"/>
    <s v="179 NORTH BROAD STREET"/>
    <s v="NORWICH"/>
    <s v="NY"/>
    <s v="13815-1019"/>
    <s v="PHYSICIAN"/>
    <s v="M"/>
    <s v="No"/>
    <s v="MMIS"/>
    <s v="EastRPU"/>
    <s v="P"/>
    <m/>
    <m/>
    <m/>
    <s v=""/>
    <s v="E0172817"/>
    <n v="0"/>
    <n v="0"/>
    <n v="0"/>
    <n v="0"/>
    <n v="0"/>
    <n v="0"/>
    <n v="0"/>
    <n v="0"/>
    <n v="0"/>
    <n v="0"/>
    <n v="0"/>
    <x v="2"/>
    <n v="1"/>
    <s v=""/>
    <s v=""/>
    <s v=""/>
    <s v=""/>
    <s v=""/>
    <s v=""/>
    <s v=""/>
    <s v=""/>
    <s v=""/>
    <s v=""/>
    <s v=""/>
  </r>
  <r>
    <x v="1"/>
    <m/>
    <m/>
    <m/>
    <m/>
    <s v="STEINBERG JOSHUA"/>
    <m/>
    <m/>
    <m/>
    <m/>
    <s v="STEINBERG JOSHUA D MD"/>
    <s v="475 IRVING AVE"/>
    <s v="SYRACUSE"/>
    <s v="NY"/>
    <s v="13210-1756"/>
    <s v="PHYSICIAN"/>
    <s v="M"/>
    <s v="No"/>
    <s v="MMIS"/>
    <s v="SouthRPU"/>
    <s v="P"/>
    <m/>
    <m/>
    <m/>
    <s v=""/>
    <s v="E0113836"/>
    <n v="1"/>
    <n v="1"/>
    <n v="0"/>
    <n v="1"/>
    <n v="1"/>
    <n v="1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STEINMETZ JAMES"/>
    <m/>
    <m/>
    <m/>
    <m/>
    <s v="STEINMETZ JAMES ROBERT MD"/>
    <s v="161 RIVERSIDE DR"/>
    <s v="BINGHAMTON"/>
    <s v="NY"/>
    <s v="13905-4176"/>
    <s v="PHYSICIAN"/>
    <s v="M"/>
    <s v="No"/>
    <s v="MMIS"/>
    <s v="SouthRPU"/>
    <s v="P"/>
    <m/>
    <m/>
    <m/>
    <s v=""/>
    <s v="E0083796"/>
    <n v="1"/>
    <n v="1"/>
    <n v="0"/>
    <n v="1"/>
    <n v="1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CASTRO STELLA"/>
    <m/>
    <m/>
    <m/>
    <m/>
    <s v="CASTRO STELLA M"/>
    <s v="840 HANSHAW RD"/>
    <s v="ITHACA"/>
    <s v="NY"/>
    <s v="14850-1589"/>
    <s v="PHYSICIAN"/>
    <s v="M"/>
    <s v="No"/>
    <s v="MMIS"/>
    <s v="NorthRPU"/>
    <s v="P"/>
    <m/>
    <m/>
    <m/>
    <s v=""/>
    <s v="E0012873"/>
    <n v="1"/>
    <n v="1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1"/>
    <m/>
    <m/>
    <m/>
    <m/>
    <s v="STEPANYAN HASMIK"/>
    <m/>
    <m/>
    <m/>
    <m/>
    <s v="STEPANYAN HASMIK MD"/>
    <s v="601 RIVERSIDE DR"/>
    <s v="JOHNSON CITY"/>
    <s v="NY"/>
    <s v="13790-2544"/>
    <s v="PHYSICIAN"/>
    <s v="M"/>
    <s v="No"/>
    <s v="MMIS"/>
    <s v="SouthRPU"/>
    <s v="P"/>
    <m/>
    <m/>
    <m/>
    <s v=""/>
    <s v="E0285242"/>
    <n v="1"/>
    <n v="1"/>
    <n v="0"/>
    <n v="1"/>
    <n v="1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GOODWIN STEPHANIE"/>
    <m/>
    <m/>
    <m/>
    <m/>
    <s v="GOODWIN STEPHANIE LUETTE"/>
    <s v="310 TAUGHANNOCK BLVD"/>
    <s v="ITHACA"/>
    <s v="NY"/>
    <s v="14850-3251"/>
    <s v="PHYSICIAN"/>
    <s v="M"/>
    <s v="No"/>
    <s v="MMIS"/>
    <s v="NorthRPU"/>
    <s v="P"/>
    <m/>
    <m/>
    <m/>
    <s v=""/>
    <s v="E0069756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ROACH STEPHANIE"/>
    <m/>
    <m/>
    <m/>
    <m/>
    <s v="ROACH STEPHANIE SUSAN MD"/>
    <s v="10 BRENTWOOD DR"/>
    <s v="ITHACA"/>
    <s v="NY"/>
    <s v="14850-1865"/>
    <s v="PHYSICIAN"/>
    <s v="M"/>
    <s v="No"/>
    <s v="MMIS"/>
    <s v="NorthRPU"/>
    <s v="P"/>
    <m/>
    <m/>
    <m/>
    <s v=""/>
    <s v="E0104125"/>
    <n v="1"/>
    <n v="1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GOMEZ STEPHEN"/>
    <m/>
    <m/>
    <m/>
    <m/>
    <s v="GOMEZ STEPHEN DOMINIC MD"/>
    <s v="33-57 HARRISON ST"/>
    <s v="JOHNSON CITY"/>
    <s v="NY"/>
    <s v="13790-2107"/>
    <s v="PHYSICIAN"/>
    <s v="M"/>
    <s v="No"/>
    <s v="MMIS"/>
    <s v="SouthRPU"/>
    <s v="P"/>
    <m/>
    <m/>
    <m/>
    <s v=""/>
    <s v="E0119111"/>
    <n v="1"/>
    <n v="1"/>
    <n v="0"/>
    <n v="1"/>
    <n v="1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MEYER STEPHEN DR."/>
    <m/>
    <m/>
    <m/>
    <m/>
    <s v="MEYER STEPHEN JAY DO"/>
    <s v="CORTLAND CTR FOR PAI"/>
    <s v="CORTLAND"/>
    <s v="NY"/>
    <s v="13045-1643"/>
    <s v="PHYSICIAN"/>
    <s v="M"/>
    <s v="No"/>
    <s v="MMIS"/>
    <s v="NorthRPU"/>
    <s v="P"/>
    <m/>
    <m/>
    <m/>
    <s v=""/>
    <s v="E0193136"/>
    <n v="1"/>
    <n v="1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SPAULDING STEPHEN DR."/>
    <m/>
    <m/>
    <m/>
    <m/>
    <s v="SPAULDING STEPHEN ARTHUR MD"/>
    <s v="116 N CATHERINE ST"/>
    <s v="MONTOUR FALLS"/>
    <s v="NY"/>
    <s v="14865"/>
    <s v="PHYSICIAN"/>
    <s v="M"/>
    <s v="No"/>
    <s v="MMIS"/>
    <s v="NorthRPU"/>
    <s v="P"/>
    <m/>
    <m/>
    <m/>
    <s v=""/>
    <s v="E0165990"/>
    <n v="1"/>
    <n v="1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1"/>
    <m/>
    <m/>
    <m/>
    <m/>
    <s v="COUNTY OF STEUBEN"/>
    <m/>
    <m/>
    <m/>
    <m/>
    <s v="STEUBEN BOARD OF SUPERVISO CO"/>
    <s v="3 E PULTENEY SQ"/>
    <s v="BATH"/>
    <s v="NY"/>
    <s v="14810-1510"/>
    <s v="DIAGNOSTIC AND TREATMENT CENTER"/>
    <s v="M"/>
    <s v="No"/>
    <s v="MMIS"/>
    <s v="WestRPU"/>
    <s v="P"/>
    <m/>
    <m/>
    <m/>
    <s v=""/>
    <s v="E0263648"/>
    <n v="0"/>
    <n v="0"/>
    <n v="0"/>
    <n v="0"/>
    <n v="0"/>
    <n v="0"/>
    <n v="0"/>
    <n v="0"/>
    <n v="0"/>
    <n v="0"/>
    <n v="0"/>
    <x v="1"/>
    <s v=""/>
    <s v=""/>
    <n v="1"/>
    <s v=""/>
    <s v=""/>
    <s v=""/>
    <s v=""/>
    <s v=""/>
    <s v=""/>
    <s v=""/>
    <n v="1"/>
    <s v=""/>
  </r>
  <r>
    <x v="0"/>
    <s v="3 East Pulteney Square"/>
    <s v="Bath"/>
    <s v="NY"/>
    <s v="14810"/>
    <m/>
    <m/>
    <m/>
    <m/>
    <m/>
    <m/>
    <m/>
    <m/>
    <m/>
    <m/>
    <m/>
    <s v="M"/>
    <s v="No"/>
    <s v="No NPI or MMIS"/>
    <s v="WestRPU"/>
    <s v="P"/>
    <m/>
    <m/>
    <m/>
    <s v="Steuben County Office for the Aging"/>
    <m/>
    <s v="No"/>
    <s v="No"/>
    <s v="No"/>
    <s v="No"/>
    <s v="No"/>
    <s v="No"/>
    <s v="No"/>
    <s v="No"/>
    <s v="No"/>
    <s v="No"/>
    <s v="No"/>
    <x v="1"/>
    <s v=""/>
    <s v=""/>
    <s v=""/>
    <s v=""/>
    <s v=""/>
    <s v=""/>
    <s v=""/>
    <s v=""/>
    <s v=""/>
    <n v="1"/>
    <s v=""/>
    <s v=""/>
  </r>
  <r>
    <x v="0"/>
    <s v="3 East Pulteney Square"/>
    <s v="Bath"/>
    <s v="NY"/>
    <s v="14810"/>
    <m/>
    <m/>
    <m/>
    <m/>
    <m/>
    <m/>
    <m/>
    <m/>
    <m/>
    <m/>
    <m/>
    <s v="M"/>
    <s v="No"/>
    <s v="No NPI or MMIS"/>
    <s v="WestRPU"/>
    <s v="P"/>
    <m/>
    <m/>
    <m/>
    <s v="Steuben County Public Health"/>
    <m/>
    <s v="No"/>
    <s v="No"/>
    <s v="No"/>
    <s v="No"/>
    <s v="No"/>
    <s v="No"/>
    <s v="No"/>
    <s v="No"/>
    <s v="No"/>
    <s v="No"/>
    <s v="No"/>
    <x v="1"/>
    <s v=""/>
    <s v=""/>
    <s v=""/>
    <s v=""/>
    <s v=""/>
    <s v=""/>
    <s v=""/>
    <s v=""/>
    <s v=""/>
    <n v="1"/>
    <s v=""/>
    <s v=""/>
  </r>
  <r>
    <x v="1"/>
    <m/>
    <m/>
    <m/>
    <m/>
    <s v="STEUBEN OPERATIONS ASSOCIATES LLC"/>
    <m/>
    <m/>
    <m/>
    <m/>
    <s v="STEUBEN OPERATIONS ASSOCIATES LLC"/>
    <s v="7009 RUMSEY STREET EXT"/>
    <s v="BATH"/>
    <s v="NY"/>
    <s v="14810-7827"/>
    <s v="LONG TERM CARE FACILITY"/>
    <s v="M"/>
    <s v="No"/>
    <s v="MMIS"/>
    <s v="WestRPU"/>
    <s v="P"/>
    <m/>
    <m/>
    <m/>
    <s v="STEUBEN OPERATIONS ASSOCIATES LLC"/>
    <s v="E0396362"/>
    <s v="No"/>
    <s v="No"/>
    <s v="No"/>
    <s v="No"/>
    <s v="No"/>
    <s v="No"/>
    <s v="No"/>
    <s v="No"/>
    <s v="No"/>
    <s v="No"/>
    <s v="No"/>
    <x v="1"/>
    <s v=""/>
    <s v=""/>
    <s v=""/>
    <s v=""/>
    <s v=""/>
    <s v=""/>
    <n v="1"/>
    <s v=""/>
    <s v=""/>
    <s v=""/>
    <s v=""/>
    <s v=""/>
  </r>
  <r>
    <x v="0"/>
    <m/>
    <m/>
    <m/>
    <m/>
    <s v="ELLIOTT STEVEN"/>
    <m/>
    <m/>
    <m/>
    <m/>
    <s v="ELLIOTT STEVEN J"/>
    <s v="101 DATES DR"/>
    <s v="ITHACA"/>
    <s v="NY"/>
    <s v="14850-1342"/>
    <s v="PHYSICIAN"/>
    <s v="M"/>
    <s v="No"/>
    <s v="MMIS"/>
    <s v="NorthRPU"/>
    <s v="P"/>
    <m/>
    <m/>
    <m/>
    <s v=""/>
    <s v="E0338153"/>
    <n v="1"/>
    <n v="1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GELBER STEVEN"/>
    <m/>
    <m/>
    <m/>
    <m/>
    <s v="GELBER STEVEN ANDREW  MD"/>
    <s v="20 ARROWOOD DR"/>
    <s v="ITHACA"/>
    <s v="NY"/>
    <s v="14850-1857"/>
    <s v="PHYSICIAN"/>
    <s v="M"/>
    <s v="No"/>
    <s v="MMIS"/>
    <s v="NorthRPU"/>
    <s v="P"/>
    <m/>
    <m/>
    <m/>
    <s v=""/>
    <s v="E0141672"/>
    <n v="1"/>
    <n v="1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WALKER STEVEN MR."/>
    <m/>
    <m/>
    <m/>
    <m/>
    <s v="WALKER STEVEN R"/>
    <m/>
    <s v="JOHNSON CITY"/>
    <s v="NY"/>
    <s v="13790-2558"/>
    <s v="PHYSICIAN"/>
    <s v="M"/>
    <s v="No"/>
    <s v="MMIS"/>
    <s v="SouthRPU"/>
    <s v="P"/>
    <m/>
    <m/>
    <m/>
    <s v=""/>
    <s v="E0165851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ROGERS STEVEN"/>
    <m/>
    <m/>
    <m/>
    <m/>
    <s v="ROGERS STEVEN ALAN MD"/>
    <s v="201 DATES DR"/>
    <s v="ITHACA"/>
    <s v="NY"/>
    <s v="14850-1345"/>
    <s v="PHYSICIAN"/>
    <s v="M"/>
    <s v="No"/>
    <s v="MMIS"/>
    <s v="NorthRPU"/>
    <s v="P"/>
    <m/>
    <m/>
    <m/>
    <s v=""/>
    <s v="E0132925"/>
    <n v="1"/>
    <n v="1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STEWART BETH"/>
    <m/>
    <m/>
    <m/>
    <m/>
    <s v="STEWART BETH ANN"/>
    <s v="415 HOOPER RD"/>
    <s v="ENDWELL"/>
    <s v="NY"/>
    <s v="13760-3646"/>
    <s v="PHYSICIAN"/>
    <s v="M"/>
    <s v="No"/>
    <s v="MMIS"/>
    <s v="SouthRPU"/>
    <s v="P"/>
    <m/>
    <m/>
    <m/>
    <s v="STEWART BETH"/>
    <s v="E0386294"/>
    <s v="No"/>
    <s v="No"/>
    <s v="No"/>
    <s v="No"/>
    <s v="No"/>
    <s v="No"/>
    <s v="No"/>
    <s v="No"/>
    <s v="No"/>
    <s v="No"/>
    <s v="No"/>
    <x v="1"/>
    <n v="1"/>
    <s v=""/>
    <s v=""/>
    <s v=""/>
    <s v=""/>
    <s v=""/>
    <s v=""/>
    <s v=""/>
    <s v=""/>
    <s v=""/>
    <n v="1"/>
    <s v=""/>
  </r>
  <r>
    <x v="0"/>
    <m/>
    <m/>
    <m/>
    <m/>
    <s v="RAYMOND JESSICA"/>
    <m/>
    <m/>
    <m/>
    <m/>
    <s v="RAYMOND JESSICA R"/>
    <s v="10-42 MITCHELL AVE"/>
    <s v="BINGHAMTON"/>
    <s v="NY"/>
    <s v="13903-1617"/>
    <s v="PHYSICIAN"/>
    <s v="M"/>
    <s v="No"/>
    <s v="MMIS"/>
    <s v="SouthRPU"/>
    <s v="P"/>
    <m/>
    <m/>
    <m/>
    <s v=""/>
    <s v="E0310493"/>
    <n v="0"/>
    <n v="0"/>
    <n v="0"/>
    <n v="0"/>
    <n v="0"/>
    <n v="0"/>
    <n v="0"/>
    <n v="0"/>
    <n v="0"/>
    <n v="0"/>
    <n v="0"/>
    <x v="1"/>
    <n v="1"/>
    <s v=""/>
    <s v=""/>
    <s v=""/>
    <n v="1"/>
    <s v=""/>
    <s v=""/>
    <s v=""/>
    <s v=""/>
    <s v=""/>
    <s v=""/>
    <s v=""/>
  </r>
  <r>
    <x v="0"/>
    <m/>
    <m/>
    <m/>
    <m/>
    <s v="STILWELL MASON DR."/>
    <m/>
    <m/>
    <m/>
    <m/>
    <s v="STILWELL MASON S"/>
    <s v="1 GUTHRIE SQ"/>
    <s v="SAYRE"/>
    <s v="PA"/>
    <s v="18840-1625"/>
    <s v="PHYSICIAN"/>
    <s v="M"/>
    <s v="No"/>
    <s v="MMIS"/>
    <s v="SouthRPU"/>
    <s v="P"/>
    <m/>
    <m/>
    <m/>
    <s v=""/>
    <s v="E0324602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STORM SHAWNTI"/>
    <m/>
    <m/>
    <m/>
    <m/>
    <s v="STORM SHAWNTI R"/>
    <s v="10 ARROWOOD DR"/>
    <s v="ITHACA"/>
    <s v="NY"/>
    <s v="14850-1857"/>
    <s v="PHYSICIAN"/>
    <s v="M"/>
    <s v="No"/>
    <s v="MMIS"/>
    <s v="NorthRPU"/>
    <s v="P"/>
    <m/>
    <m/>
    <m/>
    <s v="Storm Shawnti"/>
    <s v="E0032972"/>
    <s v="No"/>
    <s v="No"/>
    <s v="No"/>
    <s v="No"/>
    <s v="No"/>
    <s v="No"/>
    <s v="No"/>
    <s v="No"/>
    <s v="No"/>
    <s v="No"/>
    <s v="No"/>
    <x v="2"/>
    <s v=""/>
    <s v=""/>
    <s v=""/>
    <s v=""/>
    <s v=""/>
    <s v=""/>
    <s v=""/>
    <s v=""/>
    <s v=""/>
    <s v=""/>
    <n v="1"/>
    <s v=""/>
  </r>
  <r>
    <x v="1"/>
    <m/>
    <m/>
    <m/>
    <m/>
    <s v="STORMANN NITA"/>
    <m/>
    <m/>
    <m/>
    <m/>
    <s v="STORMANN NITA J"/>
    <s v="134 HOLMER AVE"/>
    <s v="CORTLAND"/>
    <s v="NY"/>
    <s v="13045-6606"/>
    <s v="PHYSICIAN"/>
    <s v="M"/>
    <s v="No"/>
    <s v="MMIS"/>
    <s v="NorthRPU"/>
    <s v="P"/>
    <m/>
    <m/>
    <m/>
    <s v=""/>
    <s v="E0049741"/>
    <n v="0"/>
    <n v="0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s v=""/>
    <s v=""/>
  </r>
  <r>
    <x v="0"/>
    <m/>
    <m/>
    <m/>
    <m/>
    <s v="STOUGHTON JAMES DR."/>
    <m/>
    <m/>
    <m/>
    <m/>
    <s v="STOUGHTON JAMES ELLIOTT MD"/>
    <s v="169 RIVERSIDE DR"/>
    <s v="BINGHAMTON"/>
    <s v="NY"/>
    <s v="13905-4246"/>
    <s v="PHYSICIAN"/>
    <s v="M"/>
    <s v="No"/>
    <s v="MMIS"/>
    <s v="SouthRPU"/>
    <s v="P"/>
    <m/>
    <m/>
    <m/>
    <s v="STOUGHTON JAMES DR."/>
    <s v="E0002355"/>
    <s v="No"/>
    <s v="No"/>
    <s v="No"/>
    <s v="No"/>
    <s v="No"/>
    <s v="No"/>
    <s v="No"/>
    <s v="No"/>
    <s v="No"/>
    <s v="No"/>
    <s v="No"/>
    <x v="1"/>
    <n v="1"/>
    <s v=""/>
    <s v=""/>
    <s v=""/>
    <s v=""/>
    <s v=""/>
    <s v=""/>
    <s v=""/>
    <s v=""/>
    <s v=""/>
    <n v="1"/>
    <s v=""/>
  </r>
  <r>
    <x v="0"/>
    <m/>
    <m/>
    <m/>
    <m/>
    <s v="STRADLEY SHELLY"/>
    <m/>
    <m/>
    <m/>
    <m/>
    <s v="STRADLEY SHELLY LYNN"/>
    <s v="346 GRAND AVE"/>
    <s v="JOHNSON CITY"/>
    <s v="NY"/>
    <s v="13790-2558"/>
    <s v="PHYSICIAN"/>
    <s v="M"/>
    <s v="No"/>
    <s v="MMIS"/>
    <s v="SouthRPU"/>
    <s v="P"/>
    <m/>
    <m/>
    <m/>
    <s v=""/>
    <s v="E0057494"/>
    <n v="0"/>
    <n v="0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STRUCK KENT"/>
    <m/>
    <m/>
    <m/>
    <m/>
    <s v="STRUCK KENT DARROW MD"/>
    <s v="UNITED MEDICAL ASSOC PC"/>
    <s v="JOHNSON CITY"/>
    <s v="NY"/>
    <s v="13790-2544"/>
    <s v="PHYSICIAN"/>
    <s v="M"/>
    <s v="No"/>
    <s v="MMIS"/>
    <s v="SouthRPU"/>
    <s v="P"/>
    <m/>
    <m/>
    <m/>
    <s v="STRUCK KENT"/>
    <s v="E0216095"/>
    <s v="No"/>
    <s v="No"/>
    <s v="No"/>
    <s v="No"/>
    <s v="No"/>
    <s v="No"/>
    <s v="No"/>
    <s v="No"/>
    <s v="No"/>
    <s v="No"/>
    <s v="No"/>
    <x v="2"/>
    <s v=""/>
    <s v=""/>
    <s v=""/>
    <s v=""/>
    <s v=""/>
    <s v=""/>
    <s v=""/>
    <s v=""/>
    <s v=""/>
    <s v=""/>
    <n v="1"/>
    <s v=""/>
  </r>
  <r>
    <x v="0"/>
    <m/>
    <m/>
    <m/>
    <m/>
    <s v="STILES STUART"/>
    <m/>
    <m/>
    <m/>
    <m/>
    <s v="STILES STUART MD"/>
    <s v="BINGHAMTON GEN HOSP"/>
    <s v="BINGHAMTON"/>
    <s v="NY"/>
    <s v="13903"/>
    <s v="PHYSICIAN"/>
    <s v="M"/>
    <s v="No"/>
    <s v="MMIS"/>
    <s v="SouthRPU"/>
    <s v="P"/>
    <m/>
    <m/>
    <m/>
    <s v=""/>
    <s v="E0190256"/>
    <n v="1"/>
    <n v="1"/>
    <n v="0"/>
    <n v="1"/>
    <n v="1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STULB JOHN"/>
    <m/>
    <m/>
    <m/>
    <m/>
    <s v="STULB JOHN RIORDAN"/>
    <s v="127 SEELEY RD"/>
    <s v="SYRACUSE"/>
    <s v="NY"/>
    <s v="13224-1113"/>
    <s v="PHYSICIAN"/>
    <s v="M"/>
    <s v="No"/>
    <s v="MMIS"/>
    <s v="NorthRPU"/>
    <s v="P"/>
    <m/>
    <m/>
    <m/>
    <s v=""/>
    <s v="E0370590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1"/>
    <m/>
    <m/>
    <m/>
    <m/>
    <s v="STUPPEL IAN"/>
    <m/>
    <m/>
    <m/>
    <m/>
    <s v="STUPPEL IAN MD"/>
    <s v="502 5TH AVE"/>
    <s v="OWEGO"/>
    <s v="NY"/>
    <s v="13827-1635"/>
    <s v="PHYSICIAN"/>
    <s v="M"/>
    <s v="No"/>
    <s v="MMIS"/>
    <s v="SouthRPU"/>
    <s v="P"/>
    <m/>
    <m/>
    <m/>
    <s v="STUPPEL IAN"/>
    <s v="E0072041"/>
    <s v="No"/>
    <s v="No"/>
    <s v="No"/>
    <s v="No"/>
    <s v="No"/>
    <s v="No"/>
    <s v="No"/>
    <s v="No"/>
    <s v="No"/>
    <s v="No"/>
    <s v="No"/>
    <x v="2"/>
    <s v=""/>
    <s v=""/>
    <s v=""/>
    <s v=""/>
    <s v=""/>
    <s v=""/>
    <s v=""/>
    <s v=""/>
    <s v=""/>
    <s v=""/>
    <n v="1"/>
    <s v=""/>
  </r>
  <r>
    <x v="0"/>
    <m/>
    <m/>
    <m/>
    <m/>
    <s v="STURTEVANT MARY"/>
    <m/>
    <m/>
    <m/>
    <m/>
    <s v="STURTEVANT M"/>
    <s v="257 MAIN ST"/>
    <s v="BINGHAMTON"/>
    <s v="NY"/>
    <s v="13905-2522"/>
    <s v="CLINICAL SOCIAL WORKER (CSW)"/>
    <s v="M"/>
    <s v="No"/>
    <s v="MMIS"/>
    <s v="SouthRPU"/>
    <s v="P"/>
    <m/>
    <m/>
    <m/>
    <s v=""/>
    <s v="E0304654"/>
    <n v="0"/>
    <n v="0"/>
    <n v="0"/>
    <n v="0"/>
    <n v="0"/>
    <n v="0"/>
    <n v="0"/>
    <n v="0"/>
    <n v="0"/>
    <n v="0"/>
    <n v="0"/>
    <x v="1"/>
    <n v="1"/>
    <s v=""/>
    <s v=""/>
    <s v=""/>
    <n v="1"/>
    <s v=""/>
    <s v=""/>
    <s v=""/>
    <s v=""/>
    <s v=""/>
    <s v=""/>
    <s v=""/>
  </r>
  <r>
    <x v="0"/>
    <m/>
    <m/>
    <m/>
    <m/>
    <s v="SUAREZ PAUL DR."/>
    <m/>
    <m/>
    <m/>
    <m/>
    <s v="SUAREZ PAUL ADRIEN MD"/>
    <s v="GUTHRIE CLINIC LTD"/>
    <s v="SAYRE"/>
    <s v="PA"/>
    <s v="18840"/>
    <s v="PHYSICIAN"/>
    <s v="M"/>
    <s v="No"/>
    <s v="MMIS"/>
    <s v="SouthRPU"/>
    <s v="P"/>
    <m/>
    <m/>
    <m/>
    <s v=""/>
    <s v="E0133719"/>
    <n v="1"/>
    <n v="1"/>
    <n v="0"/>
    <n v="0"/>
    <n v="0"/>
    <n v="0"/>
    <n v="0"/>
    <n v="0"/>
    <n v="0"/>
    <n v="1"/>
    <n v="0"/>
    <x v="1"/>
    <n v="1"/>
    <s v=""/>
    <s v=""/>
    <s v=""/>
    <s v=""/>
    <s v=""/>
    <s v=""/>
    <s v=""/>
    <s v=""/>
    <s v=""/>
    <s v=""/>
    <s v=""/>
  </r>
  <r>
    <x v="0"/>
    <s v="124 E. Court Street"/>
    <s v="Ithaca"/>
    <s v="NY"/>
    <s v="14850"/>
    <m/>
    <m/>
    <m/>
    <m/>
    <m/>
    <m/>
    <m/>
    <m/>
    <m/>
    <m/>
    <m/>
    <s v="M"/>
    <s v="No"/>
    <s v="No NPI or MMIS"/>
    <s v="NorthRPU"/>
    <s v="P"/>
    <m/>
    <m/>
    <m/>
    <s v=""/>
    <s v="Suicide Prevention and Crisis Service"/>
    <n v="1"/>
    <m/>
    <m/>
    <m/>
    <m/>
    <m/>
    <n v="1"/>
    <s v="No"/>
    <s v="No"/>
    <s v="No"/>
    <s v="No"/>
    <x v="1"/>
    <s v=""/>
    <s v=""/>
    <s v=""/>
    <s v=""/>
    <s v=""/>
    <s v=""/>
    <s v=""/>
    <s v=""/>
    <s v=""/>
    <n v="1"/>
    <s v=""/>
    <s v=""/>
  </r>
  <r>
    <x v="0"/>
    <m/>
    <m/>
    <m/>
    <m/>
    <s v="ANDERSON SUSAN"/>
    <m/>
    <m/>
    <m/>
    <m/>
    <s v="ANDERSON SUSAN CAROL"/>
    <s v="2352 RT 26"/>
    <s v="ENDICOTT"/>
    <s v="NY"/>
    <s v="13760-0000"/>
    <s v="PHYSICIAN"/>
    <s v="M"/>
    <s v="No"/>
    <s v="MMIS"/>
    <s v="SouthRPU"/>
    <s v="P"/>
    <m/>
    <m/>
    <m/>
    <s v=""/>
    <s v="E0008178"/>
    <n v="1"/>
    <n v="1"/>
    <n v="0"/>
    <n v="1"/>
    <n v="1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COWDERY SUSAN DR."/>
    <m/>
    <m/>
    <m/>
    <m/>
    <s v="COWDERY SUSAN RICHARDSON MD"/>
    <s v="119 W BUFFALO ST"/>
    <s v="ITHACA"/>
    <s v="NY"/>
    <s v="14850-4131"/>
    <s v="PHYSICIAN"/>
    <s v="M"/>
    <s v="No"/>
    <s v="MMIS"/>
    <s v="NorthRPU"/>
    <s v="P"/>
    <m/>
    <m/>
    <m/>
    <s v=""/>
    <s v="E0093186"/>
    <n v="1"/>
    <n v="1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ROSATO SUSAN"/>
    <m/>
    <m/>
    <m/>
    <m/>
    <s v="ROSATO SUSAN MARIE"/>
    <s v="2805 CINCINNATUS RD"/>
    <s v="CINCINNATUS"/>
    <s v="NY"/>
    <s v="13040-9685"/>
    <s v="PHYSICIAN"/>
    <s v="M"/>
    <s v="No"/>
    <s v="MMIS"/>
    <s v="NorthRPU"/>
    <s v="P"/>
    <m/>
    <m/>
    <m/>
    <s v=""/>
    <s v="E0383437"/>
    <n v="0"/>
    <n v="0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STEIN SUSAN"/>
    <m/>
    <m/>
    <m/>
    <m/>
    <s v="STEIN SUSAN"/>
    <s v="460 ANDES RD"/>
    <s v="DELHI"/>
    <s v="NY"/>
    <s v="13753-7407"/>
    <s v="PHYSICIAN"/>
    <s v="M"/>
    <s v="No"/>
    <s v="MMIS"/>
    <s v="EastRPU"/>
    <s v="P"/>
    <m/>
    <m/>
    <m/>
    <s v=""/>
    <s v="E0073833"/>
    <n v="0"/>
    <n v="0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SUSARLA AHALYA"/>
    <m/>
    <m/>
    <m/>
    <m/>
    <s v="SUSARLA AHALYA             MD"/>
    <s v="CHENANGO BRIDGE MED"/>
    <s v="BINGHAMTON"/>
    <s v="NY"/>
    <s v="13901-1293"/>
    <s v="PHYSICIAN"/>
    <s v="M"/>
    <s v="No"/>
    <s v="MMIS"/>
    <s v="SouthRPU"/>
    <s v="P"/>
    <m/>
    <m/>
    <m/>
    <s v=""/>
    <s v="E0226599"/>
    <n v="1"/>
    <n v="1"/>
    <n v="0"/>
    <n v="1"/>
    <n v="1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1"/>
    <m/>
    <m/>
    <m/>
    <m/>
    <s v="SUSQUEHANNA NURSING &amp; REHABILITATION CENTER, LLC"/>
    <m/>
    <m/>
    <m/>
    <m/>
    <s v="SUSQUEHANNA NURSING &amp; REHAB CTR"/>
    <s v="282 RIVERSIDE DR"/>
    <s v="JOHNSON CITY"/>
    <s v="NY"/>
    <s v="13790-2727"/>
    <s v="LONG TERM CARE FACILITY"/>
    <s v="M"/>
    <s v="No"/>
    <s v="MMIS"/>
    <s v="SouthRPU"/>
    <s v="P"/>
    <m/>
    <m/>
    <m/>
    <s v=""/>
    <s v="E0218570"/>
    <n v="0"/>
    <n v="0"/>
    <n v="0"/>
    <n v="0"/>
    <n v="0"/>
    <n v="0"/>
    <n v="0"/>
    <n v="0"/>
    <n v="0"/>
    <n v="0"/>
    <n v="0"/>
    <x v="1"/>
    <s v=""/>
    <s v=""/>
    <s v=""/>
    <s v=""/>
    <n v="1"/>
    <s v=""/>
    <n v="1"/>
    <s v=""/>
    <s v=""/>
    <s v=""/>
    <n v="1"/>
    <s v=""/>
  </r>
  <r>
    <x v="0"/>
    <m/>
    <m/>
    <m/>
    <m/>
    <s v="SUTTON MALA DR."/>
    <m/>
    <m/>
    <m/>
    <m/>
    <s v="SUTTON MALA V"/>
    <s v="201 E FIRST ST"/>
    <s v="CORNING"/>
    <s v="NY"/>
    <s v="14830"/>
    <s v="PHYSICIAN"/>
    <s v="M"/>
    <s v="No"/>
    <s v="MMIS"/>
    <s v="WestRPU"/>
    <s v="P"/>
    <m/>
    <m/>
    <m/>
    <s v=""/>
    <s v="E0252746"/>
    <n v="1"/>
    <n v="1"/>
    <n v="0"/>
    <n v="0"/>
    <n v="0"/>
    <n v="0"/>
    <n v="0"/>
    <n v="1"/>
    <n v="1"/>
    <n v="1"/>
    <n v="0"/>
    <x v="2"/>
    <s v=""/>
    <s v=""/>
    <s v=""/>
    <s v=""/>
    <s v=""/>
    <s v=""/>
    <s v=""/>
    <s v=""/>
    <s v=""/>
    <s v=""/>
    <n v="1"/>
    <s v=""/>
  </r>
  <r>
    <x v="0"/>
    <m/>
    <m/>
    <m/>
    <m/>
    <s v="ANDERSON SUZANNE"/>
    <m/>
    <m/>
    <m/>
    <m/>
    <s v="ANDERSON SUZANNE KOCHWESER MD"/>
    <s v="TRUMANSBURG FHC"/>
    <s v="TRUMANSBURG"/>
    <s v="NY"/>
    <s v="14886-9201"/>
    <s v="PHYSICIAN"/>
    <s v="M"/>
    <s v="No"/>
    <s v="MMIS"/>
    <s v="NorthRPU"/>
    <s v="P"/>
    <m/>
    <m/>
    <m/>
    <s v=""/>
    <s v="E0208033"/>
    <n v="1"/>
    <n v="1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BRADSHAW SUZANNE"/>
    <m/>
    <m/>
    <m/>
    <m/>
    <s v="BRADSHAW SUZANNE M MD"/>
    <s v="302 HOFFMAN ST"/>
    <s v="ELMIRA"/>
    <s v="NY"/>
    <s v="14905-2263"/>
    <s v="PHYSICIAN"/>
    <s v="M"/>
    <s v="No"/>
    <s v="MMIS"/>
    <s v="WestRPU"/>
    <s v="P"/>
    <m/>
    <m/>
    <m/>
    <s v=""/>
    <s v="E0076121"/>
    <n v="0"/>
    <n v="0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SWEET JOHN DR."/>
    <m/>
    <m/>
    <m/>
    <m/>
    <s v="SWEET JOHN PAUL"/>
    <s v="41-45 DIETZ ST"/>
    <s v="ONEONTA"/>
    <s v="NY"/>
    <s v="13820-1855"/>
    <s v="PHYSICIAN"/>
    <s v="M"/>
    <s v="No"/>
    <s v="MMIS"/>
    <s v="EastRPU"/>
    <s v="P"/>
    <m/>
    <m/>
    <m/>
    <s v=""/>
    <s v="E0221079"/>
    <n v="1"/>
    <n v="1"/>
    <n v="0"/>
    <n v="1"/>
    <n v="1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SWOBODA THOMAS DR."/>
    <m/>
    <m/>
    <m/>
    <m/>
    <s v="SWOBODA THOMAS"/>
    <s v="33-57 HARRISON ST"/>
    <s v="JOHNSON CITY"/>
    <s v="NY"/>
    <s v="13790-2107"/>
    <s v="PHYSICIAN"/>
    <s v="M"/>
    <s v="No"/>
    <s v="MMIS"/>
    <s v="SouthRPU"/>
    <s v="P"/>
    <m/>
    <m/>
    <m/>
    <s v="SWOBODA THOMAS DR."/>
    <s v="E0379557"/>
    <s v="No"/>
    <s v="No"/>
    <s v="No"/>
    <s v="No"/>
    <s v="No"/>
    <s v="No"/>
    <s v="No"/>
    <s v="No"/>
    <s v="No"/>
    <s v="No"/>
    <s v="No"/>
    <x v="1"/>
    <n v="1"/>
    <s v=""/>
    <s v=""/>
    <s v=""/>
    <s v=""/>
    <s v=""/>
    <s v=""/>
    <s v=""/>
    <s v=""/>
    <s v=""/>
    <s v=""/>
    <s v=""/>
  </r>
  <r>
    <x v="0"/>
    <m/>
    <m/>
    <m/>
    <m/>
    <s v="SYVINLUAN MARIA"/>
    <m/>
    <m/>
    <m/>
    <m/>
    <s v="SY-VINLUAN MARIA TERESA L MD"/>
    <s v="LOURDES FAM PRACTICE"/>
    <s v="BINGHAMTON"/>
    <s v="NY"/>
    <s v="13905-4176"/>
    <s v="PHYSICIAN"/>
    <s v="M"/>
    <s v="No"/>
    <s v="MMIS"/>
    <s v="SouthRPU"/>
    <s v="P"/>
    <m/>
    <m/>
    <m/>
    <s v="SYVINLUAN MARIA"/>
    <s v="E0155020"/>
    <s v="No"/>
    <s v="No"/>
    <s v="No"/>
    <s v="No"/>
    <s v="No"/>
    <s v="No"/>
    <s v="No"/>
    <s v="No"/>
    <s v="No"/>
    <s v="No"/>
    <s v="No"/>
    <x v="2"/>
    <s v=""/>
    <s v=""/>
    <s v=""/>
    <s v=""/>
    <s v=""/>
    <s v=""/>
    <s v=""/>
    <s v=""/>
    <s v=""/>
    <s v=""/>
    <n v="1"/>
    <s v=""/>
  </r>
  <r>
    <x v="0"/>
    <m/>
    <m/>
    <m/>
    <m/>
    <s v="SZABO ANDRAS"/>
    <m/>
    <m/>
    <m/>
    <m/>
    <s v="SZABO ANDRAS MD"/>
    <s v="LOURDES HSP"/>
    <s v="BINGHAMTON"/>
    <s v="NY"/>
    <s v="13905-4198"/>
    <s v="PHYSICIAN"/>
    <s v="M"/>
    <s v="No"/>
    <s v="MMIS"/>
    <s v="SouthRPU"/>
    <s v="P"/>
    <m/>
    <m/>
    <m/>
    <s v=""/>
    <s v="E0061132"/>
    <n v="1"/>
    <n v="1"/>
    <n v="0"/>
    <n v="0"/>
    <n v="1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SZE-TU DUNCAN"/>
    <m/>
    <m/>
    <m/>
    <m/>
    <s v="SZE-TU DUNCAN"/>
    <s v="ENDWELL FAM PHYS"/>
    <s v="ENDWELL"/>
    <s v="NY"/>
    <s v="13760-3698"/>
    <s v="PHYSICIAN"/>
    <s v="M"/>
    <s v="No"/>
    <s v="MMIS"/>
    <s v="SouthRPU"/>
    <s v="P"/>
    <m/>
    <m/>
    <m/>
    <s v="SZE-TU DUNCAN"/>
    <s v="E0224193"/>
    <s v="No"/>
    <s v="No"/>
    <s v="No"/>
    <s v="No"/>
    <s v="No"/>
    <s v="No"/>
    <s v="No"/>
    <s v="No"/>
    <s v="No"/>
    <s v="No"/>
    <s v="No"/>
    <x v="2"/>
    <s v=""/>
    <s v=""/>
    <s v=""/>
    <s v=""/>
    <s v=""/>
    <s v=""/>
    <s v=""/>
    <s v=""/>
    <s v=""/>
    <s v=""/>
    <n v="1"/>
    <s v=""/>
  </r>
  <r>
    <x v="0"/>
    <m/>
    <m/>
    <m/>
    <m/>
    <s v="TABLEMAN BRIAN"/>
    <m/>
    <m/>
    <m/>
    <m/>
    <s v="TABLEMAN BRIAN FREDERICK"/>
    <s v="4401 VESTAL PKWY E"/>
    <s v="VESTAL"/>
    <s v="NY"/>
    <s v="13850-3514"/>
    <s v="THERAPIST"/>
    <s v="M"/>
    <s v="No"/>
    <s v="MMIS"/>
    <s v="SouthRPU"/>
    <s v="P"/>
    <m/>
    <m/>
    <m/>
    <s v=""/>
    <s v="E0059184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TALATI KIRAN"/>
    <m/>
    <m/>
    <m/>
    <m/>
    <s v="TALATI KIRAN A MD"/>
    <s v="PRIMARY CARE ASSOC"/>
    <s v="BINGHAMTON"/>
    <s v="NY"/>
    <s v="13905-2524"/>
    <s v="PHYSICIAN"/>
    <s v="M"/>
    <s v="No"/>
    <s v="MMIS"/>
    <s v="SouthRPU"/>
    <s v="P"/>
    <m/>
    <m/>
    <m/>
    <s v=""/>
    <s v="E0123337"/>
    <n v="1"/>
    <n v="1"/>
    <n v="0"/>
    <n v="1"/>
    <n v="1"/>
    <n v="0"/>
    <n v="0"/>
    <n v="1"/>
    <n v="0"/>
    <n v="0"/>
    <n v="1"/>
    <x v="2"/>
    <s v=""/>
    <s v=""/>
    <s v=""/>
    <s v=""/>
    <s v=""/>
    <s v=""/>
    <s v=""/>
    <s v=""/>
    <s v=""/>
    <s v=""/>
    <n v="1"/>
    <s v=""/>
  </r>
  <r>
    <x v="0"/>
    <m/>
    <m/>
    <m/>
    <m/>
    <s v="TALENTI DAVID DR."/>
    <m/>
    <m/>
    <m/>
    <m/>
    <s v="TALENTI DAVID A MD"/>
    <s v="GUTHRIE CLINIC"/>
    <s v="SAYRE"/>
    <s v="PA"/>
    <s v="18840"/>
    <s v="PHYSICIAN"/>
    <s v="M"/>
    <s v="No"/>
    <s v="MMIS"/>
    <s v="SouthRPU"/>
    <s v="P"/>
    <m/>
    <m/>
    <m/>
    <s v=""/>
    <s v="E0158804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TAN BENG DR."/>
    <m/>
    <m/>
    <m/>
    <m/>
    <s v="TAN BENG JIT MD"/>
    <s v="995 SENATOR KEATING BLVD"/>
    <s v="ROCHESTER"/>
    <s v="NY"/>
    <s v="14618-2779"/>
    <s v="PHYSICIAN"/>
    <s v="M"/>
    <s v="No"/>
    <s v="MMIS"/>
    <s v="SouthRPU"/>
    <s v="P"/>
    <m/>
    <m/>
    <m/>
    <s v=""/>
    <s v="E0032278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TAO SUEHONG DR."/>
    <m/>
    <m/>
    <m/>
    <m/>
    <s v="TAO SUE HONG MD"/>
    <m/>
    <s v="CORNING"/>
    <s v="NY"/>
    <s v="14830-2287"/>
    <s v="PHYSICIAN"/>
    <s v="M"/>
    <s v="No"/>
    <s v="MMIS"/>
    <s v="WestRPU"/>
    <s v="P"/>
    <m/>
    <m/>
    <m/>
    <s v=""/>
    <s v="E0059396"/>
    <n v="1"/>
    <n v="1"/>
    <n v="0"/>
    <n v="0"/>
    <n v="0"/>
    <n v="0"/>
    <n v="0"/>
    <n v="1"/>
    <n v="1"/>
    <n v="1"/>
    <n v="0"/>
    <x v="2"/>
    <s v=""/>
    <s v=""/>
    <s v=""/>
    <s v=""/>
    <s v=""/>
    <s v=""/>
    <s v=""/>
    <s v=""/>
    <s v=""/>
    <s v=""/>
    <n v="1"/>
    <s v=""/>
  </r>
  <r>
    <x v="0"/>
    <m/>
    <m/>
    <m/>
    <m/>
    <s v="WANDER TARA MS."/>
    <m/>
    <m/>
    <m/>
    <m/>
    <s v="WANDER TARA MARIE"/>
    <m/>
    <m/>
    <m/>
    <m/>
    <s v="PHYSICIAN"/>
    <s v="M"/>
    <s v="No"/>
    <s v="MMIS"/>
    <s v="SouthRPU"/>
    <s v="P"/>
    <m/>
    <m/>
    <m/>
    <s v="Tara Marie Wander"/>
    <s v="E0454682"/>
    <s v="No"/>
    <s v="No"/>
    <s v="No"/>
    <s v="No"/>
    <s v="No"/>
    <s v="No"/>
    <s v="No"/>
    <s v="No"/>
    <s v="No"/>
    <s v="No"/>
    <s v="No"/>
    <x v="1"/>
    <n v="1"/>
    <s v=""/>
    <s v=""/>
    <s v=""/>
    <s v=""/>
    <s v=""/>
    <s v=""/>
    <s v=""/>
    <s v=""/>
    <s v=""/>
    <s v=""/>
    <s v=""/>
  </r>
  <r>
    <x v="0"/>
    <m/>
    <m/>
    <m/>
    <m/>
    <s v="CHEEMA TASEER"/>
    <m/>
    <m/>
    <m/>
    <m/>
    <s v="CHEEMA TASEER A MD"/>
    <s v="600 ROE AVE"/>
    <s v="ELMIRA"/>
    <s v="NY"/>
    <s v="14905-1629"/>
    <s v="PHYSICIAN"/>
    <s v="M"/>
    <s v="No"/>
    <s v="MMIS"/>
    <s v="WestRPU"/>
    <s v="P"/>
    <m/>
    <m/>
    <m/>
    <s v=""/>
    <s v="E0016159"/>
    <n v="1"/>
    <n v="1"/>
    <n v="0"/>
    <n v="0"/>
    <n v="1"/>
    <n v="0"/>
    <n v="0"/>
    <n v="0"/>
    <n v="0"/>
    <n v="0"/>
    <n v="0"/>
    <x v="2"/>
    <n v="1"/>
    <s v=""/>
    <s v=""/>
    <s v=""/>
    <s v=""/>
    <s v=""/>
    <s v=""/>
    <s v=""/>
    <s v=""/>
    <s v=""/>
    <s v=""/>
    <s v=""/>
  </r>
  <r>
    <x v="0"/>
    <m/>
    <m/>
    <m/>
    <m/>
    <s v="TAUFIK MIREILLE"/>
    <m/>
    <m/>
    <m/>
    <m/>
    <s v="TAUFIK MIREILLE"/>
    <m/>
    <m/>
    <m/>
    <m/>
    <s v="PHYSICIAN"/>
    <s v="M"/>
    <s v="No"/>
    <s v="MMIS"/>
    <s v="WestRPU"/>
    <s v="P"/>
    <m/>
    <m/>
    <m/>
    <s v="Taufik Mireille"/>
    <s v="E0448405"/>
    <s v="No"/>
    <s v="No"/>
    <s v="No"/>
    <s v="No"/>
    <s v="No"/>
    <s v="No"/>
    <s v="No"/>
    <s v="No"/>
    <s v="No"/>
    <s v="No"/>
    <s v="No"/>
    <x v="2"/>
    <s v=""/>
    <s v=""/>
    <s v=""/>
    <s v=""/>
    <s v=""/>
    <s v=""/>
    <s v=""/>
    <s v=""/>
    <s v=""/>
    <s v=""/>
    <n v="1"/>
    <s v=""/>
  </r>
  <r>
    <x v="0"/>
    <m/>
    <m/>
    <m/>
    <m/>
    <s v="OLAREWAJU TEMITOPE"/>
    <m/>
    <m/>
    <m/>
    <m/>
    <s v="OLAREWAJU TEMITOPE O"/>
    <s v="4038 WEST RD"/>
    <s v="CORTLAND"/>
    <s v="NY"/>
    <s v="13045-1842"/>
    <s v="PHYSICIAN"/>
    <s v="M"/>
    <s v="No"/>
    <s v="MMIS"/>
    <s v="NorthRPU"/>
    <s v="P"/>
    <m/>
    <m/>
    <m/>
    <s v=""/>
    <s v="E0383574"/>
    <n v="1"/>
    <n v="1"/>
    <n v="0"/>
    <n v="0"/>
    <n v="1"/>
    <n v="1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TENG ANN"/>
    <m/>
    <m/>
    <m/>
    <m/>
    <s v="TENG ANN Y"/>
    <s v="40 ARCH ST"/>
    <s v="JOHNSON CITY"/>
    <s v="NY"/>
    <s v="13790-2102"/>
    <s v="PHYSICIAN"/>
    <s v="M"/>
    <s v="No"/>
    <s v="MMIS"/>
    <s v="SouthRPU"/>
    <s v="P"/>
    <m/>
    <m/>
    <m/>
    <s v=""/>
    <s v="E0348941"/>
    <n v="1"/>
    <n v="1"/>
    <n v="0"/>
    <n v="1"/>
    <n v="1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ANTALEK TERESA"/>
    <m/>
    <m/>
    <m/>
    <m/>
    <s v="ANTALEK TERESA ANNE"/>
    <s v="169 RIVERSIDE DR"/>
    <s v="BINGHAMTON"/>
    <s v="NY"/>
    <s v="13905-4246"/>
    <s v="PHYSICIAN"/>
    <s v="M"/>
    <s v="No"/>
    <s v="MMIS"/>
    <s v="SouthRPU"/>
    <s v="P"/>
    <m/>
    <m/>
    <m/>
    <s v="Teresa A. Antalek, FNP"/>
    <s v="E0365292"/>
    <s v="No"/>
    <s v="No"/>
    <s v="No"/>
    <s v="No"/>
    <s v="No"/>
    <s v="No"/>
    <s v="No"/>
    <s v="No"/>
    <s v="No"/>
    <s v="No"/>
    <s v="No"/>
    <x v="1"/>
    <n v="1"/>
    <s v=""/>
    <s v=""/>
    <s v=""/>
    <s v=""/>
    <s v=""/>
    <s v=""/>
    <s v=""/>
    <s v=""/>
    <s v=""/>
    <n v="1"/>
    <s v=""/>
  </r>
  <r>
    <x v="0"/>
    <m/>
    <m/>
    <m/>
    <m/>
    <s v="SACCO-BEDOSKY TERESA"/>
    <m/>
    <m/>
    <m/>
    <m/>
    <s v="SACCO-BEDOSKY TERESA ANN"/>
    <s v="BINGHAMPTON GENERAL"/>
    <s v="BINGHAMTON"/>
    <s v="NY"/>
    <s v="13903"/>
    <s v="PHYSICIAN"/>
    <s v="M"/>
    <s v="No"/>
    <s v="MMIS"/>
    <s v="SouthRPU"/>
    <s v="P"/>
    <m/>
    <m/>
    <m/>
    <s v=""/>
    <s v="E0135752"/>
    <n v="1"/>
    <n v="1"/>
    <n v="0"/>
    <n v="1"/>
    <n v="1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CHASE TERRI MS."/>
    <m/>
    <m/>
    <m/>
    <m/>
    <s v="CHASE TERRI LYNN"/>
    <s v="1129 COMMONS AVE"/>
    <s v="CORTLAND"/>
    <s v="NY"/>
    <s v="13045-1651"/>
    <s v="PHYSICIAN"/>
    <s v="M"/>
    <s v="No"/>
    <s v="MMIS"/>
    <s v="NorthRPU"/>
    <s v="P"/>
    <m/>
    <m/>
    <m/>
    <s v=""/>
    <s v="E0004545"/>
    <n v="1"/>
    <n v="1"/>
    <n v="0"/>
    <n v="1"/>
    <n v="1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TERWILLIGER JERRY DR."/>
    <m/>
    <m/>
    <m/>
    <m/>
    <s v="TERWILLIGER JERRY WAYNE"/>
    <s v="GUTHRIE CLINIC"/>
    <s v="SAYRE"/>
    <s v="PA"/>
    <s v="18840"/>
    <s v="PHYSICIAN"/>
    <s v="M"/>
    <s v="No"/>
    <s v="MMIS"/>
    <s v="SouthRPU"/>
    <s v="P"/>
    <m/>
    <m/>
    <m/>
    <s v=""/>
    <s v="E0229438"/>
    <n v="1"/>
    <n v="1"/>
    <n v="0"/>
    <n v="0"/>
    <n v="0"/>
    <n v="0"/>
    <n v="0"/>
    <n v="1"/>
    <n v="1"/>
    <n v="1"/>
    <n v="0"/>
    <x v="2"/>
    <s v=""/>
    <s v=""/>
    <s v=""/>
    <s v=""/>
    <s v=""/>
    <s v=""/>
    <s v=""/>
    <s v=""/>
    <s v=""/>
    <s v=""/>
    <n v="1"/>
    <s v=""/>
  </r>
  <r>
    <x v="0"/>
    <m/>
    <m/>
    <m/>
    <m/>
    <s v="TERWILLIGER SUSAN"/>
    <m/>
    <m/>
    <m/>
    <m/>
    <s v="TERWILLIGER SUSAN HARFORD"/>
    <s v="1011 N ELMER AVE"/>
    <s v="SAYRE"/>
    <s v="PA"/>
    <s v="18840-1832"/>
    <s v="PHYSICIAN"/>
    <s v="M"/>
    <s v="No"/>
    <s v="MMIS"/>
    <s v="SouthRPU"/>
    <s v="P"/>
    <m/>
    <m/>
    <m/>
    <s v=""/>
    <s v="E0290860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THAPA RUPAK DR."/>
    <m/>
    <m/>
    <m/>
    <m/>
    <s v="THAPA RUPAK"/>
    <s v="1 GUTHRIE SQ"/>
    <s v="SAYRE"/>
    <s v="PA"/>
    <s v="18840-1625"/>
    <s v="PHYSICIAN"/>
    <s v="M"/>
    <s v="No"/>
    <s v="MMIS"/>
    <s v="SouthRPU"/>
    <s v="P"/>
    <m/>
    <m/>
    <m/>
    <s v=""/>
    <s v="E0323630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1"/>
    <m/>
    <m/>
    <m/>
    <m/>
    <s v="THE ADDICTION CENTER OF BROOME COUNTY, INC/"/>
    <m/>
    <m/>
    <m/>
    <m/>
    <s v="ADDICTION CTR OF BROOME CNTY"/>
    <s v="30 W STATE ST"/>
    <s v="BINGHAMTON"/>
    <s v="NY"/>
    <s v="13901-2332"/>
    <s v="DIAGNOSTIC AND TREATMENT CENTER"/>
    <s v="M"/>
    <s v="No"/>
    <s v="MMIS"/>
    <s v="SouthRPU"/>
    <s v="P"/>
    <m/>
    <m/>
    <m/>
    <s v=""/>
    <s v="E0236173"/>
    <n v="0"/>
    <n v="0"/>
    <n v="0"/>
    <n v="0"/>
    <n v="0"/>
    <n v="0"/>
    <n v="0"/>
    <n v="0"/>
    <n v="0"/>
    <n v="0"/>
    <n v="0"/>
    <x v="1"/>
    <s v=""/>
    <s v=""/>
    <s v=""/>
    <s v=""/>
    <n v="1"/>
    <n v="1"/>
    <s v=""/>
    <s v=""/>
    <s v=""/>
    <s v=""/>
    <n v="1"/>
    <s v=""/>
  </r>
  <r>
    <x v="1"/>
    <m/>
    <m/>
    <m/>
    <m/>
    <s v="THE ARC OF DELAWARE COUNTY"/>
    <m/>
    <m/>
    <m/>
    <m/>
    <s v="DELAWARE COUNTY ARC"/>
    <s v="5 COURT ST"/>
    <s v="NORWICH"/>
    <s v="NY"/>
    <s v="13815-1654"/>
    <s v="MULTI-TYPE"/>
    <s v="M"/>
    <s v="No"/>
    <s v="MMIS"/>
    <s v="EastRPU"/>
    <s v="P"/>
    <m/>
    <m/>
    <m/>
    <s v="THE ARC OF DELAWARE COUNTY"/>
    <s v="E0347047"/>
    <s v="No"/>
    <s v="No"/>
    <s v="No"/>
    <s v="No"/>
    <s v="No"/>
    <s v="No"/>
    <s v="No"/>
    <s v="No"/>
    <s v="No"/>
    <s v="No"/>
    <s v="No"/>
    <x v="1"/>
    <s v=""/>
    <s v=""/>
    <s v=""/>
    <s v=""/>
    <s v=""/>
    <s v=""/>
    <s v=""/>
    <s v=""/>
    <s v=""/>
    <s v=""/>
    <s v=""/>
    <n v="1"/>
  </r>
  <r>
    <x v="0"/>
    <m/>
    <m/>
    <m/>
    <m/>
    <s v="THE FAMILY &amp; CHILDREN'S SOCIETY, INC."/>
    <s v="257 MAIN ST"/>
    <s v="BINGHAMTON"/>
    <s v="NY"/>
    <s v="139052522"/>
    <m/>
    <m/>
    <m/>
    <m/>
    <m/>
    <m/>
    <s v="M"/>
    <s v="No"/>
    <s v="NPI only"/>
    <s v="SouthRPU"/>
    <s v="P"/>
    <m/>
    <m/>
    <m/>
    <s v=""/>
    <s v="THE FAMILY &amp; CHILDREN'S SOCIETY, INC."/>
    <n v="1"/>
    <n v="1"/>
    <m/>
    <n v="1"/>
    <n v="1"/>
    <s v="No"/>
    <s v="No"/>
    <s v="No"/>
    <s v="No"/>
    <s v="No"/>
    <s v="No"/>
    <x v="1"/>
    <s v=""/>
    <s v=""/>
    <s v=""/>
    <s v=""/>
    <s v=""/>
    <s v=""/>
    <s v=""/>
    <s v=""/>
    <s v=""/>
    <s v=""/>
    <s v=""/>
    <n v="1"/>
  </r>
  <r>
    <x v="0"/>
    <m/>
    <m/>
    <m/>
    <m/>
    <m/>
    <m/>
    <m/>
    <m/>
    <m/>
    <s v="THE FAMILY &amp; CHILDRENS SOCIETY INC"/>
    <s v="355 RIVERSIDE DR"/>
    <s v="JOHNSON CITY"/>
    <s v="NY"/>
    <s v="13790-2744"/>
    <s v="HOME HEALTH AGENCY"/>
    <s v="M"/>
    <s v="No"/>
    <s v="MMIS"/>
    <s v="SouthRPU"/>
    <s v="P"/>
    <m/>
    <m/>
    <m/>
    <s v=""/>
    <s v="E0240646"/>
    <n v="1"/>
    <n v="1"/>
    <n v="0"/>
    <n v="1"/>
    <n v="1"/>
    <n v="0"/>
    <n v="0"/>
    <n v="0"/>
    <n v="0"/>
    <n v="0"/>
    <n v="0"/>
    <x v="1"/>
    <s v=""/>
    <s v=""/>
    <s v=""/>
    <s v=""/>
    <s v=""/>
    <s v=""/>
    <s v=""/>
    <s v=""/>
    <s v=""/>
    <s v=""/>
    <n v="1"/>
    <s v=""/>
  </r>
  <r>
    <x v="1"/>
    <m/>
    <m/>
    <m/>
    <m/>
    <s v="THE FAMILY &amp; CHILDREN'S SOCIETY, INC"/>
    <m/>
    <m/>
    <m/>
    <m/>
    <s v="FAMILY AND CHILDRENS SOCIETY INC"/>
    <s v="257 MAIN ST"/>
    <s v="BINGHAMTON"/>
    <s v="NY"/>
    <s v="13905-2522"/>
    <s v="DIAGNOSTIC AND TREATMENT CENTER"/>
    <s v="M"/>
    <s v="No"/>
    <s v="MMIS"/>
    <s v="SouthRPU"/>
    <s v="P"/>
    <m/>
    <m/>
    <m/>
    <s v=""/>
    <s v="E0307711"/>
    <n v="1"/>
    <n v="1"/>
    <n v="0"/>
    <n v="1"/>
    <n v="1"/>
    <n v="0"/>
    <n v="0"/>
    <n v="0"/>
    <n v="0"/>
    <n v="0"/>
    <n v="0"/>
    <x v="1"/>
    <s v=""/>
    <s v=""/>
    <s v=""/>
    <s v=""/>
    <n v="1"/>
    <s v=""/>
    <s v=""/>
    <s v=""/>
    <s v=""/>
    <s v=""/>
    <n v="1"/>
    <s v=""/>
  </r>
  <r>
    <x v="1"/>
    <m/>
    <m/>
    <m/>
    <m/>
    <s v="CORNERSTONE FAMILY HEALTHCARE"/>
    <m/>
    <m/>
    <m/>
    <m/>
    <s v="CORNERSTONE FAMILY HEALTHCARE"/>
    <s v="147-201 LAKE ST"/>
    <s v="NEWBURGH"/>
    <s v="NY"/>
    <s v="12550-5242"/>
    <s v="MULTI-TYPE"/>
    <s v="M"/>
    <s v="No"/>
    <s v="MMIS"/>
    <s v="SouthRPU"/>
    <s v="P"/>
    <m/>
    <m/>
    <m/>
    <s v=""/>
    <s v="E0252215"/>
    <n v="0"/>
    <n v="0"/>
    <n v="0"/>
    <n v="0"/>
    <n v="0"/>
    <n v="0"/>
    <n v="0"/>
    <n v="0"/>
    <n v="0"/>
    <n v="0"/>
    <n v="0"/>
    <x v="1"/>
    <s v=""/>
    <s v=""/>
    <n v="1"/>
    <s v=""/>
    <s v=""/>
    <n v="1"/>
    <s v=""/>
    <s v=""/>
    <s v=""/>
    <s v=""/>
    <n v="1"/>
    <s v=""/>
  </r>
  <r>
    <x v="1"/>
    <m/>
    <m/>
    <m/>
    <m/>
    <m/>
    <m/>
    <m/>
    <m/>
    <m/>
    <s v="THE HANDICAPPED CHILDRENS ASSOCIATI"/>
    <s v="18 BROAD ST"/>
    <s v="JOHNSON CITY"/>
    <s v="NY"/>
    <s v="13790-2106"/>
    <s v="HOME HEALTH AGENCY"/>
    <s v="M"/>
    <s v="No"/>
    <s v="MMIS"/>
    <s v="SouthRPU"/>
    <s v="P"/>
    <m/>
    <m/>
    <m/>
    <s v="THE HANDICAPPED CHILDRENS ASSOCIATI"/>
    <s v="E0351255"/>
    <s v="No"/>
    <s v="No"/>
    <s v="No"/>
    <s v="No"/>
    <s v="No"/>
    <s v="No"/>
    <s v="No"/>
    <s v="No"/>
    <s v="No"/>
    <s v="No"/>
    <s v="No"/>
    <x v="1"/>
    <s v=""/>
    <s v=""/>
    <s v=""/>
    <s v=""/>
    <s v=""/>
    <s v=""/>
    <s v=""/>
    <s v=""/>
    <s v=""/>
    <s v=""/>
    <n v="1"/>
    <s v=""/>
  </r>
  <r>
    <x v="0"/>
    <m/>
    <m/>
    <m/>
    <m/>
    <m/>
    <m/>
    <m/>
    <m/>
    <m/>
    <s v="THE INSTITUTE FOR HUMAN SERVICES IN"/>
    <s v="50 LIBERTY ST"/>
    <s v="BATH"/>
    <s v="NY"/>
    <s v="14810-1523"/>
    <s v="TRANSPORTATION"/>
    <s v="M"/>
    <s v="No"/>
    <s v="MMIS"/>
    <s v="WestRPU"/>
    <s v="P"/>
    <m/>
    <m/>
    <m/>
    <s v="The Institute for Human Services, Inc."/>
    <s v="E0392403"/>
    <s v="No"/>
    <s v="No"/>
    <s v="No"/>
    <s v="No"/>
    <s v="No"/>
    <s v="No"/>
    <s v="No"/>
    <s v="No"/>
    <s v="No"/>
    <s v="No"/>
    <s v="No"/>
    <x v="1"/>
    <s v=""/>
    <s v=""/>
    <s v=""/>
    <s v=""/>
    <s v=""/>
    <s v=""/>
    <s v=""/>
    <s v=""/>
    <s v=""/>
    <s v=""/>
    <s v=""/>
    <n v="1"/>
  </r>
  <r>
    <x v="1"/>
    <m/>
    <m/>
    <m/>
    <m/>
    <s v="THE NEIGHBORHOOD CENTER, INC."/>
    <m/>
    <m/>
    <m/>
    <m/>
    <s v="NEIGHBORHOOD CENTER INC"/>
    <s v="800 CHARLOTTE ST"/>
    <s v="UTICA"/>
    <s v="NY"/>
    <s v="13501-2913"/>
    <s v="MULTI-TYPE"/>
    <s v="M"/>
    <s v="No"/>
    <s v="MMIS"/>
    <s v="EastRPU"/>
    <s v="P"/>
    <m/>
    <m/>
    <m/>
    <s v="THE NEIGHBORHOOD CENTER, INC."/>
    <s v="E0144350"/>
    <s v="No"/>
    <s v="No"/>
    <s v="No"/>
    <s v="No"/>
    <s v="No"/>
    <s v="No"/>
    <s v="No"/>
    <s v="No"/>
    <s v="No"/>
    <s v="No"/>
    <s v="No"/>
    <x v="1"/>
    <s v=""/>
    <s v=""/>
    <s v=""/>
    <n v="1"/>
    <n v="1"/>
    <s v=""/>
    <s v=""/>
    <s v=""/>
    <s v=""/>
    <s v=""/>
    <s v=""/>
    <s v=""/>
  </r>
  <r>
    <x v="0"/>
    <m/>
    <m/>
    <m/>
    <m/>
    <m/>
    <m/>
    <m/>
    <m/>
    <m/>
    <m/>
    <m/>
    <m/>
    <m/>
    <m/>
    <m/>
    <s v="M"/>
    <s v="No"/>
    <s v="No NPI or MMIS"/>
    <s v="NorthRPU"/>
    <s v="P"/>
    <m/>
    <m/>
    <m/>
    <m/>
    <s v="The Rescue Mission Alliance of Syracuse, Ny"/>
    <n v="1"/>
    <s v="No"/>
    <s v="No"/>
    <n v="1"/>
    <n v="1"/>
    <s v="No"/>
    <s v="No"/>
    <s v="No"/>
    <s v="No"/>
    <s v="No"/>
    <s v="No"/>
    <x v="1"/>
    <s v=""/>
    <s v=""/>
    <s v=""/>
    <s v=""/>
    <s v=""/>
    <s v=""/>
    <s v=""/>
    <s v=""/>
    <s v=""/>
    <n v="1"/>
    <s v=""/>
    <s v=""/>
  </r>
  <r>
    <x v="1"/>
    <m/>
    <m/>
    <m/>
    <m/>
    <s v="THE WILLIAM GEORGE AGENCY"/>
    <m/>
    <m/>
    <m/>
    <m/>
    <s v="WILLIAM GEORGE AGENCY F/CHILD SVCS"/>
    <s v="380 FREEVILLE RD"/>
    <s v="FREEVILLE"/>
    <s v="NY"/>
    <s v="13068-9684"/>
    <s v="MULTI-TYPE"/>
    <s v="M"/>
    <s v="No"/>
    <s v="MMIS"/>
    <s v="NorthRPU"/>
    <s v="P"/>
    <m/>
    <m/>
    <m/>
    <s v=""/>
    <s v="E0092292"/>
    <n v="0"/>
    <n v="0"/>
    <n v="0"/>
    <n v="0"/>
    <n v="0"/>
    <n v="0"/>
    <n v="0"/>
    <n v="0"/>
    <n v="0"/>
    <n v="0"/>
    <n v="0"/>
    <x v="1"/>
    <s v=""/>
    <s v=""/>
    <s v=""/>
    <s v=""/>
    <s v=""/>
    <n v="1"/>
    <s v=""/>
    <s v=""/>
    <s v=""/>
    <s v=""/>
    <s v=""/>
    <s v=""/>
  </r>
  <r>
    <x v="0"/>
    <m/>
    <m/>
    <m/>
    <m/>
    <s v="PETKOV THEODORE"/>
    <m/>
    <m/>
    <m/>
    <m/>
    <s v="PETKOV THEODORE MICHAEL MD"/>
    <s v="33-57 HARRISON ST"/>
    <s v="JOHNSON CITY"/>
    <s v="NY"/>
    <s v="13790-2107"/>
    <s v="PHYSICIAN"/>
    <s v="M"/>
    <s v="No"/>
    <s v="MMIS"/>
    <s v="SouthRPU"/>
    <s v="P"/>
    <m/>
    <m/>
    <m/>
    <s v=""/>
    <s v="E0125994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LYNN THERESA"/>
    <m/>
    <m/>
    <m/>
    <m/>
    <s v="LYNN THERESA M"/>
    <s v="415 E MAIN ST"/>
    <s v="ENDICOTT"/>
    <s v="NY"/>
    <s v="13760-4925"/>
    <s v="PHYSICIAN"/>
    <s v="M"/>
    <s v="No"/>
    <s v="MMIS"/>
    <s v="SouthRPU"/>
    <s v="P"/>
    <m/>
    <m/>
    <m/>
    <s v="Theresa M Lynn, MD, MPH"/>
    <s v="E0419423"/>
    <s v="No"/>
    <s v="No"/>
    <s v="No"/>
    <s v="No"/>
    <s v="No"/>
    <s v="No"/>
    <s v="No"/>
    <s v="No"/>
    <s v="No"/>
    <s v="No"/>
    <s v="No"/>
    <x v="2"/>
    <n v="1"/>
    <s v=""/>
    <s v=""/>
    <s v=""/>
    <s v=""/>
    <s v=""/>
    <s v=""/>
    <s v=""/>
    <s v=""/>
    <s v=""/>
    <s v=""/>
    <s v=""/>
  </r>
  <r>
    <x v="0"/>
    <m/>
    <m/>
    <m/>
    <m/>
    <s v="SPAULDING THERESA DR."/>
    <m/>
    <m/>
    <m/>
    <m/>
    <s v="SPAULDING THERESA A MD"/>
    <s v="116 N CATHARINE ST"/>
    <s v="MONTOUR FALLS"/>
    <s v="NY"/>
    <s v="14865"/>
    <s v="PHYSICIAN"/>
    <s v="M"/>
    <s v="No"/>
    <s v="MMIS"/>
    <s v="NorthRPU"/>
    <s v="P"/>
    <m/>
    <m/>
    <m/>
    <s v=""/>
    <s v="E0106605"/>
    <n v="0"/>
    <n v="0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BURKERT THOMAS MR."/>
    <m/>
    <m/>
    <m/>
    <m/>
    <s v="BURKERT THOMAS EDWARD"/>
    <s v="4 NEWTON AVE"/>
    <s v="NORWICH"/>
    <s v="NY"/>
    <s v="13815-1153"/>
    <s v="PHYSICIAN"/>
    <s v="M"/>
    <s v="No"/>
    <s v="MMIS"/>
    <s v="EastRPU"/>
    <s v="P"/>
    <m/>
    <m/>
    <m/>
    <s v=""/>
    <s v="E0347339"/>
    <n v="1"/>
    <n v="1"/>
    <n v="0"/>
    <n v="1"/>
    <n v="1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TOAL THOMAS DR."/>
    <m/>
    <m/>
    <m/>
    <m/>
    <s v="TOAL THOMAS M MD"/>
    <s v="AUBURN MEM HSP"/>
    <s v="AUBURN"/>
    <s v="NY"/>
    <s v="13021-1983"/>
    <s v="PHYSICIAN"/>
    <s v="M"/>
    <s v="No"/>
    <s v="MMIS"/>
    <s v="NorthRPU"/>
    <s v="P"/>
    <m/>
    <m/>
    <m/>
    <s v=""/>
    <s v="E0141177"/>
    <n v="1"/>
    <n v="1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TILLOTSON REBECCA"/>
    <m/>
    <m/>
    <m/>
    <m/>
    <s v="TILLOTSON REBECCA RPA"/>
    <s v="FAM HLTH NTWK/S-201"/>
    <s v="CORTLAND"/>
    <s v="NY"/>
    <s v="13045"/>
    <s v="PHYSICIAN"/>
    <s v="M"/>
    <s v="No"/>
    <s v="MMIS"/>
    <s v="NorthRPU"/>
    <s v="P"/>
    <m/>
    <m/>
    <m/>
    <s v=""/>
    <s v="E0081931"/>
    <n v="1"/>
    <n v="1"/>
    <n v="0"/>
    <n v="1"/>
    <n v="1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BAEL TIMOTHY DR."/>
    <m/>
    <m/>
    <m/>
    <m/>
    <s v="BAEL TIMOTHY E MD"/>
    <s v="10 DATES RD"/>
    <s v="ITHACA"/>
    <s v="NY"/>
    <s v="14882-8823"/>
    <s v="PHYSICIAN"/>
    <s v="M"/>
    <s v="No"/>
    <s v="MMIS"/>
    <s v="NorthRPU"/>
    <s v="P"/>
    <m/>
    <m/>
    <m/>
    <s v=""/>
    <s v="E0033581"/>
    <n v="1"/>
    <n v="1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CARDINA TIMOTHY"/>
    <m/>
    <m/>
    <m/>
    <m/>
    <s v="CARDINA TIMOTHY M          MD"/>
    <s v="821 CLIFF ST"/>
    <s v="ITHACA"/>
    <s v="NY"/>
    <s v="14850-2017"/>
    <s v="PHYSICIAN"/>
    <s v="M"/>
    <s v="No"/>
    <s v="MMIS"/>
    <s v="NorthRPU"/>
    <s v="P"/>
    <m/>
    <m/>
    <m/>
    <s v=""/>
    <s v="E0246074"/>
    <n v="0"/>
    <n v="0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HARRIS TIMOTHY"/>
    <m/>
    <m/>
    <m/>
    <m/>
    <s v="HARRIS TIMOTHY CARR"/>
    <s v="10 GRAHAM RD W"/>
    <s v="ITHACA"/>
    <s v="NY"/>
    <s v="14850-1055"/>
    <s v="PHYSICIAN"/>
    <s v="M"/>
    <s v="No"/>
    <s v="MMIS"/>
    <s v="NorthRPU"/>
    <s v="P"/>
    <m/>
    <m/>
    <m/>
    <s v=""/>
    <s v="E0358265"/>
    <n v="1"/>
    <n v="1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s v="6 McMaster Street, Suite 4"/>
    <s v="Owego"/>
    <s v="New York"/>
    <s v="13827"/>
    <m/>
    <m/>
    <m/>
    <m/>
    <m/>
    <m/>
    <m/>
    <m/>
    <m/>
    <m/>
    <m/>
    <s v="M"/>
    <s v="No"/>
    <s v="No NPI or MMIS"/>
    <s v="SouthRPU"/>
    <s v="P"/>
    <m/>
    <m/>
    <m/>
    <s v="Tioga County Council on Alcoholism and Substance Abuse"/>
    <m/>
    <s v="No"/>
    <s v="No"/>
    <s v="No"/>
    <s v="No"/>
    <s v="No"/>
    <s v="No"/>
    <s v="No"/>
    <s v="No"/>
    <s v="No"/>
    <s v="No"/>
    <s v="No"/>
    <x v="1"/>
    <s v=""/>
    <s v=""/>
    <s v=""/>
    <s v=""/>
    <s v=""/>
    <s v=""/>
    <s v=""/>
    <s v=""/>
    <s v=""/>
    <n v="1"/>
    <s v=""/>
    <s v=""/>
  </r>
  <r>
    <x v="0"/>
    <s v="P.O. Box 240"/>
    <s v="Owego"/>
    <s v="NY"/>
    <s v="13827"/>
    <m/>
    <m/>
    <m/>
    <m/>
    <m/>
    <m/>
    <m/>
    <m/>
    <m/>
    <m/>
    <m/>
    <s v="M"/>
    <s v="No"/>
    <s v="No NPI or MMIS"/>
    <s v="SouthRPU"/>
    <s v="P"/>
    <m/>
    <m/>
    <m/>
    <s v="Tioga County Department of Social Services"/>
    <m/>
    <s v="No"/>
    <s v="No"/>
    <s v="No"/>
    <s v="No"/>
    <s v="No"/>
    <s v="No"/>
    <s v="No"/>
    <s v="No"/>
    <s v="No"/>
    <s v="No"/>
    <s v="No"/>
    <x v="1"/>
    <s v=""/>
    <s v=""/>
    <s v=""/>
    <s v=""/>
    <s v=""/>
    <s v=""/>
    <s v=""/>
    <s v=""/>
    <s v=""/>
    <n v="1"/>
    <s v=""/>
    <s v=""/>
  </r>
  <r>
    <x v="1"/>
    <m/>
    <m/>
    <m/>
    <m/>
    <s v="TIOGA OPPORTUNITIES, INC"/>
    <m/>
    <m/>
    <m/>
    <m/>
    <s v="TIOGA COUNTY FAMILY PLANNING"/>
    <s v="110 CENTRAL AVE # 112"/>
    <s v="OWEGO"/>
    <s v="NY"/>
    <s v="13827-1311"/>
    <s v="DIAGNOSTIC AND TREATMENT CENTER"/>
    <s v="M"/>
    <s v="No"/>
    <s v="MMIS"/>
    <s v="SouthRPU"/>
    <s v="P"/>
    <m/>
    <m/>
    <m/>
    <s v=""/>
    <s v="E0263567"/>
    <n v="0"/>
    <n v="0"/>
    <n v="0"/>
    <n v="0"/>
    <n v="0"/>
    <n v="0"/>
    <n v="0"/>
    <n v="0"/>
    <n v="0"/>
    <n v="0"/>
    <n v="0"/>
    <x v="1"/>
    <s v=""/>
    <s v=""/>
    <n v="1"/>
    <s v=""/>
    <s v=""/>
    <s v=""/>
    <s v=""/>
    <s v=""/>
    <s v=""/>
    <s v=""/>
    <n v="1"/>
    <s v=""/>
  </r>
  <r>
    <x v="0"/>
    <s v="PO Box 120 St Rt 38 "/>
    <s v="Owego"/>
    <s v="NY"/>
    <s v="13827"/>
    <m/>
    <m/>
    <m/>
    <m/>
    <m/>
    <m/>
    <m/>
    <m/>
    <m/>
    <m/>
    <m/>
    <s v="M"/>
    <s v="No"/>
    <s v="No NPI or MMIS"/>
    <s v="SouthRPU"/>
    <s v="P"/>
    <m/>
    <m/>
    <m/>
    <s v="Tioga County Health Department"/>
    <m/>
    <s v="No"/>
    <s v="No"/>
    <s v="No"/>
    <s v="No"/>
    <s v="No"/>
    <s v="No"/>
    <s v="No"/>
    <s v="No"/>
    <s v="No"/>
    <s v="No"/>
    <s v="No"/>
    <x v="1"/>
    <s v=""/>
    <s v=""/>
    <s v=""/>
    <s v=""/>
    <s v=""/>
    <s v=""/>
    <s v=""/>
    <s v=""/>
    <s v=""/>
    <n v="1"/>
    <s v=""/>
    <s v=""/>
  </r>
  <r>
    <x v="1"/>
    <m/>
    <m/>
    <m/>
    <m/>
    <s v="TIOGA COUNTY"/>
    <m/>
    <m/>
    <m/>
    <m/>
    <s v="TIOGA CTY COMMUNITY SRV BOARD"/>
    <s v="1062 STATE ROUTE 38"/>
    <s v="OWEGO"/>
    <s v="NY"/>
    <s v="13827-0177"/>
    <s v="DIAGNOSTIC AND TREATMENT CENTER"/>
    <s v="M"/>
    <s v="No"/>
    <s v="MMIS"/>
    <s v="SouthRPU"/>
    <s v="P"/>
    <m/>
    <m/>
    <m/>
    <s v=""/>
    <s v="E0237866"/>
    <n v="0"/>
    <n v="0"/>
    <n v="0"/>
    <n v="0"/>
    <n v="0"/>
    <n v="0"/>
    <n v="0"/>
    <n v="0"/>
    <n v="0"/>
    <n v="0"/>
    <n v="0"/>
    <x v="1"/>
    <s v=""/>
    <s v=""/>
    <s v=""/>
    <s v=""/>
    <n v="1"/>
    <n v="1"/>
    <s v=""/>
    <s v=""/>
    <s v=""/>
    <s v=""/>
    <n v="1"/>
    <s v=""/>
  </r>
  <r>
    <x v="1"/>
    <m/>
    <m/>
    <m/>
    <m/>
    <s v="TIOGA COUNTY"/>
    <m/>
    <m/>
    <m/>
    <m/>
    <s v="TIOGA COUNTY COMM SER BRD DAA"/>
    <s v="1062 NYS RTE 38 FL1"/>
    <s v="OWEGO"/>
    <s v="NY"/>
    <s v="13827-0177"/>
    <s v="DIAGNOSTIC AND TREATMENT CENTER"/>
    <s v="M"/>
    <s v="No"/>
    <s v="MMIS"/>
    <s v="SouthRPU"/>
    <s v="P"/>
    <m/>
    <m/>
    <m/>
    <s v=""/>
    <s v="E0200970"/>
    <n v="0"/>
    <n v="0"/>
    <n v="0"/>
    <n v="0"/>
    <n v="0"/>
    <n v="0"/>
    <n v="0"/>
    <n v="0"/>
    <n v="0"/>
    <n v="0"/>
    <n v="0"/>
    <x v="1"/>
    <s v=""/>
    <s v=""/>
    <s v=""/>
    <s v=""/>
    <n v="1"/>
    <n v="1"/>
    <s v=""/>
    <s v=""/>
    <s v=""/>
    <s v=""/>
    <n v="1"/>
    <s v=""/>
  </r>
  <r>
    <x v="0"/>
    <m/>
    <m/>
    <m/>
    <m/>
    <s v="TODD JEFFREY DR."/>
    <m/>
    <m/>
    <m/>
    <m/>
    <s v="TODD JEFFREY ANDREW DPM"/>
    <s v="85 S BROAD ST"/>
    <s v="NORWICH"/>
    <s v="NY"/>
    <s v="13815-1741"/>
    <s v="PODIATRIST"/>
    <s v="M"/>
    <s v="No"/>
    <s v="MMIS"/>
    <s v="EastRPU"/>
    <s v="P"/>
    <m/>
    <m/>
    <m/>
    <s v=""/>
    <s v="E0214592"/>
    <n v="1"/>
    <n v="1"/>
    <n v="0"/>
    <n v="1"/>
    <n v="1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PRIER TODD DR."/>
    <m/>
    <m/>
    <m/>
    <m/>
    <s v="PRIER TODD VINCENT MD"/>
    <s v="161 RIVERSIDE DR"/>
    <s v="BINGHAMTON"/>
    <s v="NY"/>
    <s v="13905-4112"/>
    <s v="PHYSICIAN"/>
    <s v="M"/>
    <s v="No"/>
    <s v="MMIS"/>
    <s v="SouthRPU"/>
    <s v="P"/>
    <m/>
    <m/>
    <m/>
    <s v="Todd V. Prier, MD"/>
    <s v="E0006921"/>
    <s v="No"/>
    <s v="No"/>
    <s v="No"/>
    <s v="No"/>
    <s v="No"/>
    <s v="No"/>
    <s v="No"/>
    <s v="No"/>
    <s v="No"/>
    <s v="No"/>
    <s v="No"/>
    <x v="1"/>
    <n v="1"/>
    <s v=""/>
    <s v=""/>
    <s v=""/>
    <s v=""/>
    <s v=""/>
    <s v=""/>
    <s v=""/>
    <s v=""/>
    <s v=""/>
    <n v="1"/>
    <s v=""/>
  </r>
  <r>
    <x v="0"/>
    <m/>
    <m/>
    <m/>
    <m/>
    <s v="TOKOS ERICA"/>
    <m/>
    <m/>
    <m/>
    <m/>
    <s v="TOKOS ERICA L"/>
    <s v="415 E MAIN ST"/>
    <s v="ENDICOTT"/>
    <s v="NY"/>
    <s v="13760-4925"/>
    <s v="PHYSICIAN"/>
    <s v="M"/>
    <s v="No"/>
    <s v="MMIS"/>
    <s v="SouthRPU"/>
    <s v="P"/>
    <m/>
    <m/>
    <m/>
    <s v="TOKOS ERICA"/>
    <s v="E0371535"/>
    <s v="No"/>
    <s v="No"/>
    <s v="No"/>
    <s v="No"/>
    <s v="No"/>
    <s v="No"/>
    <s v="No"/>
    <s v="No"/>
    <s v="No"/>
    <s v="No"/>
    <s v="No"/>
    <x v="1"/>
    <n v="1"/>
    <s v=""/>
    <s v=""/>
    <s v=""/>
    <s v=""/>
    <s v=""/>
    <s v=""/>
    <s v=""/>
    <s v=""/>
    <s v=""/>
    <n v="1"/>
    <s v=""/>
  </r>
  <r>
    <x v="0"/>
    <m/>
    <m/>
    <m/>
    <m/>
    <s v="TOLHURST KIRK DR."/>
    <m/>
    <m/>
    <m/>
    <m/>
    <s v="TOLHURST KIRK DUNCAN       MD"/>
    <s v="GUTHRIE SQUARE"/>
    <s v="SAYRE"/>
    <s v="PA"/>
    <s v="18840"/>
    <s v="PHYSICIAN"/>
    <s v="M"/>
    <s v="No"/>
    <s v="MMIS"/>
    <s v="SouthRPU"/>
    <s v="P"/>
    <m/>
    <m/>
    <m/>
    <s v=""/>
    <s v="E0227111"/>
    <n v="0"/>
    <n v="0"/>
    <n v="0"/>
    <n v="0"/>
    <n v="0"/>
    <n v="0"/>
    <n v="0"/>
    <n v="0"/>
    <n v="0"/>
    <n v="0"/>
    <n v="0"/>
    <x v="2"/>
    <n v="1"/>
    <s v=""/>
    <s v=""/>
    <s v=""/>
    <s v=""/>
    <s v=""/>
    <s v=""/>
    <s v=""/>
    <s v=""/>
    <s v=""/>
    <n v="1"/>
    <s v=""/>
  </r>
  <r>
    <x v="0"/>
    <s v="701 Spencer Road"/>
    <s v="Ithaca"/>
    <s v="NY"/>
    <s v="14850"/>
    <m/>
    <m/>
    <m/>
    <m/>
    <m/>
    <m/>
    <m/>
    <m/>
    <m/>
    <m/>
    <m/>
    <s v="M"/>
    <s v="No"/>
    <s v="No NPI or MMIS"/>
    <s v="NorthRPU"/>
    <s v="P"/>
    <m/>
    <m/>
    <m/>
    <s v="Tompkins Community Action"/>
    <m/>
    <s v="No"/>
    <s v="No"/>
    <s v="No"/>
    <s v="No"/>
    <s v="No"/>
    <s v="No"/>
    <s v="No"/>
    <s v="No"/>
    <s v="No"/>
    <s v="No"/>
    <s v="No"/>
    <x v="1"/>
    <s v=""/>
    <s v=""/>
    <s v=""/>
    <s v=""/>
    <s v=""/>
    <s v=""/>
    <s v=""/>
    <s v=""/>
    <s v=""/>
    <n v="1"/>
    <s v=""/>
    <s v=""/>
  </r>
  <r>
    <x v="0"/>
    <m/>
    <m/>
    <m/>
    <m/>
    <s v="TOMPKINS COUNTY"/>
    <m/>
    <m/>
    <m/>
    <m/>
    <s v="TOMPKINS COUNTY HM HLTH CARE"/>
    <s v="55 BROWN RD"/>
    <s v="ITHACA"/>
    <s v="NY"/>
    <s v="14850-1247"/>
    <s v="HOME HEALTH AGENCY"/>
    <s v="M"/>
    <s v="No"/>
    <s v="MMIS"/>
    <s v="NorthRPU"/>
    <s v="P"/>
    <m/>
    <m/>
    <m/>
    <s v=""/>
    <s v="E0263568"/>
    <n v="0"/>
    <n v="0"/>
    <n v="0"/>
    <n v="0"/>
    <n v="0"/>
    <n v="0"/>
    <n v="0"/>
    <n v="0"/>
    <n v="0"/>
    <n v="0"/>
    <n v="0"/>
    <x v="1"/>
    <s v=""/>
    <s v=""/>
    <s v=""/>
    <n v="1"/>
    <s v=""/>
    <s v=""/>
    <s v=""/>
    <s v=""/>
    <s v=""/>
    <s v=""/>
    <n v="1"/>
    <s v=""/>
  </r>
  <r>
    <x v="0"/>
    <m/>
    <m/>
    <m/>
    <m/>
    <s v="TOMPKINS COUNTY"/>
    <m/>
    <m/>
    <m/>
    <m/>
    <s v="TOMPKINS CNTY HLTH DEPT CLINI"/>
    <s v="55 BROWN RD"/>
    <s v="ITHACA"/>
    <s v="NY"/>
    <s v="14850-1247"/>
    <s v="DIAGNOSTIC AND TREATMENT CENTER"/>
    <s v="M"/>
    <s v="No"/>
    <s v="MMIS"/>
    <s v="NorthRPU"/>
    <s v="P"/>
    <m/>
    <m/>
    <m/>
    <s v=""/>
    <s v="E0263569"/>
    <n v="0"/>
    <n v="0"/>
    <n v="0"/>
    <n v="0"/>
    <n v="0"/>
    <n v="0"/>
    <n v="0"/>
    <n v="0"/>
    <n v="0"/>
    <n v="0"/>
    <n v="0"/>
    <x v="1"/>
    <s v=""/>
    <s v=""/>
    <n v="1"/>
    <s v=""/>
    <s v=""/>
    <s v=""/>
    <s v=""/>
    <s v=""/>
    <s v=""/>
    <s v=""/>
    <n v="1"/>
    <s v=""/>
  </r>
  <r>
    <x v="1"/>
    <m/>
    <m/>
    <m/>
    <m/>
    <s v="TOMPKINS COUNTY MENTAL HEALTH SERVICES"/>
    <m/>
    <m/>
    <m/>
    <m/>
    <s v="TOMPKINS CNTY COMM M H SVC BR"/>
    <s v="201 E GREEN ST"/>
    <s v="ITHACA"/>
    <s v="NY"/>
    <s v="14850-5635"/>
    <s v="MULTI-TYPE"/>
    <s v="M"/>
    <s v="No"/>
    <s v="MMIS"/>
    <s v="NorthRPU"/>
    <s v="P"/>
    <m/>
    <m/>
    <m/>
    <s v=""/>
    <s v="E0185526"/>
    <n v="1"/>
    <n v="0"/>
    <n v="0"/>
    <n v="0"/>
    <n v="0"/>
    <n v="0"/>
    <n v="1"/>
    <n v="0"/>
    <n v="0"/>
    <n v="0"/>
    <n v="0"/>
    <x v="1"/>
    <s v=""/>
    <s v=""/>
    <s v=""/>
    <n v="1"/>
    <n v="1"/>
    <s v=""/>
    <s v=""/>
    <s v=""/>
    <s v=""/>
    <s v=""/>
    <n v="1"/>
    <s v=""/>
  </r>
  <r>
    <x v="0"/>
    <s v="214 W. Martin Luther King Jr/ State Street"/>
    <s v="Ithaca"/>
    <s v="NY"/>
    <s v="14580"/>
    <m/>
    <m/>
    <m/>
    <m/>
    <m/>
    <m/>
    <m/>
    <m/>
    <m/>
    <m/>
    <m/>
    <s v="M"/>
    <s v="No"/>
    <s v="No NPI or MMIS"/>
    <s v="NorthRPU"/>
    <s v="P"/>
    <m/>
    <m/>
    <m/>
    <s v="Tompkins County Office for the Aging"/>
    <m/>
    <s v="No"/>
    <s v="No"/>
    <s v="No"/>
    <s v="No"/>
    <s v="No"/>
    <s v="No"/>
    <s v="No"/>
    <s v="No"/>
    <s v="No"/>
    <s v="No"/>
    <s v="No"/>
    <x v="1"/>
    <s v=""/>
    <s v=""/>
    <s v=""/>
    <s v=""/>
    <s v=""/>
    <s v=""/>
    <s v=""/>
    <s v=""/>
    <s v=""/>
    <n v="1"/>
    <s v=""/>
    <s v=""/>
  </r>
  <r>
    <x v="0"/>
    <s v="171 East Martin Luther King Jr/ State Street"/>
    <s v="Ithaca"/>
    <s v="NY"/>
    <s v="14850"/>
    <m/>
    <m/>
    <m/>
    <m/>
    <m/>
    <m/>
    <m/>
    <m/>
    <m/>
    <m/>
    <m/>
    <s v="M"/>
    <s v="No"/>
    <s v="No NPI or MMIS"/>
    <s v="NorthRPU"/>
    <s v="P"/>
    <m/>
    <m/>
    <m/>
    <s v="Tompkins Health Network"/>
    <m/>
    <s v="No"/>
    <s v="No"/>
    <s v="No"/>
    <s v="No"/>
    <s v="No"/>
    <s v="No"/>
    <s v="No"/>
    <s v="No"/>
    <s v="No"/>
    <s v="No"/>
    <s v="No"/>
    <x v="1"/>
    <s v=""/>
    <s v=""/>
    <s v=""/>
    <s v=""/>
    <s v=""/>
    <s v=""/>
    <s v=""/>
    <s v=""/>
    <s v=""/>
    <n v="1"/>
    <s v=""/>
    <s v=""/>
  </r>
  <r>
    <x v="1"/>
    <m/>
    <m/>
    <m/>
    <m/>
    <s v="MILLER TRACY"/>
    <m/>
    <m/>
    <m/>
    <m/>
    <s v="MISHOE TRACY ANN"/>
    <s v="500 5TH AVE"/>
    <s v="OWEGO"/>
    <s v="NY"/>
    <s v="13827-1620"/>
    <s v="PHYSICIAN"/>
    <s v="M"/>
    <s v="No"/>
    <s v="MMIS"/>
    <s v="SouthRPU"/>
    <s v="P"/>
    <m/>
    <m/>
    <m/>
    <s v="Tracy A. Miller (Mishoe), FNP"/>
    <s v="E0339606"/>
    <s v="No"/>
    <s v="No"/>
    <s v="No"/>
    <s v="No"/>
    <s v="No"/>
    <s v="No"/>
    <s v="No"/>
    <s v="No"/>
    <s v="No"/>
    <s v="No"/>
    <s v="No"/>
    <x v="2"/>
    <s v=""/>
    <s v=""/>
    <s v=""/>
    <s v=""/>
    <s v=""/>
    <s v=""/>
    <s v=""/>
    <s v=""/>
    <s v=""/>
    <s v=""/>
    <n v="1"/>
    <s v=""/>
  </r>
  <r>
    <x v="0"/>
    <m/>
    <m/>
    <m/>
    <m/>
    <s v="TRAN VINH"/>
    <m/>
    <m/>
    <m/>
    <m/>
    <s v="TRAN VINH QUANG"/>
    <s v="1 GUTHRIE SQ"/>
    <s v="SAYRE"/>
    <s v="PA"/>
    <s v="18840-1625"/>
    <s v="PHYSICIAN"/>
    <s v="M"/>
    <s v="No"/>
    <s v="MMIS"/>
    <s v="SouthRPU"/>
    <s v="P"/>
    <m/>
    <m/>
    <m/>
    <s v=""/>
    <s v="E0311455"/>
    <n v="0"/>
    <n v="0"/>
    <n v="0"/>
    <n v="0"/>
    <n v="0"/>
    <n v="0"/>
    <n v="0"/>
    <n v="0"/>
    <n v="0"/>
    <n v="0"/>
    <n v="0"/>
    <x v="2"/>
    <n v="1"/>
    <s v=""/>
    <s v=""/>
    <s v=""/>
    <s v=""/>
    <s v=""/>
    <s v=""/>
    <s v=""/>
    <s v=""/>
    <s v=""/>
    <n v="1"/>
    <s v=""/>
  </r>
  <r>
    <x v="0"/>
    <m/>
    <m/>
    <m/>
    <m/>
    <s v="TRANVAAG SANDRA MRS."/>
    <m/>
    <m/>
    <m/>
    <m/>
    <s v="TRANVAAG SANDRA ROSE"/>
    <s v="179 N BROAD ST"/>
    <s v="NORWICH"/>
    <s v="NY"/>
    <s v="13815-1019"/>
    <s v="PHYSICIAN"/>
    <s v="M"/>
    <s v="No"/>
    <s v="MMIS"/>
    <s v="EastRPU"/>
    <s v="P"/>
    <m/>
    <m/>
    <m/>
    <s v="Tranvaag Sandra"/>
    <s v="E0410019"/>
    <s v="No"/>
    <s v="No"/>
    <s v="No"/>
    <s v="No"/>
    <s v="No"/>
    <s v="No"/>
    <s v="No"/>
    <s v="No"/>
    <s v="No"/>
    <s v="No"/>
    <s v="No"/>
    <x v="2"/>
    <s v=""/>
    <s v=""/>
    <s v=""/>
    <s v=""/>
    <s v=""/>
    <s v=""/>
    <s v=""/>
    <s v=""/>
    <s v=""/>
    <s v=""/>
    <n v="1"/>
    <s v=""/>
  </r>
  <r>
    <x v="0"/>
    <m/>
    <m/>
    <m/>
    <m/>
    <s v="TRAVERSE PAUL"/>
    <m/>
    <m/>
    <m/>
    <m/>
    <s v="TRAVERSE PAUL              MD"/>
    <s v="CARDIOLOGY ASSOC PC"/>
    <s v="JOHNSON CITY"/>
    <s v="NY"/>
    <s v="13790-2165"/>
    <s v="PHYSICIAN"/>
    <s v="M"/>
    <s v="No"/>
    <s v="MMIS"/>
    <s v="SouthRPU"/>
    <s v="P"/>
    <m/>
    <m/>
    <m/>
    <s v="TRAVERSE PAUL"/>
    <s v="E0223046"/>
    <s v="No"/>
    <s v="No"/>
    <s v="No"/>
    <s v="No"/>
    <s v="No"/>
    <s v="No"/>
    <s v="No"/>
    <s v="No"/>
    <s v="No"/>
    <s v="No"/>
    <s v="No"/>
    <x v="1"/>
    <n v="1"/>
    <s v=""/>
    <s v=""/>
    <s v=""/>
    <s v=""/>
    <s v=""/>
    <s v=""/>
    <s v=""/>
    <s v=""/>
    <s v=""/>
    <s v=""/>
    <s v=""/>
  </r>
  <r>
    <x v="1"/>
    <m/>
    <m/>
    <m/>
    <m/>
    <s v="FEHELEY TRICHELLE"/>
    <m/>
    <m/>
    <m/>
    <m/>
    <s v="FEHELEY TRICHELLE"/>
    <s v="1130 UPPER FRONT ST"/>
    <s v="BINGHAMTON"/>
    <s v="NY"/>
    <s v="13905-1118"/>
    <s v="PHYSICIAN"/>
    <s v="M"/>
    <s v="No"/>
    <s v="MMIS"/>
    <s v="SouthRPU"/>
    <s v="P"/>
    <m/>
    <m/>
    <m/>
    <s v="Trichelle Feheley, FNP"/>
    <s v="E0318272"/>
    <s v="No"/>
    <s v="No"/>
    <s v="No"/>
    <s v="No"/>
    <s v="No"/>
    <s v="No"/>
    <s v="No"/>
    <s v="No"/>
    <s v="No"/>
    <s v="No"/>
    <s v="No"/>
    <x v="2"/>
    <s v=""/>
    <s v=""/>
    <s v=""/>
    <s v=""/>
    <s v=""/>
    <s v=""/>
    <s v=""/>
    <s v=""/>
    <s v=""/>
    <s v=""/>
    <n v="1"/>
    <s v=""/>
  </r>
  <r>
    <x v="0"/>
    <m/>
    <m/>
    <m/>
    <m/>
    <s v="TRUMANSBURG MEDICINE PLLC"/>
    <m/>
    <m/>
    <m/>
    <m/>
    <s v="TRUMANSBURG MEDICINE PLLC"/>
    <s v="4435 SENECA RD"/>
    <s v="TRUMANSBURG"/>
    <s v="NY"/>
    <s v="14886-9201"/>
    <s v="PHYSICIANS GROUP"/>
    <s v="M"/>
    <s v="No"/>
    <s v="MMIS"/>
    <s v="NorthRPU"/>
    <s v="P"/>
    <m/>
    <m/>
    <m/>
    <s v="TRUMANSBURG MEDICINE PLLC"/>
    <s v="E0013836"/>
    <s v="No"/>
    <s v="No"/>
    <s v="No"/>
    <s v="No"/>
    <s v="No"/>
    <s v="No"/>
    <s v="No"/>
    <s v="No"/>
    <s v="No"/>
    <s v="No"/>
    <s v="No"/>
    <x v="1"/>
    <s v=""/>
    <s v=""/>
    <s v=""/>
    <s v=""/>
    <s v=""/>
    <s v=""/>
    <s v=""/>
    <s v=""/>
    <s v=""/>
    <s v=""/>
    <n v="1"/>
    <s v=""/>
  </r>
  <r>
    <x v="0"/>
    <s v="4435 Seneca Road"/>
    <s v="Trumansburg"/>
    <s v="NY"/>
    <s v="14886"/>
    <m/>
    <m/>
    <m/>
    <m/>
    <m/>
    <m/>
    <m/>
    <m/>
    <m/>
    <m/>
    <m/>
    <s v="M"/>
    <s v="No"/>
    <s v="No NPI or MMIS"/>
    <s v="NorthRPU"/>
    <s v="P"/>
    <m/>
    <m/>
    <m/>
    <s v=""/>
    <s v="Trumansburg Medicine, PLLC"/>
    <n v="1"/>
    <s v="No"/>
    <s v="No"/>
    <s v="No"/>
    <s v="No"/>
    <s v="No"/>
    <s v="No"/>
    <s v="No"/>
    <s v="No"/>
    <s v="No"/>
    <s v="No"/>
    <x v="1"/>
    <s v=""/>
    <s v=""/>
    <s v=""/>
    <s v=""/>
    <s v=""/>
    <s v=""/>
    <s v=""/>
    <s v=""/>
    <s v=""/>
    <n v="1"/>
    <s v=""/>
    <s v=""/>
  </r>
  <r>
    <x v="0"/>
    <m/>
    <m/>
    <m/>
    <m/>
    <s v="TSAY THERESIA DR."/>
    <m/>
    <m/>
    <m/>
    <m/>
    <s v="TSAY THERESIA"/>
    <s v="179 N BROAD ST"/>
    <s v="NORWICH"/>
    <s v="NY"/>
    <s v="13815-1019"/>
    <s v="PHYSICIAN"/>
    <s v="M"/>
    <s v="No"/>
    <s v="MMIS"/>
    <s v="EastRPU"/>
    <s v="P"/>
    <m/>
    <m/>
    <m/>
    <s v=""/>
    <s v="E0315072"/>
    <n v="0"/>
    <n v="0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TUNICK MICHAEL DR."/>
    <m/>
    <m/>
    <m/>
    <m/>
    <s v="TUNICK MICHAEL HILTON DO"/>
    <s v="1302 E MAIN ST"/>
    <s v="ENDICOTT"/>
    <s v="NY"/>
    <s v="13760-5430"/>
    <s v="PHYSICIAN"/>
    <s v="M"/>
    <s v="No"/>
    <s v="MMIS"/>
    <s v="SouthRPU"/>
    <s v="P"/>
    <m/>
    <m/>
    <m/>
    <s v="TUNICK MICHAEL DR."/>
    <s v="E0041947"/>
    <s v="No"/>
    <s v="No"/>
    <s v="No"/>
    <s v="No"/>
    <s v="No"/>
    <s v="No"/>
    <s v="No"/>
    <s v="No"/>
    <s v="No"/>
    <s v="No"/>
    <s v="No"/>
    <x v="2"/>
    <s v=""/>
    <s v=""/>
    <s v=""/>
    <s v=""/>
    <s v=""/>
    <s v=""/>
    <s v=""/>
    <s v=""/>
    <s v=""/>
    <s v=""/>
    <n v="1"/>
    <s v=""/>
  </r>
  <r>
    <x v="0"/>
    <m/>
    <m/>
    <m/>
    <m/>
    <s v="TURNER MARGARET"/>
    <s v="2805 CINCINNATUS ROAD"/>
    <s v="CINCINNATUS"/>
    <s v="NY"/>
    <s v="13040"/>
    <m/>
    <m/>
    <m/>
    <m/>
    <m/>
    <m/>
    <s v="M"/>
    <s v="No"/>
    <s v="NPI only"/>
    <s v="NorthRPU"/>
    <s v="P"/>
    <m/>
    <m/>
    <m/>
    <s v="TURNER MARGARET"/>
    <m/>
    <s v="No"/>
    <s v="No"/>
    <s v="No"/>
    <s v="No"/>
    <s v="No"/>
    <s v="No"/>
    <s v="No"/>
    <s v="No"/>
    <s v="No"/>
    <s v="No"/>
    <s v="No"/>
    <x v="1"/>
    <s v=""/>
    <s v=""/>
    <s v=""/>
    <s v=""/>
    <s v=""/>
    <s v=""/>
    <s v=""/>
    <s v=""/>
    <s v=""/>
    <s v=""/>
    <s v=""/>
    <n v="1"/>
  </r>
  <r>
    <x v="0"/>
    <m/>
    <m/>
    <m/>
    <m/>
    <s v="TWIN TIER HOME HEALTH, INC."/>
    <m/>
    <m/>
    <m/>
    <m/>
    <s v="TWIN TIER HOME HEALTH     INC"/>
    <s v="601 RIVERSIDE DR"/>
    <s v="JOHNSON CITY"/>
    <s v="NY"/>
    <s v="13790-2544"/>
    <s v="HOME HEALTH AGENCY"/>
    <s v="M"/>
    <s v="No"/>
    <s v="MMIS"/>
    <s v="SouthRPU"/>
    <s v="P"/>
    <m/>
    <m/>
    <m/>
    <s v=""/>
    <s v="E0231334"/>
    <n v="0"/>
    <n v="0"/>
    <n v="0"/>
    <n v="0"/>
    <n v="0"/>
    <n v="0"/>
    <n v="0"/>
    <n v="0"/>
    <n v="0"/>
    <n v="0"/>
    <n v="0"/>
    <x v="1"/>
    <s v=""/>
    <s v=""/>
    <s v=""/>
    <s v=""/>
    <s v=""/>
    <s v=""/>
    <s v=""/>
    <s v=""/>
    <n v="1"/>
    <s v=""/>
    <n v="1"/>
    <s v=""/>
  </r>
  <r>
    <x v="0"/>
    <m/>
    <m/>
    <m/>
    <m/>
    <s v="KOZARSKI TZVETAN DR."/>
    <m/>
    <m/>
    <m/>
    <m/>
    <s v="KOZARSKI TZVETAN BORISSOV"/>
    <s v="33-57 HARRISON STREET"/>
    <s v="JOHNSON CITY"/>
    <s v="NY"/>
    <s v="13790-2174"/>
    <s v="PHYSICIAN"/>
    <s v="M"/>
    <s v="No"/>
    <s v="MMIS"/>
    <s v="SouthRPU"/>
    <s v="P"/>
    <m/>
    <m/>
    <m/>
    <s v=""/>
    <s v="E0293993"/>
    <n v="1"/>
    <n v="1"/>
    <n v="0"/>
    <n v="1"/>
    <n v="1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1"/>
    <m/>
    <m/>
    <m/>
    <m/>
    <s v="UNITED CEREBRAL PALSY ASSOC OF NYS INC"/>
    <m/>
    <m/>
    <m/>
    <m/>
    <s v="UCP ASSO OF NYS STATEN IS"/>
    <s v="2324 FOREST AVE"/>
    <s v="STATEN ISLAND"/>
    <s v="NY"/>
    <s v="10303-1506"/>
    <s v="DIAGNOSTIC AND TREATMENT CENTER"/>
    <s v="M"/>
    <s v="No"/>
    <s v="MMIS"/>
    <s v="SouthRPU"/>
    <s v="P"/>
    <m/>
    <m/>
    <m/>
    <s v="UCP ASSO OF NYS STATEN IS"/>
    <s v="E0205030"/>
    <s v="No"/>
    <s v="No"/>
    <s v="No"/>
    <s v="No"/>
    <s v="No"/>
    <s v="No"/>
    <s v="No"/>
    <s v="No"/>
    <s v="No"/>
    <s v="No"/>
    <s v="No"/>
    <x v="1"/>
    <s v=""/>
    <s v=""/>
    <n v="1"/>
    <s v=""/>
    <s v=""/>
    <s v=""/>
    <s v=""/>
    <s v=""/>
    <s v=""/>
    <s v=""/>
    <n v="1"/>
    <s v=""/>
  </r>
  <r>
    <x v="1"/>
    <m/>
    <m/>
    <m/>
    <m/>
    <s v="UMH ECM CORP"/>
    <m/>
    <m/>
    <m/>
    <m/>
    <s v="ELIZABETH CHURCH MANOR NH"/>
    <s v="863 UPPER FRONT ST"/>
    <s v="BINGHAMTON"/>
    <s v="NY"/>
    <s v="13905-1540"/>
    <s v="LONG TERM CARE FACILITY"/>
    <s v="M"/>
    <s v="No"/>
    <s v="MMIS"/>
    <s v="SouthRPU"/>
    <s v="P"/>
    <m/>
    <m/>
    <m/>
    <s v=""/>
    <s v="E0257031"/>
    <n v="1"/>
    <n v="0"/>
    <n v="1"/>
    <n v="0"/>
    <n v="0"/>
    <n v="0"/>
    <n v="0"/>
    <n v="0"/>
    <n v="0"/>
    <n v="0"/>
    <n v="0"/>
    <x v="1"/>
    <s v=""/>
    <s v=""/>
    <s v=""/>
    <s v=""/>
    <s v=""/>
    <s v=""/>
    <n v="1"/>
    <s v=""/>
    <s v=""/>
    <s v=""/>
    <n v="1"/>
    <s v=""/>
  </r>
  <r>
    <x v="1"/>
    <m/>
    <m/>
    <m/>
    <m/>
    <s v="UNITED CEREBRAL PALSY ASSOC OF NYS INC"/>
    <m/>
    <m/>
    <m/>
    <m/>
    <s v="UCP ASSO OF NYS STATEN IS"/>
    <s v="2324 FOREST AVE"/>
    <s v="STATEN ISLAND"/>
    <s v="NY"/>
    <s v="10303-1506"/>
    <s v="DIAGNOSTIC AND TREATMENT CENTER"/>
    <s v="M"/>
    <s v="No"/>
    <s v="MMIS"/>
    <s v="SouthRPU"/>
    <s v="P"/>
    <m/>
    <m/>
    <m/>
    <s v="UNITED CEREBRAL PALSY ASSOC OF NYS INC"/>
    <s v="E0205030"/>
    <s v="No"/>
    <s v="No"/>
    <s v="No"/>
    <s v="No"/>
    <s v="No"/>
    <s v="No"/>
    <s v="No"/>
    <s v="No"/>
    <s v="No"/>
    <s v="No"/>
    <s v="No"/>
    <x v="1"/>
    <s v=""/>
    <s v=""/>
    <n v="1"/>
    <s v=""/>
    <s v=""/>
    <s v=""/>
    <s v=""/>
    <s v=""/>
    <s v=""/>
    <s v=""/>
    <n v="1"/>
    <s v=""/>
  </r>
  <r>
    <x v="1"/>
    <m/>
    <m/>
    <m/>
    <m/>
    <s v="UNITED HEALTH SERVICES HOSPITALS, INC"/>
    <m/>
    <m/>
    <m/>
    <m/>
    <s v="UNITED HEALTH SERV HOSP INC"/>
    <s v="33 N HARRISON ST # 57"/>
    <s v="JOHNSON CITY"/>
    <s v="NY"/>
    <s v="13790-1407"/>
    <s v="MULTI-TYPE"/>
    <s v="L"/>
    <s v="No"/>
    <s v="MMIS"/>
    <s v="SouthRPU"/>
    <s v="P"/>
    <m/>
    <m/>
    <m/>
    <s v=""/>
    <s v="E0238207"/>
    <n v="1"/>
    <n v="1"/>
    <n v="0"/>
    <n v="1"/>
    <n v="1"/>
    <n v="1"/>
    <n v="1"/>
    <n v="0"/>
    <n v="1"/>
    <n v="0"/>
    <n v="0"/>
    <x v="1"/>
    <s v=""/>
    <n v="1"/>
    <n v="1"/>
    <n v="1"/>
    <n v="1"/>
    <n v="1"/>
    <s v=""/>
    <s v=""/>
    <s v=""/>
    <s v=""/>
    <n v="1"/>
    <s v=""/>
  </r>
  <r>
    <x v="1"/>
    <m/>
    <m/>
    <m/>
    <m/>
    <s v="UNITED HEALTH SERVICES HOSPITALS, INC."/>
    <m/>
    <m/>
    <m/>
    <m/>
    <s v="UNITED HEALTH SERV HOSP INC"/>
    <s v="CHAS S WILSON HSP"/>
    <s v="JOHNSON CITY"/>
    <s v="NY"/>
    <s v="13790-2107"/>
    <s v="MULTI-TYPE"/>
    <s v="M"/>
    <s v="No"/>
    <s v="MMIS"/>
    <s v="SouthRPU"/>
    <s v="P"/>
    <m/>
    <m/>
    <m/>
    <s v=""/>
    <s v="E0238207"/>
    <n v="1"/>
    <n v="1"/>
    <n v="0"/>
    <n v="1"/>
    <n v="1"/>
    <n v="1"/>
    <n v="1"/>
    <n v="0"/>
    <n v="1"/>
    <n v="0"/>
    <n v="1"/>
    <x v="1"/>
    <s v=""/>
    <n v="1"/>
    <n v="1"/>
    <n v="1"/>
    <n v="1"/>
    <n v="1"/>
    <s v=""/>
    <s v=""/>
    <s v=""/>
    <s v=""/>
    <n v="1"/>
    <s v=""/>
  </r>
  <r>
    <x v="0"/>
    <m/>
    <m/>
    <m/>
    <m/>
    <s v="UNITED MEDICAL ASSOCIATES PC"/>
    <m/>
    <m/>
    <m/>
    <m/>
    <s v="UNITED MEDICAL ASSOCIATES PC"/>
    <s v="601 RIVERSIDE DR"/>
    <s v="JOHNSON CITY"/>
    <s v="NY"/>
    <s v="13790-2544"/>
    <s v="MULTI-TYPE"/>
    <s v="M"/>
    <s v="No"/>
    <s v="MMIS"/>
    <s v="SouthRPU"/>
    <s v="P"/>
    <m/>
    <m/>
    <m/>
    <s v=""/>
    <s v="E0157215"/>
    <n v="0"/>
    <n v="0"/>
    <n v="0"/>
    <n v="0"/>
    <n v="0"/>
    <n v="0"/>
    <n v="0"/>
    <n v="0"/>
    <n v="0"/>
    <n v="0"/>
    <n v="0"/>
    <x v="1"/>
    <s v=""/>
    <s v=""/>
    <s v=""/>
    <s v=""/>
    <s v=""/>
    <s v=""/>
    <s v=""/>
    <s v=""/>
    <s v=""/>
    <s v=""/>
    <n v="1"/>
    <s v=""/>
  </r>
  <r>
    <x v="0"/>
    <s v="P.O. Box 550"/>
    <s v="Binghamton"/>
    <s v="NY"/>
    <s v="13902-0550"/>
    <m/>
    <m/>
    <m/>
    <m/>
    <m/>
    <m/>
    <m/>
    <m/>
    <m/>
    <m/>
    <m/>
    <s v="M"/>
    <s v="No"/>
    <s v="No NPI or MMIS"/>
    <s v="SouthRPU"/>
    <s v="P"/>
    <m/>
    <m/>
    <m/>
    <s v=""/>
    <s v="United Way of Broome County, Inc."/>
    <n v="1"/>
    <m/>
    <m/>
    <n v="1"/>
    <n v="1"/>
    <s v="No"/>
    <s v="No"/>
    <s v="No"/>
    <s v="No"/>
    <s v="No"/>
    <s v="No"/>
    <x v="1"/>
    <s v=""/>
    <s v=""/>
    <s v=""/>
    <s v=""/>
    <s v=""/>
    <s v=""/>
    <s v=""/>
    <s v=""/>
    <s v=""/>
    <n v="1"/>
    <s v=""/>
    <s v=""/>
  </r>
  <r>
    <x v="0"/>
    <m/>
    <m/>
    <m/>
    <m/>
    <m/>
    <m/>
    <m/>
    <m/>
    <m/>
    <s v="UNITY HOUSE OF CAYUGA CO SPT"/>
    <s v="SUPPORTIVE"/>
    <s v="ITHACA"/>
    <s v="NY"/>
    <s v="14850-9999"/>
    <s v="HOME HEALTH AGENCY"/>
    <s v="M"/>
    <s v="No"/>
    <s v="MMIS"/>
    <s v="NorthRPU"/>
    <s v="P"/>
    <m/>
    <m/>
    <m/>
    <s v=""/>
    <s v="E0025826"/>
    <n v="0"/>
    <n v="0"/>
    <n v="0"/>
    <n v="0"/>
    <n v="0"/>
    <n v="0"/>
    <n v="0"/>
    <n v="0"/>
    <n v="0"/>
    <n v="0"/>
    <n v="0"/>
    <x v="1"/>
    <s v=""/>
    <s v=""/>
    <s v=""/>
    <s v=""/>
    <s v=""/>
    <s v=""/>
    <s v=""/>
    <s v=""/>
    <s v=""/>
    <s v=""/>
    <n v="1"/>
    <s v=""/>
  </r>
  <r>
    <x v="0"/>
    <m/>
    <m/>
    <m/>
    <m/>
    <m/>
    <m/>
    <m/>
    <m/>
    <m/>
    <s v="UNITY HOUSE OF CAYUGA CO SPV"/>
    <s v="SUPERVISED"/>
    <s v="AUBURN"/>
    <s v="NY"/>
    <s v="13021-4838"/>
    <s v="HOME HEALTH AGENCY"/>
    <s v="M"/>
    <s v="No"/>
    <s v="MMIS"/>
    <s v="NorthRPU"/>
    <s v="P"/>
    <m/>
    <m/>
    <m/>
    <s v=""/>
    <s v="E0074808"/>
    <n v="0"/>
    <n v="0"/>
    <n v="0"/>
    <n v="0"/>
    <n v="0"/>
    <n v="0"/>
    <n v="0"/>
    <n v="0"/>
    <n v="0"/>
    <n v="0"/>
    <n v="0"/>
    <x v="1"/>
    <s v=""/>
    <s v=""/>
    <s v=""/>
    <s v=""/>
    <s v=""/>
    <s v=""/>
    <s v=""/>
    <s v=""/>
    <s v=""/>
    <s v=""/>
    <n v="1"/>
    <s v=""/>
  </r>
  <r>
    <x v="1"/>
    <m/>
    <m/>
    <m/>
    <m/>
    <s v="UNITY HOUSE OF CAYUGA COUNTY, INC."/>
    <m/>
    <m/>
    <m/>
    <m/>
    <s v="UNITY HOUSE CAYUGA CO INC"/>
    <s v="56 GRANT AVE APT 5 &amp; 6"/>
    <s v="AUBURN"/>
    <s v="NY"/>
    <s v="13021-2152"/>
    <s v="MULTI-TYPE"/>
    <s v="M"/>
    <s v="No"/>
    <s v="MMIS"/>
    <s v="NorthRPU"/>
    <s v="P"/>
    <m/>
    <m/>
    <m/>
    <s v=""/>
    <s v="E0154469"/>
    <n v="0"/>
    <n v="0"/>
    <n v="0"/>
    <n v="0"/>
    <n v="0"/>
    <n v="0"/>
    <n v="0"/>
    <n v="0"/>
    <n v="0"/>
    <n v="0"/>
    <n v="0"/>
    <x v="1"/>
    <s v=""/>
    <s v=""/>
    <s v=""/>
    <s v=""/>
    <n v="1"/>
    <s v=""/>
    <s v=""/>
    <s v=""/>
    <s v=""/>
    <s v=""/>
    <s v=""/>
    <s v=""/>
  </r>
  <r>
    <x v="0"/>
    <m/>
    <m/>
    <m/>
    <m/>
    <m/>
    <m/>
    <m/>
    <m/>
    <m/>
    <s v="UNITY HOUSE OF CAYUGA CTY SMP"/>
    <s v="REGION OUTSIDE NYC"/>
    <s v="AUBURN"/>
    <s v="NY"/>
    <s v="13021-4838"/>
    <s v="HOME HEALTH AGENCY"/>
    <s v="M"/>
    <s v="No"/>
    <s v="MMIS"/>
    <s v="NorthRPU"/>
    <s v="P"/>
    <m/>
    <m/>
    <m/>
    <s v=""/>
    <s v="E0083143"/>
    <n v="0"/>
    <n v="0"/>
    <n v="0"/>
    <n v="0"/>
    <n v="0"/>
    <n v="0"/>
    <n v="0"/>
    <n v="0"/>
    <n v="0"/>
    <n v="0"/>
    <n v="0"/>
    <x v="1"/>
    <s v=""/>
    <s v=""/>
    <s v=""/>
    <s v=""/>
    <s v=""/>
    <s v=""/>
    <s v=""/>
    <s v=""/>
    <s v=""/>
    <s v=""/>
    <n v="1"/>
    <s v=""/>
  </r>
  <r>
    <x v="0"/>
    <m/>
    <m/>
    <m/>
    <m/>
    <m/>
    <m/>
    <m/>
    <m/>
    <m/>
    <s v="UNITY HS CAYUGA CO INC DAY"/>
    <s v="GROUP DAY HAB"/>
    <s v="AUBURN"/>
    <s v="NY"/>
    <s v="13021-4838"/>
    <s v="HOME HEALTH AGENCY"/>
    <s v="M"/>
    <s v="No"/>
    <s v="MMIS"/>
    <s v="NorthRPU"/>
    <s v="P"/>
    <m/>
    <m/>
    <m/>
    <s v=""/>
    <s v="E0029846"/>
    <n v="0"/>
    <n v="0"/>
    <n v="0"/>
    <n v="0"/>
    <n v="0"/>
    <n v="0"/>
    <n v="0"/>
    <n v="0"/>
    <n v="0"/>
    <n v="0"/>
    <n v="0"/>
    <x v="1"/>
    <s v=""/>
    <s v=""/>
    <s v=""/>
    <s v=""/>
    <s v=""/>
    <s v=""/>
    <s v=""/>
    <s v=""/>
    <s v=""/>
    <s v=""/>
    <n v="1"/>
    <s v=""/>
  </r>
  <r>
    <x v="0"/>
    <m/>
    <m/>
    <m/>
    <m/>
    <s v="VAHEDI MITHAQ DR."/>
    <m/>
    <m/>
    <m/>
    <m/>
    <s v="VAHEDI MITHAQ"/>
    <s v="33-57 HARRISON STREET"/>
    <s v="JOHNSON CITY"/>
    <s v="NY"/>
    <s v="13790-2107"/>
    <s v="PHYSICIAN"/>
    <s v="M"/>
    <s v="No"/>
    <s v="MMIS"/>
    <s v="SouthRPU"/>
    <s v="P"/>
    <m/>
    <m/>
    <m/>
    <s v="VAHEDI MITHAQ DR."/>
    <s v="E0407388"/>
    <s v="No"/>
    <s v="No"/>
    <s v="No"/>
    <s v="No"/>
    <s v="No"/>
    <s v="No"/>
    <s v="No"/>
    <s v="No"/>
    <s v="No"/>
    <s v="No"/>
    <s v="No"/>
    <x v="1"/>
    <n v="1"/>
    <s v=""/>
    <s v=""/>
    <s v=""/>
    <s v=""/>
    <s v=""/>
    <s v=""/>
    <s v=""/>
    <s v=""/>
    <s v=""/>
    <s v=""/>
    <s v=""/>
  </r>
  <r>
    <x v="0"/>
    <m/>
    <m/>
    <m/>
    <m/>
    <s v="ROSS VALERIE"/>
    <m/>
    <m/>
    <m/>
    <m/>
    <s v="ROSS VALERIE HOWARTH"/>
    <s v="1129 COMMONS AVE"/>
    <s v="CORTLAND"/>
    <s v="NY"/>
    <s v="13045-1651"/>
    <s v="PHYSICIAN"/>
    <s v="M"/>
    <s v="No"/>
    <s v="MMIS"/>
    <s v="NorthRPU"/>
    <s v="P"/>
    <m/>
    <m/>
    <m/>
    <s v=""/>
    <s v="E0382391"/>
    <n v="1"/>
    <n v="1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FRANZESE-LYNCH VALLERIE"/>
    <m/>
    <m/>
    <m/>
    <m/>
    <s v="FRANZESE-LYNCH VALLERIE"/>
    <s v="220 STEUBEN ST"/>
    <s v="MONTOUR FALLS"/>
    <s v="NY"/>
    <s v="14865-9740"/>
    <s v="PHYSICIAN"/>
    <s v="M"/>
    <s v="No"/>
    <s v="MMIS"/>
    <s v="NorthRPU"/>
    <s v="P"/>
    <m/>
    <m/>
    <m/>
    <s v=""/>
    <s v="E0049156"/>
    <n v="1"/>
    <n v="1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VALLONE JENNIFER MS."/>
    <s v="800 IRVING AVE"/>
    <s v="SYRACUSE"/>
    <s v="NY"/>
    <s v="13210"/>
    <m/>
    <m/>
    <m/>
    <m/>
    <m/>
    <m/>
    <s v="M"/>
    <s v="No"/>
    <s v="NPI only"/>
    <s v="SouthRPU"/>
    <s v="P"/>
    <m/>
    <m/>
    <m/>
    <s v="VALLONE JENNIFER MS."/>
    <m/>
    <s v="No"/>
    <s v="No"/>
    <s v="No"/>
    <s v="No"/>
    <s v="No"/>
    <s v="No"/>
    <s v="No"/>
    <s v="No"/>
    <s v="No"/>
    <s v="No"/>
    <s v="No"/>
    <x v="1"/>
    <s v=""/>
    <s v=""/>
    <s v=""/>
    <s v=""/>
    <s v=""/>
    <s v=""/>
    <s v=""/>
    <s v=""/>
    <s v=""/>
    <s v=""/>
    <s v=""/>
    <n v="1"/>
  </r>
  <r>
    <x v="0"/>
    <m/>
    <m/>
    <m/>
    <m/>
    <s v="VAN INGEN LAURIE"/>
    <m/>
    <m/>
    <m/>
    <m/>
    <s v="VAN INGEN LAURIE KUHN"/>
    <s v="415 HOOPER RD"/>
    <s v="ENDWELL"/>
    <s v="NY"/>
    <s v="13760-3646"/>
    <s v="PHYSICIAN"/>
    <s v="M"/>
    <s v="No"/>
    <s v="MMIS"/>
    <s v="SouthRPU"/>
    <s v="P"/>
    <m/>
    <m/>
    <m/>
    <s v="VAN INGEN LAURIE"/>
    <s v="E0301565"/>
    <s v="No"/>
    <s v="No"/>
    <s v="No"/>
    <s v="No"/>
    <s v="No"/>
    <s v="No"/>
    <s v="No"/>
    <s v="No"/>
    <s v="No"/>
    <s v="No"/>
    <s v="No"/>
    <x v="1"/>
    <n v="1"/>
    <s v=""/>
    <s v=""/>
    <s v=""/>
    <s v=""/>
    <s v=""/>
    <s v=""/>
    <s v=""/>
    <s v=""/>
    <s v=""/>
    <n v="1"/>
    <s v=""/>
  </r>
  <r>
    <x v="0"/>
    <m/>
    <m/>
    <m/>
    <m/>
    <s v="DWYER MORGAN MRS."/>
    <m/>
    <m/>
    <m/>
    <m/>
    <s v="DWYER MORGAN JOY RPA"/>
    <s v="1 GUTHRIE SQ"/>
    <s v="SAYRE"/>
    <s v="PA"/>
    <s v="18840-1625"/>
    <s v="PHYSICIAN"/>
    <s v="M"/>
    <s v="No"/>
    <s v="MMIS"/>
    <s v="SouthRPU"/>
    <s v="P"/>
    <m/>
    <m/>
    <m/>
    <s v=""/>
    <s v="E0287624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VANDERMEER THOMAS DR."/>
    <m/>
    <m/>
    <m/>
    <m/>
    <s v="VANDERMEER THOMAS J MD"/>
    <s v="GUTHRIE CLINICS"/>
    <s v="SAYRE"/>
    <s v="PA"/>
    <s v="18840"/>
    <s v="PHYSICIAN"/>
    <s v="M"/>
    <s v="No"/>
    <s v="MMIS"/>
    <s v="SouthRPU"/>
    <s v="P"/>
    <m/>
    <m/>
    <m/>
    <s v=""/>
    <s v="E0112377"/>
    <n v="1"/>
    <n v="1"/>
    <n v="0"/>
    <n v="0"/>
    <n v="0"/>
    <n v="0"/>
    <n v="0"/>
    <n v="0"/>
    <n v="0"/>
    <n v="1"/>
    <n v="0"/>
    <x v="1"/>
    <n v="1"/>
    <s v=""/>
    <s v=""/>
    <s v=""/>
    <s v=""/>
    <s v=""/>
    <s v=""/>
    <s v=""/>
    <s v=""/>
    <s v=""/>
    <n v="1"/>
    <s v=""/>
  </r>
  <r>
    <x v="0"/>
    <m/>
    <m/>
    <m/>
    <m/>
    <s v="VARN MARIANNE MS."/>
    <m/>
    <m/>
    <m/>
    <m/>
    <s v="VARN MARIANNE DOUGAN"/>
    <s v="16 BRENTWOOD DR"/>
    <s v="ITHACA"/>
    <s v="NY"/>
    <s v="14850-1863"/>
    <s v="PHYSICIAN"/>
    <s v="M"/>
    <s v="No"/>
    <s v="MMIS"/>
    <s v="NorthRPU"/>
    <s v="P"/>
    <m/>
    <m/>
    <m/>
    <s v="Varn Marianne"/>
    <s v="E0151946"/>
    <s v="No"/>
    <s v="No"/>
    <s v="No"/>
    <s v="No"/>
    <s v="No"/>
    <s v="No"/>
    <s v="No"/>
    <s v="No"/>
    <s v="No"/>
    <s v="No"/>
    <s v="No"/>
    <x v="2"/>
    <s v=""/>
    <s v=""/>
    <s v=""/>
    <s v=""/>
    <s v=""/>
    <s v=""/>
    <s v=""/>
    <s v=""/>
    <s v=""/>
    <s v=""/>
    <n v="1"/>
    <s v=""/>
  </r>
  <r>
    <x v="0"/>
    <m/>
    <m/>
    <m/>
    <m/>
    <s v="JAYARAMAN VENKATESH"/>
    <m/>
    <m/>
    <m/>
    <m/>
    <s v="JAYARAMAN VENKATESH B"/>
    <s v="134 HOMER AVE"/>
    <s v="CORTLAND"/>
    <s v="NY"/>
    <s v="13045-1206"/>
    <s v="PHYSICIAN"/>
    <s v="M"/>
    <s v="No"/>
    <s v="MMIS"/>
    <s v="NorthRPU"/>
    <s v="P"/>
    <m/>
    <m/>
    <m/>
    <s v=""/>
    <s v="E0020547"/>
    <n v="1"/>
    <n v="1"/>
    <n v="0"/>
    <n v="1"/>
    <n v="1"/>
    <n v="0"/>
    <n v="0"/>
    <n v="1"/>
    <n v="0"/>
    <n v="0"/>
    <n v="1"/>
    <x v="2"/>
    <s v=""/>
    <s v=""/>
    <s v=""/>
    <s v=""/>
    <s v=""/>
    <s v=""/>
    <s v=""/>
    <s v=""/>
    <s v=""/>
    <s v=""/>
    <n v="1"/>
    <s v=""/>
  </r>
  <r>
    <x v="0"/>
    <m/>
    <m/>
    <m/>
    <m/>
    <s v="VENKATESH GOVINDARAJAN DR."/>
    <m/>
    <m/>
    <m/>
    <m/>
    <s v="VENKATESH GOVINDARAJAN MD"/>
    <s v="GUTHRIE CLINIC LTD"/>
    <s v="SAYRE"/>
    <s v="PA"/>
    <s v="18840"/>
    <s v="PHYSICIAN"/>
    <s v="M"/>
    <s v="No"/>
    <s v="MMIS"/>
    <s v="SouthRPU"/>
    <s v="P"/>
    <m/>
    <m/>
    <m/>
    <s v=""/>
    <s v="E0062190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1"/>
    <m/>
    <m/>
    <m/>
    <m/>
    <s v="VRNC LLC"/>
    <m/>
    <m/>
    <m/>
    <m/>
    <s v="VESTAL PARK REHAB &amp; NURSING CTR"/>
    <s v="105 W SHEEDY RD"/>
    <s v="VESTAL"/>
    <s v="NY"/>
    <s v="13850-3334"/>
    <s v="LONG TERM CARE FACILITY"/>
    <s v="M"/>
    <s v="No"/>
    <s v="MMIS"/>
    <s v="SouthRPU"/>
    <s v="P"/>
    <m/>
    <m/>
    <m/>
    <s v=""/>
    <s v="E0330370"/>
    <n v="1"/>
    <n v="0"/>
    <n v="1"/>
    <n v="0"/>
    <n v="0"/>
    <n v="0"/>
    <n v="0"/>
    <n v="0"/>
    <n v="0"/>
    <n v="0"/>
    <n v="0"/>
    <x v="1"/>
    <s v=""/>
    <s v=""/>
    <s v=""/>
    <s v=""/>
    <s v=""/>
    <s v=""/>
    <n v="1"/>
    <s v=""/>
    <s v=""/>
    <s v=""/>
    <n v="1"/>
    <s v=""/>
  </r>
  <r>
    <x v="0"/>
    <m/>
    <m/>
    <m/>
    <m/>
    <s v="MIRZA VICTORIA"/>
    <m/>
    <m/>
    <m/>
    <m/>
    <s v="MIRZA VICTORIA MIRUNA MD"/>
    <s v="MONTEFIORE MED GRP"/>
    <s v="BRONX"/>
    <s v="NY"/>
    <s v="10467-2490"/>
    <s v="PHYSICIAN"/>
    <s v="M"/>
    <s v="No"/>
    <s v="MMIS"/>
    <s v="SouthRPU"/>
    <s v="P"/>
    <m/>
    <m/>
    <m/>
    <s v=""/>
    <s v="E0039979"/>
    <n v="0"/>
    <n v="0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s v=""/>
    <s v=""/>
  </r>
  <r>
    <x v="1"/>
    <m/>
    <m/>
    <m/>
    <m/>
    <s v="VIDAL CARMEN"/>
    <m/>
    <m/>
    <m/>
    <m/>
    <s v="VIDAL CARMEN M DDS"/>
    <s v="224 S GEDDES ST"/>
    <s v="SYRACUSE"/>
    <s v="NY"/>
    <s v="13204-2809"/>
    <s v="DENTIST"/>
    <s v="M"/>
    <s v="No"/>
    <s v="MMIS"/>
    <s v="NorthRPU"/>
    <s v="P"/>
    <m/>
    <m/>
    <m/>
    <s v=""/>
    <s v="E0306462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VIEUX JUDY"/>
    <m/>
    <m/>
    <m/>
    <m/>
    <s v="VIEUX JUDY"/>
    <s v="257 MAIN ST"/>
    <s v="BINGHAMTON"/>
    <s v="NY"/>
    <s v="13905-2522"/>
    <s v="CLINICAL SOCIAL WORKER (CSW)"/>
    <s v="M"/>
    <s v="No"/>
    <s v="MMIS"/>
    <s v="SouthRPU"/>
    <s v="P"/>
    <m/>
    <m/>
    <m/>
    <s v=""/>
    <s v="E0304542"/>
    <n v="0"/>
    <n v="0"/>
    <n v="0"/>
    <n v="0"/>
    <n v="0"/>
    <n v="0"/>
    <n v="0"/>
    <n v="0"/>
    <n v="0"/>
    <n v="0"/>
    <n v="0"/>
    <x v="1"/>
    <n v="1"/>
    <s v=""/>
    <s v=""/>
    <s v=""/>
    <n v="1"/>
    <s v=""/>
    <s v=""/>
    <s v=""/>
    <s v=""/>
    <s v=""/>
    <s v=""/>
    <s v=""/>
  </r>
  <r>
    <x v="0"/>
    <m/>
    <m/>
    <m/>
    <m/>
    <s v="LEONTI VINCENT DR."/>
    <m/>
    <m/>
    <m/>
    <m/>
    <s v="LEONTI VINCENT             MD"/>
    <s v="99 E STATE ST"/>
    <s v="GLOVERSVILLE"/>
    <s v="NY"/>
    <s v="12078-1203"/>
    <s v="PHYSICIAN"/>
    <s v="M"/>
    <s v="No"/>
    <s v="MMIS"/>
    <s v="SouthRPU"/>
    <s v="P"/>
    <m/>
    <m/>
    <m/>
    <s v=""/>
    <s v="E0215169"/>
    <n v="1"/>
    <n v="1"/>
    <n v="0"/>
    <n v="1"/>
    <n v="1"/>
    <n v="1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MONAGHAN VIOLA MRS."/>
    <m/>
    <m/>
    <m/>
    <m/>
    <s v="MONAGHAN VIOLA PEACHEY MD"/>
    <s v="SCHUYLER HSP"/>
    <s v="OVID"/>
    <s v="NY"/>
    <s v="14521-9701"/>
    <s v="PHYSICIAN"/>
    <s v="M"/>
    <s v="No"/>
    <s v="MMIS"/>
    <s v="NorthRPU"/>
    <s v="P"/>
    <m/>
    <m/>
    <m/>
    <s v=""/>
    <s v="E0096003"/>
    <n v="1"/>
    <n v="1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s v=""/>
    <s v=""/>
  </r>
  <r>
    <x v="1"/>
    <m/>
    <m/>
    <m/>
    <m/>
    <s v="VISITING NURSE SERVICE OF ITHACA AND TOMPKINS COUNTY INC"/>
    <m/>
    <m/>
    <m/>
    <m/>
    <s v="VNS ITHACA &amp; TOMPKINS CO INC"/>
    <s v="TOMPKINS"/>
    <s v="ITHACA"/>
    <s v="NY"/>
    <s v="14850-5124"/>
    <s v="HOME HEALTH AGENCY"/>
    <s v="M"/>
    <s v="No"/>
    <s v="MMIS"/>
    <s v="NorthRPU"/>
    <s v="P"/>
    <m/>
    <m/>
    <m/>
    <s v=""/>
    <s v="E0206270"/>
    <n v="1"/>
    <n v="1"/>
    <n v="0"/>
    <n v="1"/>
    <n v="0"/>
    <n v="0"/>
    <n v="0"/>
    <n v="0"/>
    <n v="0"/>
    <n v="0"/>
    <n v="0"/>
    <x v="1"/>
    <s v=""/>
    <s v=""/>
    <s v=""/>
    <s v=""/>
    <s v=""/>
    <s v=""/>
    <s v=""/>
    <s v=""/>
    <s v=""/>
    <s v=""/>
    <n v="1"/>
    <s v=""/>
  </r>
  <r>
    <x v="0"/>
    <m/>
    <m/>
    <m/>
    <m/>
    <s v="VITELLAS MICHAIL DR."/>
    <m/>
    <m/>
    <m/>
    <m/>
    <s v="VITELLAS MICHAIL"/>
    <s v="30 HARRISON ST  STE 250"/>
    <s v="JOHNSON CITY"/>
    <s v="NY"/>
    <s v="13790-2161"/>
    <s v="PHYSICIAN"/>
    <s v="M"/>
    <s v="No"/>
    <s v="MMIS"/>
    <s v="SouthRPU"/>
    <s v="P"/>
    <m/>
    <m/>
    <m/>
    <s v="VITELLAS MICHAIL DR."/>
    <s v="E0386353"/>
    <s v="No"/>
    <s v="No"/>
    <s v="No"/>
    <s v="No"/>
    <s v="No"/>
    <s v="No"/>
    <s v="No"/>
    <s v="No"/>
    <s v="No"/>
    <s v="No"/>
    <s v="No"/>
    <x v="1"/>
    <n v="1"/>
    <s v=""/>
    <s v=""/>
    <s v=""/>
    <s v=""/>
    <s v=""/>
    <s v=""/>
    <s v=""/>
    <s v=""/>
    <s v=""/>
    <s v=""/>
    <s v=""/>
  </r>
  <r>
    <x v="0"/>
    <m/>
    <m/>
    <m/>
    <m/>
    <s v="KANDANATI VIVEK VARDHAN REDDY DR."/>
    <m/>
    <m/>
    <m/>
    <m/>
    <s v="KANDANATI VIVEK VARDHAN REDDY MD"/>
    <s v="33-57 HARRISON ST"/>
    <s v="JOHNSON CITY"/>
    <s v="NY"/>
    <s v="13790-2107"/>
    <s v="PHYSICIAN"/>
    <s v="M"/>
    <s v="No"/>
    <s v="MMIS"/>
    <s v="SouthRPU"/>
    <s v="P"/>
    <m/>
    <m/>
    <m/>
    <s v=""/>
    <s v="E0322146"/>
    <n v="1"/>
    <n v="1"/>
    <n v="0"/>
    <n v="1"/>
    <n v="1"/>
    <n v="0"/>
    <n v="0"/>
    <n v="1"/>
    <n v="0"/>
    <n v="0"/>
    <n v="1"/>
    <x v="1"/>
    <n v="1"/>
    <s v=""/>
    <s v=""/>
    <s v=""/>
    <s v=""/>
    <s v=""/>
    <s v=""/>
    <s v=""/>
    <s v=""/>
    <s v=""/>
    <n v="1"/>
    <s v=""/>
  </r>
  <r>
    <x v="0"/>
    <m/>
    <m/>
    <m/>
    <m/>
    <s v="WACENDAK JOHN"/>
    <m/>
    <m/>
    <m/>
    <m/>
    <s v="WACENDAK JOHN W MD"/>
    <s v="JC FAMILY CARE"/>
    <s v="JOHNSON CITY"/>
    <s v="NY"/>
    <s v="13790-2102"/>
    <s v="PHYSICIAN"/>
    <s v="M"/>
    <s v="No"/>
    <s v="MMIS"/>
    <s v="SouthRPU"/>
    <s v="P"/>
    <m/>
    <m/>
    <m/>
    <s v=""/>
    <s v="E0143446"/>
    <n v="1"/>
    <n v="1"/>
    <n v="0"/>
    <n v="1"/>
    <n v="1"/>
    <n v="1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BOLLINGER WADE DR."/>
    <m/>
    <m/>
    <m/>
    <m/>
    <s v="BOLLINGER WADE S MD"/>
    <s v="1 ATWELL RD"/>
    <s v="COOPERSTOWN"/>
    <s v="NY"/>
    <s v="13326-1301"/>
    <s v="PHYSICIAN"/>
    <s v="M"/>
    <s v="No"/>
    <s v="MMIS"/>
    <s v="EastRPU"/>
    <s v="P"/>
    <m/>
    <m/>
    <m/>
    <s v=""/>
    <s v="E0020608"/>
    <n v="1"/>
    <n v="1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SANA WAJEEH DR."/>
    <m/>
    <m/>
    <m/>
    <m/>
    <s v="SANA WAJEEH MD"/>
    <s v="10 ARROWWOOD DRIVE"/>
    <s v="ITHACA"/>
    <s v="NY"/>
    <s v="14850-1857"/>
    <s v="PHYSICIAN"/>
    <s v="M"/>
    <s v="No"/>
    <s v="MMIS"/>
    <s v="NorthRPU"/>
    <s v="P"/>
    <m/>
    <m/>
    <m/>
    <s v=""/>
    <s v="E0286127"/>
    <n v="1"/>
    <n v="1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WALDRON JENNIFER"/>
    <m/>
    <m/>
    <m/>
    <m/>
    <s v="WALDRON JENNIFER ANN"/>
    <s v="FORT HILL"/>
    <s v="OXFORD"/>
    <s v="NY"/>
    <s v="13830"/>
    <s v="PHYSICIAN"/>
    <s v="M"/>
    <s v="No"/>
    <s v="MMIS"/>
    <s v="EastRPU"/>
    <s v="P"/>
    <m/>
    <m/>
    <m/>
    <s v=""/>
    <s v="E0082302"/>
    <n v="0"/>
    <n v="0"/>
    <n v="0"/>
    <n v="0"/>
    <n v="0"/>
    <n v="0"/>
    <n v="0"/>
    <n v="0"/>
    <n v="0"/>
    <n v="0"/>
    <n v="0"/>
    <x v="2"/>
    <n v="1"/>
    <s v=""/>
    <s v=""/>
    <s v=""/>
    <s v=""/>
    <s v=""/>
    <s v=""/>
    <s v=""/>
    <s v=""/>
    <s v=""/>
    <s v=""/>
    <s v=""/>
  </r>
  <r>
    <x v="0"/>
    <m/>
    <m/>
    <m/>
    <m/>
    <s v="BAKER WALLACE"/>
    <m/>
    <m/>
    <m/>
    <m/>
    <s v="BAKER WALLACE ANDREW"/>
    <s v="209 W STATE ST"/>
    <s v="ITHACA"/>
    <s v="NY"/>
    <s v="14850-5429"/>
    <s v="PHYSICIAN"/>
    <s v="M"/>
    <s v="No"/>
    <s v="MMIS"/>
    <s v="NorthRPU"/>
    <s v="P"/>
    <m/>
    <m/>
    <m/>
    <s v=""/>
    <s v="E0002760"/>
    <n v="0"/>
    <n v="0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WALSH JAMES DR."/>
    <m/>
    <m/>
    <m/>
    <m/>
    <s v="WALSH JAMES J MD"/>
    <s v="GUTHRIE CLINIC"/>
    <s v="SAYRE"/>
    <s v="PA"/>
    <s v="18840"/>
    <s v="PHYSICIAN"/>
    <s v="M"/>
    <s v="No"/>
    <s v="MMIS"/>
    <s v="SouthRPU"/>
    <s v="P"/>
    <m/>
    <m/>
    <m/>
    <s v=""/>
    <s v="E0167255"/>
    <n v="1"/>
    <n v="1"/>
    <n v="0"/>
    <n v="0"/>
    <n v="0"/>
    <n v="0"/>
    <n v="0"/>
    <n v="0"/>
    <n v="0"/>
    <n v="1"/>
    <n v="0"/>
    <x v="1"/>
    <n v="1"/>
    <s v=""/>
    <s v=""/>
    <s v=""/>
    <s v=""/>
    <s v=""/>
    <s v=""/>
    <s v=""/>
    <s v=""/>
    <s v=""/>
    <s v=""/>
    <s v=""/>
  </r>
  <r>
    <x v="0"/>
    <m/>
    <m/>
    <m/>
    <m/>
    <s v="WALSH SARAH MS."/>
    <m/>
    <m/>
    <m/>
    <m/>
    <s v="WALSH SARAH"/>
    <s v="257 MAIN ST"/>
    <s v="BINGHAMTON"/>
    <s v="NY"/>
    <s v="13905-2522"/>
    <s v="CLINICAL SOCIAL WORKER (CSW)"/>
    <s v="M"/>
    <s v="No"/>
    <s v="MMIS"/>
    <s v="SouthRPU"/>
    <s v="P"/>
    <m/>
    <m/>
    <m/>
    <s v=""/>
    <s v="E0015529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KANTOR WALTER"/>
    <m/>
    <m/>
    <m/>
    <m/>
    <s v="KANTOR WALTER JOHN MD"/>
    <s v="301 PROSPECT AVE"/>
    <s v="SYRACUSE"/>
    <s v="NY"/>
    <s v="13203-1807"/>
    <s v="PHYSICIAN"/>
    <s v="M"/>
    <s v="No"/>
    <s v="MMIS"/>
    <s v="NorthRPU"/>
    <s v="P"/>
    <m/>
    <m/>
    <m/>
    <s v=""/>
    <s v="E0092736"/>
    <n v="1"/>
    <n v="1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MARGIE WALTER DR."/>
    <m/>
    <m/>
    <m/>
    <m/>
    <s v="MARGIE III WALTER E MD"/>
    <s v="16 BRENTWOOD DRIVE"/>
    <s v="ITHACA"/>
    <s v="NY"/>
    <s v="14850-0000"/>
    <s v="PHYSICIAN"/>
    <s v="M"/>
    <s v="No"/>
    <s v="MMIS"/>
    <s v="NorthRPU"/>
    <s v="P"/>
    <m/>
    <m/>
    <m/>
    <s v=""/>
    <s v="E0182627"/>
    <n v="1"/>
    <n v="1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SILBERT WALTER"/>
    <m/>
    <m/>
    <m/>
    <m/>
    <s v="SILBERT WALTER COLEMAN"/>
    <s v="1088 COMMONS AVE"/>
    <s v="CORTLAND"/>
    <s v="NY"/>
    <s v="13045-1644"/>
    <s v="PHYSICIAN"/>
    <s v="M"/>
    <s v="No"/>
    <s v="MMIS"/>
    <s v="NorthRPU"/>
    <s v="P"/>
    <m/>
    <m/>
    <m/>
    <s v=""/>
    <s v="E0032969"/>
    <n v="1"/>
    <n v="1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WANG XIU-JIE DR."/>
    <m/>
    <m/>
    <m/>
    <m/>
    <s v="WANG XIU-JIE MD"/>
    <s v="1 GUTHRIE SQ"/>
    <s v="SAYRE"/>
    <s v="PA"/>
    <s v="18840-1625"/>
    <s v="PHYSICIAN"/>
    <s v="M"/>
    <s v="No"/>
    <s v="MMIS"/>
    <s v="SouthRPU"/>
    <s v="P"/>
    <m/>
    <m/>
    <m/>
    <s v=""/>
    <s v="E0009199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WARD ANNA MARIE DR."/>
    <m/>
    <m/>
    <m/>
    <m/>
    <s v="WARD ANNA MARIE MD"/>
    <s v="179 N BROAD ST"/>
    <s v="NORWICH"/>
    <s v="NY"/>
    <s v="13815-1019"/>
    <s v="PHYSICIAN"/>
    <s v="M"/>
    <s v="No"/>
    <s v="MMIS"/>
    <s v="EastRPU"/>
    <s v="P"/>
    <m/>
    <m/>
    <m/>
    <s v=""/>
    <s v="E0138964"/>
    <n v="1"/>
    <n v="1"/>
    <n v="0"/>
    <n v="1"/>
    <n v="1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1"/>
    <m/>
    <m/>
    <m/>
    <m/>
    <s v="WARD APRIL"/>
    <m/>
    <m/>
    <m/>
    <m/>
    <s v="WARD APRIL E CNM"/>
    <s v="CROUSE IRVING MEM"/>
    <s v="SYRACUSE"/>
    <s v="NY"/>
    <s v="13210"/>
    <s v="NURSE"/>
    <s v="M"/>
    <s v="No"/>
    <s v="MMIS"/>
    <s v="NorthRPU"/>
    <s v="P"/>
    <m/>
    <m/>
    <m/>
    <s v=""/>
    <s v="E0043187"/>
    <n v="1"/>
    <n v="1"/>
    <n v="0"/>
    <n v="0"/>
    <n v="1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WARD LAURA"/>
    <m/>
    <m/>
    <m/>
    <m/>
    <s v="D'ACHILLE LAURA"/>
    <s v="257 MAIN ST"/>
    <s v="BINGHAMTON"/>
    <s v="NY"/>
    <s v="13905-2522"/>
    <s v="CLINICAL SOCIAL WORKER (CSW)"/>
    <s v="M"/>
    <s v="No"/>
    <s v="MMIS"/>
    <s v="SouthRPU"/>
    <s v="P"/>
    <m/>
    <m/>
    <m/>
    <s v=""/>
    <s v="E0301518"/>
    <n v="0"/>
    <n v="0"/>
    <n v="0"/>
    <n v="0"/>
    <n v="0"/>
    <n v="0"/>
    <n v="0"/>
    <n v="0"/>
    <n v="0"/>
    <n v="0"/>
    <n v="0"/>
    <x v="1"/>
    <n v="1"/>
    <s v=""/>
    <s v=""/>
    <s v=""/>
    <n v="1"/>
    <s v=""/>
    <s v=""/>
    <s v=""/>
    <s v=""/>
    <s v=""/>
    <s v=""/>
    <s v=""/>
  </r>
  <r>
    <x v="0"/>
    <m/>
    <m/>
    <m/>
    <m/>
    <s v="WARNAKULASURIYA MANUJA"/>
    <m/>
    <m/>
    <m/>
    <m/>
    <s v="WARNAKULASURIYA MANUJA P MD"/>
    <s v="GELDER MEDICAL GRP"/>
    <s v="SIDNEY"/>
    <s v="NY"/>
    <s v="13838-1325"/>
    <s v="PHYSICIAN"/>
    <s v="M"/>
    <s v="No"/>
    <s v="MMIS"/>
    <s v="SouthRPU"/>
    <s v="P"/>
    <m/>
    <m/>
    <m/>
    <s v="WARNAKULASURIYA MANUJA"/>
    <s v="E0040941"/>
    <s v="No"/>
    <s v="No"/>
    <s v="No"/>
    <s v="No"/>
    <s v="No"/>
    <s v="No"/>
    <s v="No"/>
    <s v="No"/>
    <s v="No"/>
    <s v="No"/>
    <s v="No"/>
    <x v="2"/>
    <s v=""/>
    <s v=""/>
    <s v=""/>
    <s v=""/>
    <s v=""/>
    <s v=""/>
    <s v=""/>
    <s v=""/>
    <s v=""/>
    <s v=""/>
    <n v="1"/>
    <s v=""/>
  </r>
  <r>
    <x v="1"/>
    <m/>
    <m/>
    <m/>
    <m/>
    <s v="WARNER DEBORAH"/>
    <m/>
    <m/>
    <m/>
    <m/>
    <s v="WARNER DEBORAH ANN"/>
    <s v="64 POMEROY ST"/>
    <s v="CORTLAND"/>
    <s v="NY"/>
    <s v="13045-2708"/>
    <s v="MULTI-TYPE"/>
    <s v="M"/>
    <s v="No"/>
    <s v="MMIS"/>
    <s v="NorthRPU"/>
    <s v="P"/>
    <m/>
    <m/>
    <m/>
    <s v=""/>
    <s v="E0131646"/>
    <n v="0"/>
    <n v="0"/>
    <n v="0"/>
    <n v="0"/>
    <n v="0"/>
    <n v="0"/>
    <n v="0"/>
    <n v="0"/>
    <n v="0"/>
    <n v="0"/>
    <n v="0"/>
    <x v="2"/>
    <n v="1"/>
    <s v=""/>
    <s v=""/>
    <s v=""/>
    <s v=""/>
    <s v=""/>
    <s v=""/>
    <s v=""/>
    <s v=""/>
    <s v=""/>
    <n v="1"/>
    <s v=""/>
  </r>
  <r>
    <x v="0"/>
    <m/>
    <m/>
    <m/>
    <m/>
    <s v="WARSKI PATRICIA DR."/>
    <m/>
    <m/>
    <m/>
    <m/>
    <s v="WARSKI PATRICIA LYNN DPM"/>
    <s v="85 S BROAD ST"/>
    <s v="NORWICH"/>
    <s v="NY"/>
    <s v="13815-1741"/>
    <s v="PODIATRIST"/>
    <s v="M"/>
    <s v="No"/>
    <s v="MMIS"/>
    <s v="EastRPU"/>
    <s v="P"/>
    <m/>
    <m/>
    <m/>
    <s v=""/>
    <s v="E0214591"/>
    <n v="1"/>
    <n v="1"/>
    <n v="0"/>
    <n v="1"/>
    <n v="1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WASCO MICHAEL"/>
    <m/>
    <m/>
    <m/>
    <m/>
    <s v="WASCO MICHAEL J            MD"/>
    <s v="32 BROAD AVE"/>
    <s v="BINGHAMTON"/>
    <s v="NY"/>
    <s v="13904-1505"/>
    <s v="PHYSICIAN"/>
    <s v="M"/>
    <s v="No"/>
    <s v="MMIS"/>
    <s v="SouthRPU"/>
    <s v="P"/>
    <m/>
    <m/>
    <m/>
    <s v=""/>
    <s v="E0247419"/>
    <n v="0"/>
    <n v="0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TERIS WAYNE"/>
    <m/>
    <m/>
    <m/>
    <m/>
    <s v="TERIS WAYNE C MD"/>
    <m/>
    <s v="JOHNSON CITY"/>
    <s v="NY"/>
    <s v="13790-2597"/>
    <s v="PHYSICIAN"/>
    <s v="M"/>
    <s v="No"/>
    <s v="MMIS"/>
    <s v="SouthRPU"/>
    <s v="P"/>
    <m/>
    <m/>
    <m/>
    <s v=""/>
    <s v="E0198341"/>
    <n v="0"/>
    <n v="0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WEBB PAUL DR."/>
    <m/>
    <m/>
    <m/>
    <m/>
    <s v="WEBB PAUL R III"/>
    <s v="GUTHRIE CLINIC LTD"/>
    <s v="SAYRE"/>
    <s v="PA"/>
    <s v="18840"/>
    <s v="PHYSICIAN"/>
    <s v="M"/>
    <s v="No"/>
    <s v="MMIS"/>
    <s v="SouthRPU"/>
    <s v="P"/>
    <m/>
    <m/>
    <m/>
    <s v=""/>
    <s v="E0203699"/>
    <n v="1"/>
    <n v="1"/>
    <n v="0"/>
    <n v="0"/>
    <n v="0"/>
    <n v="0"/>
    <n v="0"/>
    <n v="0"/>
    <n v="0"/>
    <n v="1"/>
    <n v="0"/>
    <x v="1"/>
    <n v="1"/>
    <s v=""/>
    <s v=""/>
    <s v=""/>
    <s v=""/>
    <s v=""/>
    <s v=""/>
    <s v=""/>
    <s v=""/>
    <s v=""/>
    <n v="1"/>
    <s v=""/>
  </r>
  <r>
    <x v="1"/>
    <m/>
    <m/>
    <m/>
    <m/>
    <s v="WEBSTER ROBERT"/>
    <m/>
    <m/>
    <m/>
    <m/>
    <s v="WEBSTER ROBERT BENDANA"/>
    <s v="80 WILLIAM DONNELLY PKWY"/>
    <s v="WAVERLY"/>
    <s v="NY"/>
    <s v="14892-0000"/>
    <s v="PHYSICIAN"/>
    <s v="M"/>
    <s v="No"/>
    <s v="MMIS"/>
    <s v="SouthRPU"/>
    <s v="P"/>
    <m/>
    <m/>
    <m/>
    <s v=""/>
    <s v="E0311827"/>
    <n v="0"/>
    <n v="0"/>
    <n v="0"/>
    <n v="0"/>
    <n v="0"/>
    <n v="0"/>
    <n v="0"/>
    <n v="0"/>
    <n v="0"/>
    <n v="0"/>
    <n v="0"/>
    <x v="1"/>
    <n v="1"/>
    <s v=""/>
    <s v=""/>
    <s v=""/>
    <n v="1"/>
    <s v=""/>
    <s v=""/>
    <s v=""/>
    <s v=""/>
    <s v=""/>
    <s v=""/>
    <s v=""/>
  </r>
  <r>
    <x v="0"/>
    <m/>
    <m/>
    <m/>
    <m/>
    <s v="WEINBERG JANET"/>
    <m/>
    <m/>
    <m/>
    <m/>
    <s v="WEINBERG JANET L MD"/>
    <s v="601 RIVERSIDE DR"/>
    <s v="JOHNSON CITY"/>
    <s v="NY"/>
    <s v="13790-2544"/>
    <s v="PHYSICIAN"/>
    <s v="M"/>
    <s v="No"/>
    <s v="MMIS"/>
    <s v="SouthRPU"/>
    <s v="P"/>
    <m/>
    <m/>
    <m/>
    <s v=""/>
    <s v="E0164613"/>
    <n v="1"/>
    <n v="1"/>
    <n v="0"/>
    <n v="1"/>
    <n v="1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m/>
    <m/>
    <m/>
    <m/>
    <m/>
    <s v="WEINER JAMIE S MD"/>
    <s v="130 CENTER WAY"/>
    <s v="CORNING"/>
    <s v="NY"/>
    <s v="14830-2255"/>
    <s v="PHYSICIAN"/>
    <s v="M"/>
    <s v="No"/>
    <s v="MMIS"/>
    <s v="WestRPU"/>
    <s v="P"/>
    <m/>
    <m/>
    <m/>
    <s v=""/>
    <s v="E0034550"/>
    <n v="0"/>
    <n v="0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WEINER VICKIE"/>
    <m/>
    <m/>
    <m/>
    <m/>
    <s v="POTOCHNIAK VICKIE L RPA"/>
    <s v="65 PENNSYLVANIA AVE"/>
    <s v="BINGHAMTON"/>
    <s v="NY"/>
    <s v="13903-1608"/>
    <s v="PHYSICIAN"/>
    <s v="M"/>
    <s v="No"/>
    <s v="MMIS"/>
    <s v="SouthRPU"/>
    <s v="P"/>
    <m/>
    <m/>
    <m/>
    <s v=""/>
    <s v="E0057420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WEIS JOHN DR."/>
    <m/>
    <m/>
    <m/>
    <m/>
    <s v="WEIS JOHN H"/>
    <s v="127 SULLIVAN ST"/>
    <s v="CANTON"/>
    <s v="PA"/>
    <s v="17724-1733"/>
    <s v="PHYSICIAN"/>
    <s v="M"/>
    <s v="No"/>
    <s v="MMIS"/>
    <s v="SouthRPU"/>
    <s v="P"/>
    <m/>
    <m/>
    <m/>
    <s v=""/>
    <s v="E0244394"/>
    <n v="1"/>
    <n v="1"/>
    <n v="0"/>
    <n v="0"/>
    <n v="0"/>
    <n v="0"/>
    <n v="0"/>
    <n v="0"/>
    <n v="0"/>
    <n v="1"/>
    <n v="0"/>
    <x v="1"/>
    <n v="1"/>
    <s v=""/>
    <s v=""/>
    <s v=""/>
    <s v=""/>
    <s v=""/>
    <s v=""/>
    <s v=""/>
    <s v=""/>
    <s v=""/>
    <s v=""/>
    <s v=""/>
  </r>
  <r>
    <x v="0"/>
    <m/>
    <m/>
    <m/>
    <m/>
    <s v="WELCH JOHN DR."/>
    <m/>
    <m/>
    <m/>
    <m/>
    <s v="WELCH JOHN JR DO"/>
    <s v="105 RIDGEHAVEN DR"/>
    <s v="VESTAL"/>
    <s v="NY"/>
    <s v="13850-2640"/>
    <s v="PHYSICIAN"/>
    <s v="M"/>
    <s v="No"/>
    <s v="MMIS"/>
    <s v="SouthRPU"/>
    <s v="P"/>
    <m/>
    <m/>
    <m/>
    <s v=""/>
    <s v="E0334749"/>
    <n v="1"/>
    <n v="1"/>
    <n v="0"/>
    <n v="1"/>
    <n v="1"/>
    <n v="0"/>
    <n v="0"/>
    <n v="1"/>
    <n v="0"/>
    <n v="0"/>
    <n v="1"/>
    <x v="2"/>
    <s v=""/>
    <s v=""/>
    <s v=""/>
    <s v=""/>
    <s v=""/>
    <s v=""/>
    <s v=""/>
    <s v=""/>
    <s v=""/>
    <s v=""/>
    <n v="1"/>
    <s v=""/>
  </r>
  <r>
    <x v="0"/>
    <m/>
    <m/>
    <m/>
    <m/>
    <s v="ZUWIYYA WENDI"/>
    <m/>
    <m/>
    <m/>
    <m/>
    <s v="ZUWIYYA WENDI T"/>
    <s v="33-57 HARRISON ST"/>
    <s v="JOHNSON CITY"/>
    <s v="NY"/>
    <s v="13790-2107"/>
    <s v="PHYSICIAN"/>
    <s v="M"/>
    <s v="No"/>
    <s v="MMIS"/>
    <s v="SouthRPU"/>
    <s v="P"/>
    <m/>
    <m/>
    <m/>
    <s v=""/>
    <s v="E0352132"/>
    <n v="1"/>
    <n v="1"/>
    <n v="0"/>
    <n v="1"/>
    <n v="1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WERNER HARRY"/>
    <m/>
    <m/>
    <m/>
    <m/>
    <s v="WERNER HARRY R DO"/>
    <s v="CHENANGO BRIDGE MED"/>
    <s v="BINGHAMTON"/>
    <s v="NY"/>
    <s v="13901-1293"/>
    <s v="PHYSICIAN"/>
    <s v="M"/>
    <s v="No"/>
    <s v="MMIS"/>
    <s v="SouthRPU"/>
    <s v="P"/>
    <m/>
    <m/>
    <m/>
    <s v=""/>
    <s v="E0188126"/>
    <n v="0"/>
    <n v="0"/>
    <n v="0"/>
    <n v="0"/>
    <n v="0"/>
    <n v="0"/>
    <n v="0"/>
    <n v="0"/>
    <n v="0"/>
    <n v="0"/>
    <n v="0"/>
    <x v="2"/>
    <n v="1"/>
    <s v=""/>
    <s v=""/>
    <s v=""/>
    <s v=""/>
    <s v=""/>
    <s v=""/>
    <s v=""/>
    <s v=""/>
    <s v=""/>
    <n v="1"/>
    <s v=""/>
  </r>
  <r>
    <x v="0"/>
    <m/>
    <m/>
    <m/>
    <m/>
    <s v="WEST DONNA"/>
    <m/>
    <m/>
    <m/>
    <m/>
    <s v="WEST DONNA T"/>
    <s v="33-57 HARRISON ST"/>
    <s v="JOHNSON CITY"/>
    <s v="NY"/>
    <s v="13790-2107"/>
    <s v="PHYSICIAN"/>
    <s v="M"/>
    <s v="No"/>
    <s v="MMIS"/>
    <s v="SouthRPU"/>
    <s v="P"/>
    <m/>
    <m/>
    <m/>
    <s v="WEST DONNA"/>
    <s v="E0016097"/>
    <s v="No"/>
    <s v="No"/>
    <s v="No"/>
    <s v="No"/>
    <s v="No"/>
    <s v="No"/>
    <s v="No"/>
    <s v="No"/>
    <s v="No"/>
    <s v="No"/>
    <s v="No"/>
    <x v="1"/>
    <s v=""/>
    <s v=""/>
    <s v=""/>
    <s v=""/>
    <s v=""/>
    <s v=""/>
    <s v=""/>
    <s v=""/>
    <s v=""/>
    <s v=""/>
    <s v=""/>
    <n v="1"/>
  </r>
  <r>
    <x v="0"/>
    <m/>
    <m/>
    <m/>
    <m/>
    <s v="WESTERVELT MEGAN"/>
    <m/>
    <m/>
    <m/>
    <m/>
    <s v="WESTERVELT MEGAN MD"/>
    <s v="455 MAPLE ST"/>
    <s v="BIG FLATS"/>
    <s v="NY"/>
    <s v="14814-9701"/>
    <s v="PHYSICIAN"/>
    <s v="M"/>
    <s v="No"/>
    <s v="MMIS"/>
    <s v="WestRPU"/>
    <s v="P"/>
    <m/>
    <m/>
    <m/>
    <s v=""/>
    <s v="E0285146"/>
    <n v="0"/>
    <n v="0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WESTON JOHN"/>
    <m/>
    <m/>
    <m/>
    <m/>
    <s v="WESTON JOHN W DO"/>
    <s v="5 EVERGREEN ST"/>
    <s v="DRYDEN"/>
    <s v="NY"/>
    <s v="13053"/>
    <s v="PHYSICIAN"/>
    <s v="M"/>
    <s v="No"/>
    <s v="MMIS"/>
    <s v="NorthRPU"/>
    <s v="P"/>
    <m/>
    <m/>
    <m/>
    <s v=""/>
    <s v="E0061774"/>
    <n v="0"/>
    <n v="0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1"/>
    <m/>
    <m/>
    <m/>
    <m/>
    <s v="WHELAN KAREN"/>
    <m/>
    <m/>
    <m/>
    <m/>
    <s v="WHELAN KAREN ANNE"/>
    <s v="303 MAIN ST"/>
    <s v="BINGHAMTON"/>
    <s v="NY"/>
    <s v="13905-2539"/>
    <s v="PHYSICIAN"/>
    <s v="M"/>
    <s v="No"/>
    <s v="MMIS"/>
    <s v="SouthRPU"/>
    <s v="P"/>
    <m/>
    <m/>
    <m/>
    <s v=""/>
    <s v="E0103060"/>
    <n v="1"/>
    <n v="1"/>
    <n v="0"/>
    <n v="1"/>
    <n v="1"/>
    <n v="0"/>
    <n v="0"/>
    <n v="1"/>
    <n v="0"/>
    <n v="0"/>
    <n v="1"/>
    <x v="2"/>
    <s v=""/>
    <s v=""/>
    <s v=""/>
    <s v=""/>
    <s v=""/>
    <s v=""/>
    <s v=""/>
    <s v=""/>
    <s v=""/>
    <s v=""/>
    <n v="1"/>
    <s v=""/>
  </r>
  <r>
    <x v="1"/>
    <m/>
    <m/>
    <m/>
    <m/>
    <s v="WHITE CHERILYN"/>
    <m/>
    <m/>
    <m/>
    <m/>
    <s v="WHITE CHERILYN ANNE MD"/>
    <s v="4038 WEST RD"/>
    <s v="CORTLAND"/>
    <s v="NY"/>
    <s v="13045-1842"/>
    <s v="PHYSICIAN"/>
    <s v="M"/>
    <s v="No"/>
    <s v="MMIS"/>
    <s v="NorthRPU"/>
    <s v="P"/>
    <m/>
    <m/>
    <m/>
    <s v=""/>
    <s v="E0126396"/>
    <n v="1"/>
    <n v="1"/>
    <n v="0"/>
    <n v="0"/>
    <n v="1"/>
    <n v="1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WIESNER LAWRENCE"/>
    <m/>
    <m/>
    <m/>
    <m/>
    <s v="WIESNER LAWRENCE MARTIN DO"/>
    <s v="33 MITCHELL AVE"/>
    <s v="BINGHAMTON"/>
    <s v="NY"/>
    <s v="13903-1674"/>
    <s v="PHYSICIAN"/>
    <s v="M"/>
    <s v="No"/>
    <s v="MMIS"/>
    <s v="SouthRPU"/>
    <s v="P"/>
    <m/>
    <m/>
    <m/>
    <s v=""/>
    <s v="E0073705"/>
    <n v="1"/>
    <n v="1"/>
    <n v="0"/>
    <n v="1"/>
    <n v="1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WILHELM OLAYINKA"/>
    <m/>
    <m/>
    <m/>
    <m/>
    <s v="WILHELM OLAYINKA OLAWALE MD"/>
    <s v="40 ARCH ST"/>
    <s v="JOHNSON CITY"/>
    <s v="NY"/>
    <s v="13790-2102"/>
    <s v="PHYSICIAN"/>
    <s v="M"/>
    <s v="No"/>
    <s v="MMIS"/>
    <s v="SouthRPU"/>
    <s v="P"/>
    <m/>
    <m/>
    <m/>
    <s v=""/>
    <s v="E0013081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WILKENS JENNA"/>
    <m/>
    <m/>
    <m/>
    <m/>
    <s v="WILKENS JENNA RAE"/>
    <s v="230 STEUBEN ST"/>
    <s v="MONTOUR FALLS"/>
    <s v="NY"/>
    <s v="14865-9648"/>
    <s v="PHYSICIAN"/>
    <s v="M"/>
    <s v="No"/>
    <s v="MMIS"/>
    <s v="NorthRPU"/>
    <s v="P"/>
    <m/>
    <m/>
    <m/>
    <s v="Wilkens Jenna"/>
    <s v="E0393009"/>
    <s v="No"/>
    <s v="No"/>
    <s v="No"/>
    <s v="No"/>
    <s v="No"/>
    <s v="No"/>
    <s v="No"/>
    <s v="No"/>
    <s v="No"/>
    <s v="No"/>
    <s v="No"/>
    <x v="1"/>
    <n v="1"/>
    <s v=""/>
    <s v=""/>
    <s v=""/>
    <s v=""/>
    <s v=""/>
    <s v=""/>
    <s v=""/>
    <s v=""/>
    <s v=""/>
    <n v="1"/>
    <s v=""/>
  </r>
  <r>
    <x v="0"/>
    <m/>
    <m/>
    <m/>
    <m/>
    <s v="CARROLL WILLIAM"/>
    <m/>
    <m/>
    <m/>
    <m/>
    <s v="CARROLL WILLIAM JOSEPH MD"/>
    <s v="101 DATES DR"/>
    <s v="ITHACA"/>
    <s v="NY"/>
    <s v="14850-1342"/>
    <s v="PHYSICIAN"/>
    <s v="M"/>
    <s v="No"/>
    <s v="MMIS"/>
    <s v="NorthRPU"/>
    <s v="P"/>
    <m/>
    <m/>
    <m/>
    <s v=""/>
    <s v="E0148174"/>
    <n v="1"/>
    <n v="1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KLEPACK WILLIAM"/>
    <m/>
    <m/>
    <m/>
    <m/>
    <s v="KLEPACK WILLIAM ANDREW     MD"/>
    <s v="DRYDEN FAMILY MED"/>
    <s v="DRYDEN"/>
    <s v="NY"/>
    <s v="13053"/>
    <s v="PHYSICIAN"/>
    <s v="M"/>
    <s v="No"/>
    <s v="MMIS"/>
    <s v="NorthRPU"/>
    <s v="P"/>
    <m/>
    <m/>
    <m/>
    <s v=""/>
    <s v="E0242652"/>
    <n v="1"/>
    <n v="1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SHEPHERD WILLIAM"/>
    <m/>
    <m/>
    <m/>
    <m/>
    <s v="SHEPHERD WILLIAM C MD"/>
    <s v="SCHUYLER HSP ER PHYS"/>
    <s v="MONTOUR FALLS"/>
    <s v="NY"/>
    <s v="14865-9740"/>
    <s v="PHYSICIAN"/>
    <s v="M"/>
    <s v="No"/>
    <s v="MMIS"/>
    <s v="NorthRPU"/>
    <s v="P"/>
    <m/>
    <m/>
    <m/>
    <s v=""/>
    <s v="E0064761"/>
    <n v="1"/>
    <n v="1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WILLIAMS MARIE"/>
    <m/>
    <m/>
    <m/>
    <m/>
    <s v="WILLIAMS MARIE A NP"/>
    <s v="27 PARK AVE"/>
    <s v="BINGHAMTON"/>
    <s v="NY"/>
    <s v="13903-1605"/>
    <s v="PHYSICIAN"/>
    <s v="M"/>
    <s v="No"/>
    <s v="MMIS"/>
    <s v="SouthRPU"/>
    <s v="P"/>
    <m/>
    <m/>
    <m/>
    <s v=""/>
    <s v="E0029459"/>
    <n v="0"/>
    <n v="0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s v=""/>
    <s v=""/>
  </r>
  <r>
    <x v="0"/>
    <m/>
    <m/>
    <m/>
    <m/>
    <s v="WILLIAMS STEPHANIE MRS."/>
    <m/>
    <m/>
    <m/>
    <m/>
    <s v="WILLIAMS STEPHANIE"/>
    <s v="10-42 MITCHELL AVE BINGHAMTON GENL"/>
    <s v="BINGHAMTON"/>
    <s v="NY"/>
    <s v="13903-0000"/>
    <s v="THERAPIST"/>
    <s v="M"/>
    <s v="No"/>
    <s v="MMIS"/>
    <s v="SouthRPU"/>
    <s v="P"/>
    <m/>
    <m/>
    <m/>
    <s v=""/>
    <s v="E0081490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1"/>
    <m/>
    <m/>
    <m/>
    <m/>
    <s v="BROOME COUNTY"/>
    <m/>
    <m/>
    <m/>
    <m/>
    <s v="WILLOW POINT NURSING HOME"/>
    <s v="3700 VESTAL RD"/>
    <s v="VESTAL"/>
    <s v="NY"/>
    <s v="13850-2229"/>
    <s v="LONG TERM CARE FACILITY"/>
    <s v="M"/>
    <s v="No"/>
    <s v="MMIS"/>
    <s v="SouthRPU"/>
    <s v="P"/>
    <m/>
    <m/>
    <m/>
    <s v=""/>
    <s v="E0268197"/>
    <n v="1"/>
    <n v="0"/>
    <n v="1"/>
    <n v="0"/>
    <n v="0"/>
    <n v="0"/>
    <n v="0"/>
    <n v="0"/>
    <n v="0"/>
    <n v="0"/>
    <n v="0"/>
    <x v="1"/>
    <s v=""/>
    <s v=""/>
    <s v=""/>
    <s v=""/>
    <s v=""/>
    <s v=""/>
    <n v="1"/>
    <s v=""/>
    <s v=""/>
    <s v=""/>
    <n v="1"/>
    <s v=""/>
  </r>
  <r>
    <x v="1"/>
    <m/>
    <m/>
    <m/>
    <m/>
    <s v="WILSON CHRISTINE DR."/>
    <m/>
    <m/>
    <m/>
    <m/>
    <s v="WILSON CHRISTINE BEHLING DO"/>
    <s v="4 NEWTON AVE"/>
    <s v="NORWICH"/>
    <s v="NY"/>
    <s v="13815-1153"/>
    <s v="PHYSICIAN"/>
    <s v="M"/>
    <s v="No"/>
    <s v="MMIS"/>
    <s v="EastRPU"/>
    <s v="P"/>
    <m/>
    <m/>
    <m/>
    <s v=""/>
    <s v="E0171222"/>
    <n v="1"/>
    <n v="1"/>
    <n v="0"/>
    <n v="1"/>
    <n v="1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WILSON SUZANNE"/>
    <m/>
    <m/>
    <m/>
    <m/>
    <s v="WILSON SUZANNE VALERIE"/>
    <s v="404 N CAYUGA ST"/>
    <s v="ITHACA"/>
    <s v="NY"/>
    <s v="14850-4219"/>
    <s v="PHYSICIAN"/>
    <s v="M"/>
    <s v="No"/>
    <s v="MMIS"/>
    <s v="NorthRPU"/>
    <s v="P"/>
    <m/>
    <m/>
    <m/>
    <s v=""/>
    <s v="E0323939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WILSON THOMAS DR."/>
    <m/>
    <m/>
    <m/>
    <m/>
    <s v="WILSON THOMAS WILLIAM MD"/>
    <s v="GUTHRIE CLINIC LTD"/>
    <s v="SAYRE"/>
    <s v="PA"/>
    <s v="18840"/>
    <s v="PHYSICIAN"/>
    <s v="M"/>
    <s v="No"/>
    <s v="MMIS"/>
    <s v="SouthRPU"/>
    <s v="P"/>
    <m/>
    <m/>
    <m/>
    <s v=""/>
    <s v="E0126394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WISEMAN JEFFREY"/>
    <m/>
    <m/>
    <m/>
    <m/>
    <s v="WISEMAN JEFFREY SCOTT"/>
    <s v="30 HARRISON ST STE 455"/>
    <s v="JOHNSON CITY"/>
    <s v="NY"/>
    <s v="13790-2176"/>
    <s v="PHYSICIAN"/>
    <s v="M"/>
    <s v="No"/>
    <s v="MMIS"/>
    <s v="SouthRPU"/>
    <s v="P"/>
    <m/>
    <m/>
    <m/>
    <s v=""/>
    <s v="E0176258"/>
    <n v="1"/>
    <n v="1"/>
    <n v="0"/>
    <n v="1"/>
    <n v="1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WITT SANDY"/>
    <m/>
    <m/>
    <m/>
    <m/>
    <s v="WITT SANDRA"/>
    <s v="257 MAIN ST"/>
    <s v="BINGHAMTON"/>
    <s v="NY"/>
    <s v="13905-2522"/>
    <s v="CLINICAL SOCIAL WORKER (CSW)"/>
    <s v="M"/>
    <s v="No"/>
    <s v="MMIS"/>
    <s v="SouthRPU"/>
    <s v="P"/>
    <m/>
    <m/>
    <m/>
    <s v=""/>
    <s v="E0306800"/>
    <n v="0"/>
    <n v="0"/>
    <n v="0"/>
    <n v="0"/>
    <n v="0"/>
    <n v="0"/>
    <n v="0"/>
    <n v="0"/>
    <n v="0"/>
    <n v="0"/>
    <n v="0"/>
    <x v="1"/>
    <n v="1"/>
    <s v=""/>
    <s v=""/>
    <s v=""/>
    <n v="1"/>
    <s v=""/>
    <s v=""/>
    <s v=""/>
    <s v=""/>
    <s v=""/>
    <s v=""/>
    <s v=""/>
  </r>
  <r>
    <x v="0"/>
    <m/>
    <m/>
    <m/>
    <m/>
    <s v="WOGLOM RUSSELL DR."/>
    <m/>
    <m/>
    <m/>
    <m/>
    <s v="WOGLOM RUSSELL CROCKETT"/>
    <s v="GUTHRIE MEDICAL GR"/>
    <s v="CORNING"/>
    <s v="NY"/>
    <s v="14830-2813"/>
    <s v="PHYSICIAN"/>
    <s v="M"/>
    <s v="No"/>
    <s v="MMIS"/>
    <s v="WestRPU"/>
    <s v="P"/>
    <m/>
    <m/>
    <m/>
    <s v=""/>
    <s v="E0196837"/>
    <n v="1"/>
    <n v="1"/>
    <n v="0"/>
    <n v="0"/>
    <n v="0"/>
    <n v="0"/>
    <n v="0"/>
    <n v="1"/>
    <n v="1"/>
    <n v="1"/>
    <n v="0"/>
    <x v="2"/>
    <s v=""/>
    <s v=""/>
    <s v=""/>
    <s v=""/>
    <s v=""/>
    <s v=""/>
    <s v=""/>
    <s v=""/>
    <s v=""/>
    <s v=""/>
    <n v="1"/>
    <s v=""/>
  </r>
  <r>
    <x v="0"/>
    <m/>
    <m/>
    <m/>
    <m/>
    <s v="WOLD KATHLEEN"/>
    <m/>
    <m/>
    <m/>
    <m/>
    <s v="WOLD KATHLEEN J"/>
    <s v="27 PARK AVE FL 5"/>
    <s v="BINGHAMTON"/>
    <s v="NY"/>
    <s v="13903-1605"/>
    <s v="PHYSICIAN"/>
    <s v="M"/>
    <s v="No"/>
    <s v="MMIS"/>
    <s v="SouthRPU"/>
    <s v="P"/>
    <m/>
    <m/>
    <m/>
    <s v=""/>
    <s v="E0053820"/>
    <n v="0"/>
    <n v="0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s v=""/>
    <s v=""/>
  </r>
  <r>
    <x v="0"/>
    <m/>
    <m/>
    <m/>
    <m/>
    <s v="WONG KENNETH DR."/>
    <m/>
    <m/>
    <m/>
    <m/>
    <s v="WONG KENNETH T MD"/>
    <s v="41 ARCH ST"/>
    <s v="JOHNSON CITY"/>
    <s v="NY"/>
    <s v="13790-2101"/>
    <s v="PHYSICIAN"/>
    <s v="M"/>
    <s v="No"/>
    <s v="MMIS"/>
    <s v="SouthRPU"/>
    <s v="P"/>
    <m/>
    <m/>
    <m/>
    <s v=""/>
    <s v="E0173043"/>
    <n v="1"/>
    <n v="1"/>
    <n v="0"/>
    <n v="1"/>
    <n v="1"/>
    <n v="0"/>
    <n v="0"/>
    <n v="0"/>
    <n v="0"/>
    <n v="0"/>
    <n v="1"/>
    <x v="1"/>
    <n v="1"/>
    <s v=""/>
    <s v=""/>
    <s v=""/>
    <s v=""/>
    <s v=""/>
    <s v=""/>
    <s v=""/>
    <s v=""/>
    <s v=""/>
    <s v=""/>
    <s v=""/>
  </r>
  <r>
    <x v="0"/>
    <m/>
    <m/>
    <m/>
    <m/>
    <s v="WOOD BRIAN DR."/>
    <m/>
    <m/>
    <m/>
    <m/>
    <s v="WOOD BRIAN C MD"/>
    <s v="93 PENNSYLVANIA AVE"/>
    <s v="BINGHAMTON"/>
    <s v="NY"/>
    <s v="13903-1645"/>
    <s v="PHYSICIAN"/>
    <s v="M"/>
    <s v="No"/>
    <s v="MMIS"/>
    <s v="SouthRPU"/>
    <s v="P"/>
    <m/>
    <m/>
    <m/>
    <s v=""/>
    <s v="E0324130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WOOD JAMES"/>
    <m/>
    <m/>
    <m/>
    <m/>
    <s v="WOOD JAMES SAM"/>
    <s v="179 N BROAD ST"/>
    <s v="NORWICH"/>
    <s v="NY"/>
    <s v="13815-1019"/>
    <s v="PHYSICIAN"/>
    <s v="M"/>
    <s v="No"/>
    <s v="MMIS"/>
    <s v="EastRPU"/>
    <s v="P"/>
    <m/>
    <m/>
    <m/>
    <s v="Wood James"/>
    <s v="E0383316"/>
    <s v="No"/>
    <s v="No"/>
    <s v="No"/>
    <s v="No"/>
    <s v="No"/>
    <s v="No"/>
    <s v="No"/>
    <s v="No"/>
    <s v="No"/>
    <s v="No"/>
    <s v="No"/>
    <x v="2"/>
    <s v=""/>
    <s v=""/>
    <s v=""/>
    <s v=""/>
    <s v=""/>
    <s v=""/>
    <s v=""/>
    <s v=""/>
    <s v=""/>
    <s v=""/>
    <s v=""/>
    <s v=""/>
  </r>
  <r>
    <x v="0"/>
    <m/>
    <m/>
    <m/>
    <m/>
    <s v="WORLEY ANDREA MRS."/>
    <m/>
    <m/>
    <m/>
    <m/>
    <s v="WORLEY ANDREA DENISE"/>
    <s v="130 CENTER WAY"/>
    <s v="CORNING"/>
    <s v="NY"/>
    <s v="14830-2255"/>
    <s v="PHYSICIAN"/>
    <s v="M"/>
    <s v="No"/>
    <s v="MMIS"/>
    <s v="WestRPU"/>
    <s v="P"/>
    <m/>
    <m/>
    <m/>
    <s v="Worley Andrea"/>
    <s v="E0419492"/>
    <s v="No"/>
    <s v="No"/>
    <s v="No"/>
    <s v="No"/>
    <s v="No"/>
    <s v="No"/>
    <s v="No"/>
    <s v="No"/>
    <s v="No"/>
    <s v="No"/>
    <s v="No"/>
    <x v="2"/>
    <s v=""/>
    <s v=""/>
    <s v=""/>
    <s v=""/>
    <s v=""/>
    <s v=""/>
    <s v=""/>
    <s v=""/>
    <s v=""/>
    <s v=""/>
    <n v="1"/>
    <s v=""/>
  </r>
  <r>
    <x v="0"/>
    <m/>
    <m/>
    <m/>
    <m/>
    <s v="WU RICHARD DR."/>
    <m/>
    <m/>
    <m/>
    <m/>
    <s v="WU RICHARD HK              MD"/>
    <s v="750 E ADAMS ST"/>
    <s v="SYRACUSE"/>
    <s v="NY"/>
    <s v="13210-2342"/>
    <s v="PHYSICIAN"/>
    <s v="M"/>
    <s v="No"/>
    <s v="MMIS"/>
    <s v="NorthRPU"/>
    <s v="P"/>
    <m/>
    <m/>
    <m/>
    <s v=""/>
    <s v="E0276688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YAEGER THOMAS DR."/>
    <m/>
    <m/>
    <m/>
    <m/>
    <s v="YAEGER THOMAS A MD"/>
    <s v="GUTHRIE CLINIC"/>
    <s v="SAYRE"/>
    <s v="PA"/>
    <s v="18840"/>
    <s v="PHYSICIAN"/>
    <s v="M"/>
    <s v="No"/>
    <s v="MMIS"/>
    <s v="SouthRPU"/>
    <s v="P"/>
    <m/>
    <m/>
    <m/>
    <s v=""/>
    <s v="E0153509"/>
    <n v="1"/>
    <n v="1"/>
    <n v="0"/>
    <n v="0"/>
    <n v="0"/>
    <n v="0"/>
    <n v="0"/>
    <n v="1"/>
    <n v="1"/>
    <n v="1"/>
    <n v="0"/>
    <x v="2"/>
    <s v=""/>
    <s v=""/>
    <s v=""/>
    <s v=""/>
    <s v=""/>
    <s v=""/>
    <s v=""/>
    <s v=""/>
    <s v=""/>
    <s v=""/>
    <n v="1"/>
    <s v=""/>
  </r>
  <r>
    <x v="0"/>
    <m/>
    <m/>
    <m/>
    <m/>
    <s v="YANG CHUNJIE"/>
    <m/>
    <m/>
    <m/>
    <m/>
    <s v="YANG CHUNJIE MD"/>
    <s v="179 N BROAD ST"/>
    <s v="NORWICH"/>
    <s v="NY"/>
    <s v="13815-1019"/>
    <s v="PHYSICIAN"/>
    <s v="M"/>
    <s v="No"/>
    <s v="MMIS"/>
    <s v="EastRPU"/>
    <s v="P"/>
    <m/>
    <m/>
    <m/>
    <s v=""/>
    <s v="E0283893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s v=""/>
    <s v=""/>
  </r>
  <r>
    <x v="0"/>
    <m/>
    <m/>
    <m/>
    <m/>
    <s v="YANG MING DR."/>
    <m/>
    <m/>
    <m/>
    <m/>
    <s v="YANG MING"/>
    <s v="1 GUTHRIE SQ"/>
    <s v="SAYRE"/>
    <s v="PA"/>
    <s v="18840-1625"/>
    <s v="PHYSICIAN"/>
    <s v="M"/>
    <s v="No"/>
    <s v="MMIS"/>
    <s v="SouthRPU"/>
    <s v="P"/>
    <m/>
    <m/>
    <m/>
    <s v=""/>
    <s v="E0335437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YANUSAS CHRISTOPHER DR."/>
    <m/>
    <m/>
    <m/>
    <m/>
    <s v="YANUSAS CHRISTOPHER"/>
    <s v="33-57 HARRISON STREET"/>
    <s v="JOHNSON CITY"/>
    <s v="NY"/>
    <s v="13790-0000"/>
    <s v="CLINICAL PSYCHOLOGIST"/>
    <s v="M"/>
    <s v="No"/>
    <s v="MMIS"/>
    <s v="SouthRPU"/>
    <s v="P"/>
    <m/>
    <m/>
    <m/>
    <s v=""/>
    <s v="E0300560"/>
    <n v="0"/>
    <n v="0"/>
    <n v="0"/>
    <n v="0"/>
    <n v="0"/>
    <n v="0"/>
    <n v="0"/>
    <n v="0"/>
    <n v="0"/>
    <n v="0"/>
    <n v="0"/>
    <x v="1"/>
    <n v="1"/>
    <s v=""/>
    <s v=""/>
    <s v=""/>
    <n v="1"/>
    <s v=""/>
    <s v=""/>
    <s v=""/>
    <s v=""/>
    <s v=""/>
    <s v=""/>
    <s v=""/>
  </r>
  <r>
    <x v="0"/>
    <m/>
    <m/>
    <m/>
    <m/>
    <s v="YARDE DAVINIA"/>
    <m/>
    <m/>
    <m/>
    <m/>
    <s v="YARDE DAVINIA A"/>
    <s v="4417 VESTAL PKWY E"/>
    <s v="VESTAL"/>
    <s v="NY"/>
    <s v="13850-3556"/>
    <s v="PHYSICIAN"/>
    <s v="M"/>
    <s v="No"/>
    <s v="MMIS"/>
    <s v="SouthRPU"/>
    <s v="P"/>
    <m/>
    <m/>
    <m/>
    <s v="YARDE DAVINIA"/>
    <s v="E0385946"/>
    <s v="No"/>
    <s v="No"/>
    <s v="No"/>
    <s v="No"/>
    <s v="No"/>
    <s v="No"/>
    <s v="No"/>
    <s v="No"/>
    <s v="No"/>
    <s v="No"/>
    <s v="No"/>
    <x v="1"/>
    <n v="1"/>
    <s v=""/>
    <s v=""/>
    <s v=""/>
    <s v=""/>
    <s v=""/>
    <s v=""/>
    <s v=""/>
    <s v=""/>
    <s v=""/>
    <n v="1"/>
    <s v=""/>
  </r>
  <r>
    <x v="0"/>
    <m/>
    <m/>
    <m/>
    <m/>
    <s v="YARKONI ALON DR."/>
    <m/>
    <m/>
    <m/>
    <m/>
    <s v="YARKONI ALON"/>
    <s v="602 IVY ST"/>
    <s v="ELMIRA"/>
    <s v="NY"/>
    <s v="14905-1646"/>
    <s v="PHYSICIAN"/>
    <s v="M"/>
    <s v="No"/>
    <s v="MMIS"/>
    <s v="SouthRPU"/>
    <s v="P"/>
    <m/>
    <m/>
    <m/>
    <s v="YARKONI ALON DR."/>
    <s v="E0295580"/>
    <s v="No"/>
    <s v="No"/>
    <s v="No"/>
    <s v="No"/>
    <s v="No"/>
    <s v="No"/>
    <s v="No"/>
    <s v="No"/>
    <s v="No"/>
    <s v="No"/>
    <s v="No"/>
    <x v="1"/>
    <n v="1"/>
    <s v=""/>
    <s v=""/>
    <s v=""/>
    <s v=""/>
    <s v=""/>
    <s v=""/>
    <s v=""/>
    <s v=""/>
    <s v=""/>
    <n v="1"/>
    <s v=""/>
  </r>
  <r>
    <x v="0"/>
    <m/>
    <m/>
    <m/>
    <m/>
    <s v="YIA MARY CHRISTINE DR."/>
    <m/>
    <m/>
    <m/>
    <m/>
    <s v="YIA MARY CHRISTINE T"/>
    <s v="1246 STATE ROUTE 38"/>
    <s v="OWEGO"/>
    <s v="NY"/>
    <s v="13827-0000"/>
    <s v="PHYSICIAN"/>
    <s v="M"/>
    <s v="No"/>
    <s v="MMIS"/>
    <s v="SouthRPU"/>
    <s v="P"/>
    <m/>
    <m/>
    <m/>
    <s v=""/>
    <s v="E0336481"/>
    <n v="0"/>
    <n v="0"/>
    <n v="0"/>
    <n v="0"/>
    <n v="0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s v="61 Susquehanna Street"/>
    <s v="Binghamton"/>
    <s v="NY"/>
    <s v="13901"/>
    <m/>
    <m/>
    <m/>
    <m/>
    <m/>
    <m/>
    <m/>
    <m/>
    <m/>
    <m/>
    <m/>
    <s v="M"/>
    <s v="No"/>
    <s v="No NPI or MMIS"/>
    <s v="SouthRPU"/>
    <s v="P"/>
    <m/>
    <m/>
    <m/>
    <s v="YMCA of Broome County"/>
    <m/>
    <s v="No"/>
    <s v="No"/>
    <s v="No"/>
    <s v="No"/>
    <s v="No"/>
    <s v="No"/>
    <s v="No"/>
    <s v="No"/>
    <s v="No"/>
    <s v="No"/>
    <s v="No"/>
    <x v="1"/>
    <s v=""/>
    <s v=""/>
    <s v=""/>
    <s v=""/>
    <s v=""/>
    <s v=""/>
    <s v=""/>
    <s v=""/>
    <s v=""/>
    <n v="1"/>
    <s v=""/>
    <s v=""/>
  </r>
  <r>
    <x v="0"/>
    <m/>
    <m/>
    <m/>
    <m/>
    <s v="YOUNG DANIEL"/>
    <m/>
    <m/>
    <m/>
    <m/>
    <s v="YOUNG DANIEL M MD"/>
    <s v="WINDSOR FAM CARE"/>
    <s v="WINDSOR"/>
    <s v="NY"/>
    <s v="13865-4126"/>
    <s v="PHYSICIAN"/>
    <s v="M"/>
    <s v="No"/>
    <s v="MMIS"/>
    <s v="SouthRPU"/>
    <s v="P"/>
    <m/>
    <m/>
    <m/>
    <s v=""/>
    <s v="E0177124"/>
    <n v="1"/>
    <n v="1"/>
    <n v="0"/>
    <n v="1"/>
    <n v="1"/>
    <n v="1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0"/>
    <m/>
    <m/>
    <m/>
    <m/>
    <s v="YOUSUF MOHAMMAD DR."/>
    <m/>
    <m/>
    <m/>
    <m/>
    <s v="YOUSUF MOHAMMAD BASHAR     MD"/>
    <s v="41 ARCH ST"/>
    <s v="JOHNSON CITY"/>
    <s v="NY"/>
    <s v="13790-2101"/>
    <s v="PHYSICIAN"/>
    <s v="M"/>
    <s v="No"/>
    <s v="MMIS"/>
    <s v="SouthRPU"/>
    <s v="P"/>
    <m/>
    <m/>
    <m/>
    <s v=""/>
    <s v="E0204019"/>
    <n v="1"/>
    <n v="1"/>
    <n v="0"/>
    <n v="1"/>
    <n v="1"/>
    <n v="0"/>
    <n v="0"/>
    <n v="0"/>
    <n v="0"/>
    <n v="0"/>
    <n v="1"/>
    <x v="1"/>
    <n v="1"/>
    <s v=""/>
    <s v=""/>
    <s v=""/>
    <s v=""/>
    <s v=""/>
    <s v=""/>
    <s v=""/>
    <s v=""/>
    <s v=""/>
    <s v=""/>
    <s v=""/>
  </r>
  <r>
    <x v="0"/>
    <m/>
    <m/>
    <m/>
    <m/>
    <s v="YU HONG"/>
    <m/>
    <m/>
    <m/>
    <m/>
    <s v="YU HONG MD"/>
    <m/>
    <s v="BINGHAMTON"/>
    <s v="NY"/>
    <s v="13905-4176"/>
    <s v="PHYSICIAN"/>
    <s v="M"/>
    <s v="No"/>
    <s v="MMIS"/>
    <s v="SouthRPU"/>
    <s v="P"/>
    <m/>
    <m/>
    <m/>
    <s v=""/>
    <s v="E0101813"/>
    <n v="1"/>
    <n v="1"/>
    <n v="0"/>
    <n v="1"/>
    <n v="1"/>
    <n v="0"/>
    <n v="0"/>
    <n v="1"/>
    <n v="0"/>
    <n v="0"/>
    <n v="1"/>
    <x v="2"/>
    <s v=""/>
    <s v=""/>
    <s v=""/>
    <s v=""/>
    <s v=""/>
    <s v=""/>
    <s v=""/>
    <s v=""/>
    <s v=""/>
    <s v=""/>
    <n v="1"/>
    <s v=""/>
  </r>
  <r>
    <x v="0"/>
    <m/>
    <m/>
    <m/>
    <m/>
    <s v="YUN JOANNA DR."/>
    <m/>
    <m/>
    <m/>
    <m/>
    <s v="YUN JOANNA"/>
    <s v="4077 WEST RD"/>
    <s v="CORTLAND"/>
    <s v="NY"/>
    <s v="13045-1637"/>
    <s v="PHYSICIAN"/>
    <s v="M"/>
    <s v="No"/>
    <s v="MMIS"/>
    <s v="NorthRPU"/>
    <s v="P"/>
    <m/>
    <m/>
    <m/>
    <s v="Yun Joanna"/>
    <s v="E0416018"/>
    <s v="No"/>
    <s v="No"/>
    <s v="No"/>
    <s v="No"/>
    <s v="No"/>
    <s v="No"/>
    <s v="No"/>
    <s v="No"/>
    <s v="No"/>
    <s v="No"/>
    <s v="No"/>
    <x v="2"/>
    <s v=""/>
    <s v=""/>
    <s v=""/>
    <s v=""/>
    <s v=""/>
    <s v=""/>
    <s v=""/>
    <s v=""/>
    <s v=""/>
    <s v=""/>
    <s v=""/>
    <s v=""/>
  </r>
  <r>
    <x v="0"/>
    <m/>
    <m/>
    <m/>
    <m/>
    <s v="KHIBKIN YURI DR."/>
    <m/>
    <m/>
    <m/>
    <m/>
    <s v="KHIBKIN YURI MD"/>
    <s v="1400 PELHAM PKWY S"/>
    <s v="BRONX"/>
    <s v="NY"/>
    <s v="10461-1138"/>
    <s v="PHYSICIAN"/>
    <s v="M"/>
    <s v="No"/>
    <s v="MMIS"/>
    <s v="SouthRPU"/>
    <s v="P"/>
    <m/>
    <m/>
    <m/>
    <s v=""/>
    <s v="E0033159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s v="80 Hawley Street"/>
    <s v="Binghamton"/>
    <s v="NY"/>
    <s v="13901"/>
    <m/>
    <m/>
    <m/>
    <m/>
    <m/>
    <m/>
    <m/>
    <m/>
    <m/>
    <m/>
    <m/>
    <s v="M"/>
    <s v="No"/>
    <s v="No NPI or MMIS"/>
    <s v="SouthRPU"/>
    <s v="P"/>
    <m/>
    <m/>
    <m/>
    <s v=""/>
    <s v="YWCA Binghamton &amp; Broome County"/>
    <n v="1"/>
    <n v="1"/>
    <m/>
    <n v="1"/>
    <n v="1"/>
    <m/>
    <m/>
    <m/>
    <m/>
    <n v="1"/>
    <s v="No"/>
    <x v="1"/>
    <s v=""/>
    <s v=""/>
    <s v=""/>
    <s v=""/>
    <s v=""/>
    <s v=""/>
    <s v=""/>
    <s v=""/>
    <s v=""/>
    <n v="1"/>
    <s v=""/>
    <s v=""/>
  </r>
  <r>
    <x v="0"/>
    <m/>
    <m/>
    <m/>
    <m/>
    <s v="ZANDER DAVID DR."/>
    <m/>
    <m/>
    <m/>
    <m/>
    <s v="ZANDER DAVID BROOKS MD"/>
    <s v="SUSQUEHANNA MED AFF"/>
    <s v="BINGHAMTON"/>
    <s v="NY"/>
    <s v="13903-1674"/>
    <s v="PHYSICIAN"/>
    <s v="M"/>
    <s v="No"/>
    <s v="MMIS"/>
    <s v="SouthRPU"/>
    <s v="P"/>
    <m/>
    <m/>
    <m/>
    <s v=""/>
    <s v="E0249242"/>
    <n v="1"/>
    <n v="1"/>
    <n v="0"/>
    <n v="1"/>
    <n v="1"/>
    <n v="0"/>
    <n v="0"/>
    <n v="1"/>
    <n v="0"/>
    <n v="0"/>
    <n v="1"/>
    <x v="2"/>
    <s v=""/>
    <s v=""/>
    <s v=""/>
    <s v=""/>
    <s v=""/>
    <s v=""/>
    <s v=""/>
    <s v=""/>
    <s v=""/>
    <s v=""/>
    <n v="1"/>
    <s v=""/>
  </r>
  <r>
    <x v="0"/>
    <m/>
    <m/>
    <m/>
    <m/>
    <s v="ZEYKAN VIOLETA"/>
    <m/>
    <m/>
    <m/>
    <m/>
    <s v="ZEYKAN VIOLETA"/>
    <s v="1 GUTHRIE SQ"/>
    <s v="SAYRE"/>
    <s v="PA"/>
    <s v="18840-1625"/>
    <s v="PHYSICIAN"/>
    <s v="M"/>
    <s v="No"/>
    <s v="MMIS"/>
    <s v="SouthRPU"/>
    <s v="P"/>
    <m/>
    <m/>
    <m/>
    <s v=""/>
    <s v="E0339616"/>
    <n v="1"/>
    <n v="1"/>
    <n v="0"/>
    <n v="0"/>
    <n v="0"/>
    <n v="0"/>
    <n v="0"/>
    <n v="1"/>
    <n v="1"/>
    <n v="1"/>
    <n v="0"/>
    <x v="2"/>
    <s v=""/>
    <s v=""/>
    <s v=""/>
    <s v=""/>
    <s v=""/>
    <s v=""/>
    <s v=""/>
    <s v=""/>
    <s v=""/>
    <s v=""/>
    <n v="1"/>
    <s v=""/>
  </r>
  <r>
    <x v="0"/>
    <m/>
    <m/>
    <m/>
    <m/>
    <s v="ZHANG MICHAEL"/>
    <m/>
    <m/>
    <m/>
    <m/>
    <s v="ZHANG MICHAEL YU"/>
    <s v="UMA PC"/>
    <s v="JOHNSON CITY"/>
    <s v="NY"/>
    <s v="13790-2597"/>
    <s v="PHYSICIAN"/>
    <s v="M"/>
    <s v="No"/>
    <s v="MMIS"/>
    <s v="SouthRPU"/>
    <s v="P"/>
    <m/>
    <m/>
    <m/>
    <s v=""/>
    <s v="E0139016"/>
    <n v="1"/>
    <n v="1"/>
    <n v="0"/>
    <n v="1"/>
    <n v="1"/>
    <n v="0"/>
    <n v="0"/>
    <n v="0"/>
    <n v="0"/>
    <n v="0"/>
    <n v="0"/>
    <x v="2"/>
    <s v=""/>
    <s v=""/>
    <s v=""/>
    <s v=""/>
    <s v=""/>
    <s v=""/>
    <s v=""/>
    <s v=""/>
    <s v=""/>
    <s v=""/>
    <n v="1"/>
    <s v=""/>
  </r>
  <r>
    <x v="1"/>
    <m/>
    <m/>
    <m/>
    <m/>
    <s v="EL-ZAMMAR ZIAD"/>
    <m/>
    <m/>
    <m/>
    <m/>
    <s v="EL-ZAMMAR ZIAD MK MD"/>
    <s v="104 UNION AVE"/>
    <s v="SYRACUSE"/>
    <s v="NY"/>
    <s v="13203"/>
    <s v="PHYSICIAN"/>
    <s v="M"/>
    <s v="No"/>
    <s v="MMIS"/>
    <s v="NorthRPU"/>
    <s v="P"/>
    <m/>
    <m/>
    <m/>
    <s v=""/>
    <s v="E0000319"/>
    <n v="0"/>
    <n v="0"/>
    <n v="0"/>
    <n v="0"/>
    <n v="0"/>
    <n v="0"/>
    <n v="0"/>
    <n v="0"/>
    <n v="0"/>
    <n v="0"/>
    <n v="0"/>
    <x v="1"/>
    <n v="1"/>
    <s v=""/>
    <s v=""/>
    <s v=""/>
    <s v=""/>
    <s v=""/>
    <s v=""/>
    <s v=""/>
    <s v=""/>
    <s v=""/>
    <n v="1"/>
    <s v=""/>
  </r>
  <r>
    <x v="0"/>
    <m/>
    <m/>
    <m/>
    <m/>
    <s v="ZINN RALPH MR."/>
    <m/>
    <m/>
    <m/>
    <m/>
    <s v="ZINN RALPH J"/>
    <s v="16 BRENTWOOD DR"/>
    <s v="ITHACA"/>
    <s v="NY"/>
    <s v="14850-1863"/>
    <s v="PHYSICIAN"/>
    <s v="M"/>
    <s v="No"/>
    <s v="MMIS"/>
    <s v="NorthRPU"/>
    <s v="P"/>
    <m/>
    <m/>
    <s v="CMC"/>
    <s v="Zinn Ralph"/>
    <s v="E0383394"/>
    <s v="No"/>
    <s v="No"/>
    <s v="No"/>
    <s v="No"/>
    <s v="No"/>
    <s v="No"/>
    <s v="No"/>
    <s v="No"/>
    <s v="No"/>
    <s v="No"/>
    <s v="No"/>
    <x v="2"/>
    <n v="1"/>
    <s v=""/>
    <s v=""/>
    <s v=""/>
    <s v=""/>
    <s v=""/>
    <s v=""/>
    <s v=""/>
    <s v=""/>
    <s v=""/>
    <n v="1"/>
    <s v=""/>
  </r>
  <r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L16" firstHeaderRow="0" firstDataRow="1" firstDataCol="1"/>
  <pivotFields count="50"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ubtotalTop="0" showAll="0"/>
    <pivotField dataField="1" subtotalTop="0" showAll="0"/>
    <pivotField dataField="1" subtotalTop="0" showAll="0"/>
    <pivotField dataField="1" subtotalTop="0" showAll="0"/>
    <pivotField dataField="1" subtotalTop="0" showAll="0"/>
    <pivotField dataField="1" subtotalTop="0" showAll="0"/>
    <pivotField dataField="1" subtotalTop="0" showAll="0"/>
    <pivotField dataField="1" subtotalTop="0" showAll="0"/>
    <pivotField dataField="1" subtotalTop="0" showAll="0"/>
    <pivotField dataField="1" subtotalTop="0" showAll="0"/>
    <pivotField dataField="1" subtotalTop="0" showAll="0"/>
    <pivotField axis="axisRow" subtotalTop="0" showAll="0">
      <items count="4">
        <item x="2"/>
        <item x="1"/>
        <item x="0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</pivotFields>
  <rowFields count="2">
    <field x="37"/>
    <field x="0"/>
  </rowFields>
  <rowItems count="13">
    <i>
      <x/>
    </i>
    <i r="1">
      <x/>
    </i>
    <i r="1">
      <x v="1"/>
    </i>
    <i t="default">
      <x/>
    </i>
    <i>
      <x v="1"/>
    </i>
    <i r="1">
      <x/>
    </i>
    <i r="1">
      <x v="1"/>
    </i>
    <i t="default">
      <x v="1"/>
    </i>
    <i>
      <x v="2"/>
    </i>
    <i r="1">
      <x/>
    </i>
    <i r="1">
      <x v="2"/>
    </i>
    <i t="default">
      <x v="2"/>
    </i>
    <i t="grand">
      <x/>
    </i>
  </rowItems>
  <colFields count="1">
    <field x="-2"/>
  </colFields>
  <col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colItems>
  <dataFields count="11">
    <dataField name="Sum of Prov Project 2.a.i" fld="26" baseField="11" baseItem="0"/>
    <dataField name="Sum of Prov Project 2.b.iv" fld="27" baseField="11" baseItem="0"/>
    <dataField name="Sum of Prov Project 2.b.vii" fld="28" baseField="11" baseItem="0"/>
    <dataField name="Sum of Prov Project 2.c.i" fld="29" baseField="11" baseItem="0"/>
    <dataField name="Sum of Prov Project 2.d.i" fld="30" baseField="11" baseItem="0"/>
    <dataField name="Sum of Prov Project 3.a.i" fld="31" baseField="11" baseItem="0"/>
    <dataField name="Sum of Prov Project 3.a.ii" fld="32" baseField="11" baseItem="0"/>
    <dataField name="Sum of Prov Project 3.b.i" fld="33" baseField="11" baseItem="0"/>
    <dataField name="Sum of Prov Project 3.g.i" fld="34" baseField="11" baseItem="0"/>
    <dataField name="Sum of Prov Project 4.a.iii" fld="35" baseField="11" baseItem="0"/>
    <dataField name="Sum of Prov Project 4.b.ii" fld="36" baseField="1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workbookViewId="0">
      <selection activeCell="A5" sqref="A5:A18"/>
    </sheetView>
  </sheetViews>
  <sheetFormatPr defaultRowHeight="15" x14ac:dyDescent="0.25"/>
  <cols>
    <col min="1" max="1" width="50.28515625" bestFit="1" customWidth="1"/>
    <col min="2" max="2" width="1.28515625" customWidth="1"/>
    <col min="3" max="3" width="14.28515625" bestFit="1" customWidth="1"/>
    <col min="4" max="4" width="13.42578125" customWidth="1"/>
    <col min="5" max="5" width="14.28515625" bestFit="1" customWidth="1"/>
    <col min="6" max="6" width="1.28515625" customWidth="1"/>
    <col min="7" max="9" width="13.42578125" customWidth="1"/>
    <col min="13" max="13" width="11.28515625" bestFit="1" customWidth="1"/>
  </cols>
  <sheetData>
    <row r="1" spans="1:9" x14ac:dyDescent="0.25">
      <c r="A1" s="1" t="s">
        <v>0</v>
      </c>
    </row>
    <row r="3" spans="1:9" x14ac:dyDescent="0.25">
      <c r="A3" s="30" t="s">
        <v>1</v>
      </c>
      <c r="B3" s="8"/>
      <c r="C3" s="29" t="s">
        <v>2</v>
      </c>
      <c r="D3" s="29"/>
      <c r="E3" s="29"/>
      <c r="F3" s="29"/>
      <c r="G3" s="29"/>
      <c r="H3" s="29"/>
      <c r="I3" s="29"/>
    </row>
    <row r="4" spans="1:9" ht="60" x14ac:dyDescent="0.25">
      <c r="A4" s="30"/>
      <c r="B4" s="8"/>
      <c r="C4" s="20" t="s">
        <v>3</v>
      </c>
      <c r="D4" s="20" t="s">
        <v>4</v>
      </c>
      <c r="E4" s="20" t="s">
        <v>5</v>
      </c>
      <c r="F4" s="8"/>
      <c r="G4" s="20" t="s">
        <v>6</v>
      </c>
      <c r="H4" s="20" t="s">
        <v>7</v>
      </c>
      <c r="I4" s="20" t="s">
        <v>8</v>
      </c>
    </row>
    <row r="5" spans="1:9" x14ac:dyDescent="0.25">
      <c r="A5" s="2" t="s">
        <v>9</v>
      </c>
      <c r="B5" s="8"/>
      <c r="C5" s="4">
        <f>'Funds Flow - Partner Detail'!H16</f>
        <v>176661</v>
      </c>
      <c r="D5" s="4">
        <f>'Funds Flow - Partner Detail'!I16</f>
        <v>0</v>
      </c>
      <c r="E5" s="4">
        <f>C5+D5</f>
        <v>176661</v>
      </c>
      <c r="F5" s="8"/>
      <c r="G5" s="5">
        <f t="shared" ref="G5:G23" si="0">IF(C5&gt;0,C5/$C$24,0)</f>
        <v>4.701088716594079E-2</v>
      </c>
      <c r="H5" s="5">
        <f t="shared" ref="H5:H23" si="1">IF(D5&gt;0,D5/$D$24,0)</f>
        <v>0</v>
      </c>
      <c r="I5" s="5">
        <f t="shared" ref="I5:I23" si="2">IF(E5&gt;0,E5/$E$24,0)</f>
        <v>4.701088716594079E-2</v>
      </c>
    </row>
    <row r="6" spans="1:9" x14ac:dyDescent="0.25">
      <c r="A6" s="2" t="s">
        <v>10</v>
      </c>
      <c r="B6" s="8"/>
      <c r="C6" s="4">
        <f>'Funds Flow - Partner Detail'!H24</f>
        <v>0</v>
      </c>
      <c r="D6" s="4">
        <f>'Funds Flow - Partner Detail'!I24</f>
        <v>0</v>
      </c>
      <c r="E6" s="4">
        <f t="shared" ref="E6:E23" si="3">C6+D6</f>
        <v>0</v>
      </c>
      <c r="F6" s="8"/>
      <c r="G6" s="5">
        <f t="shared" si="0"/>
        <v>0</v>
      </c>
      <c r="H6" s="5">
        <f t="shared" si="1"/>
        <v>0</v>
      </c>
      <c r="I6" s="5">
        <f t="shared" si="2"/>
        <v>0</v>
      </c>
    </row>
    <row r="7" spans="1:9" x14ac:dyDescent="0.25">
      <c r="A7" s="2" t="s">
        <v>11</v>
      </c>
      <c r="B7" s="8"/>
      <c r="C7" s="4">
        <f>'Funds Flow - Partner Detail'!H35</f>
        <v>717874.16999999993</v>
      </c>
      <c r="D7" s="4">
        <f>'Funds Flow - Partner Detail'!I35</f>
        <v>0</v>
      </c>
      <c r="E7" s="4">
        <f t="shared" si="3"/>
        <v>717874.16999999993</v>
      </c>
      <c r="F7" s="8"/>
      <c r="G7" s="5">
        <f t="shared" si="0"/>
        <v>0.19103198558376436</v>
      </c>
      <c r="H7" s="5">
        <f t="shared" si="1"/>
        <v>0</v>
      </c>
      <c r="I7" s="5">
        <f t="shared" si="2"/>
        <v>0.19103198558376436</v>
      </c>
    </row>
    <row r="8" spans="1:9" x14ac:dyDescent="0.25">
      <c r="A8" s="2" t="s">
        <v>12</v>
      </c>
      <c r="B8" s="8"/>
      <c r="C8" s="4">
        <f>'Funds Flow - Partner Detail'!H44</f>
        <v>2006927.03</v>
      </c>
      <c r="D8" s="4">
        <f>'Funds Flow - Partner Detail'!I44</f>
        <v>0</v>
      </c>
      <c r="E8" s="4">
        <f t="shared" si="3"/>
        <v>2006927.03</v>
      </c>
      <c r="F8" s="8"/>
      <c r="G8" s="5">
        <f t="shared" si="0"/>
        <v>0.53405913109065761</v>
      </c>
      <c r="H8" s="5">
        <f t="shared" si="1"/>
        <v>0</v>
      </c>
      <c r="I8" s="5">
        <f t="shared" si="2"/>
        <v>0.53405913109065761</v>
      </c>
    </row>
    <row r="9" spans="1:9" x14ac:dyDescent="0.25">
      <c r="A9" s="2" t="s">
        <v>13</v>
      </c>
      <c r="B9" s="8"/>
      <c r="C9" s="4">
        <f>'Funds Flow - Partner Detail'!H54</f>
        <v>230667</v>
      </c>
      <c r="D9" s="4">
        <f>'Funds Flow - Partner Detail'!I54</f>
        <v>0</v>
      </c>
      <c r="E9" s="4">
        <f t="shared" si="3"/>
        <v>230667</v>
      </c>
      <c r="F9" s="8"/>
      <c r="G9" s="5">
        <f t="shared" si="0"/>
        <v>6.1382310243381755E-2</v>
      </c>
      <c r="H9" s="5">
        <f t="shared" si="1"/>
        <v>0</v>
      </c>
      <c r="I9" s="5">
        <f t="shared" si="2"/>
        <v>6.1382310243381755E-2</v>
      </c>
    </row>
    <row r="10" spans="1:9" x14ac:dyDescent="0.25">
      <c r="A10" s="2" t="s">
        <v>14</v>
      </c>
      <c r="B10" s="8"/>
      <c r="C10" s="4">
        <f>'Funds Flow - Partner Detail'!H66</f>
        <v>134642.51</v>
      </c>
      <c r="D10" s="4">
        <f>'Funds Flow - Partner Detail'!I66</f>
        <v>0</v>
      </c>
      <c r="E10" s="4">
        <f t="shared" si="3"/>
        <v>134642.51</v>
      </c>
      <c r="F10" s="8"/>
      <c r="G10" s="5">
        <f t="shared" si="0"/>
        <v>3.5829435163103655E-2</v>
      </c>
      <c r="H10" s="5">
        <f t="shared" si="1"/>
        <v>0</v>
      </c>
      <c r="I10" s="5">
        <f t="shared" si="2"/>
        <v>3.5829435163103655E-2</v>
      </c>
    </row>
    <row r="11" spans="1:9" x14ac:dyDescent="0.25">
      <c r="A11" s="2" t="s">
        <v>15</v>
      </c>
      <c r="B11" s="8"/>
      <c r="C11" s="4">
        <f>'Funds Flow - Partner Detail'!H78</f>
        <v>3028</v>
      </c>
      <c r="D11" s="4">
        <f>'Funds Flow - Partner Detail'!I78</f>
        <v>0</v>
      </c>
      <c r="E11" s="4">
        <f t="shared" si="3"/>
        <v>3028</v>
      </c>
      <c r="F11" s="8"/>
      <c r="G11" s="5">
        <f t="shared" si="0"/>
        <v>8.0577471167076332E-4</v>
      </c>
      <c r="H11" s="5">
        <f t="shared" si="1"/>
        <v>0</v>
      </c>
      <c r="I11" s="5">
        <f t="shared" si="2"/>
        <v>8.0577471167076332E-4</v>
      </c>
    </row>
    <row r="12" spans="1:9" x14ac:dyDescent="0.25">
      <c r="A12" s="2" t="s">
        <v>16</v>
      </c>
      <c r="B12" s="8"/>
      <c r="C12" s="4">
        <f>'Funds Flow - Partner Detail'!H90</f>
        <v>162096.34</v>
      </c>
      <c r="D12" s="4">
        <f>'Funds Flow - Partner Detail'!I90</f>
        <v>0</v>
      </c>
      <c r="E12" s="4">
        <f t="shared" si="3"/>
        <v>162096.34</v>
      </c>
      <c r="F12" s="8"/>
      <c r="G12" s="5">
        <f t="shared" si="0"/>
        <v>4.3135116124962354E-2</v>
      </c>
      <c r="H12" s="5">
        <f t="shared" si="1"/>
        <v>0</v>
      </c>
      <c r="I12" s="5">
        <f t="shared" si="2"/>
        <v>4.3135116124962354E-2</v>
      </c>
    </row>
    <row r="13" spans="1:9" x14ac:dyDescent="0.25">
      <c r="A13" s="2" t="s">
        <v>17</v>
      </c>
      <c r="B13" s="8"/>
      <c r="C13" s="4">
        <f>'Funds Flow - Partner Detail'!H98</f>
        <v>0</v>
      </c>
      <c r="D13" s="4">
        <f>'Funds Flow - Partner Detail'!I98</f>
        <v>0</v>
      </c>
      <c r="E13" s="4">
        <f t="shared" si="3"/>
        <v>0</v>
      </c>
      <c r="F13" s="8"/>
      <c r="G13" s="5">
        <f t="shared" si="0"/>
        <v>0</v>
      </c>
      <c r="H13" s="5">
        <f t="shared" si="1"/>
        <v>0</v>
      </c>
      <c r="I13" s="5">
        <f t="shared" si="2"/>
        <v>0</v>
      </c>
    </row>
    <row r="14" spans="1:9" x14ac:dyDescent="0.25">
      <c r="A14" s="2" t="s">
        <v>18</v>
      </c>
      <c r="B14" s="8"/>
      <c r="C14" s="4">
        <f>'Funds Flow - Partner Detail'!H116</f>
        <v>116214.34</v>
      </c>
      <c r="D14" s="4">
        <f>'Funds Flow - Partner Detail'!I116</f>
        <v>0</v>
      </c>
      <c r="E14" s="4">
        <f t="shared" si="3"/>
        <v>116214.34</v>
      </c>
      <c r="F14" s="8"/>
      <c r="G14" s="5">
        <f t="shared" si="0"/>
        <v>3.0925553601554839E-2</v>
      </c>
      <c r="H14" s="5">
        <f t="shared" si="1"/>
        <v>0</v>
      </c>
      <c r="I14" s="5">
        <f t="shared" si="2"/>
        <v>3.0925553601554839E-2</v>
      </c>
    </row>
    <row r="15" spans="1:9" x14ac:dyDescent="0.25">
      <c r="A15" s="2" t="s">
        <v>19</v>
      </c>
      <c r="B15" s="8"/>
      <c r="C15" s="4">
        <f>'Funds Flow - Partner Detail'!H131</f>
        <v>152355</v>
      </c>
      <c r="D15" s="4">
        <f>'Funds Flow - Partner Detail'!I131</f>
        <v>0</v>
      </c>
      <c r="E15" s="4">
        <f t="shared" si="3"/>
        <v>152355</v>
      </c>
      <c r="F15" s="8"/>
      <c r="G15" s="5">
        <f t="shared" si="0"/>
        <v>4.0542868625032744E-2</v>
      </c>
      <c r="H15" s="5">
        <f t="shared" si="1"/>
        <v>0</v>
      </c>
      <c r="I15" s="5">
        <f t="shared" si="2"/>
        <v>4.0542868625032744E-2</v>
      </c>
    </row>
    <row r="16" spans="1:9" x14ac:dyDescent="0.25">
      <c r="A16" s="2" t="s">
        <v>20</v>
      </c>
      <c r="B16" s="8"/>
      <c r="C16" s="4">
        <f>'Funds Flow - Partner Detail'!H139</f>
        <v>30370</v>
      </c>
      <c r="D16" s="4">
        <f>'Funds Flow - Partner Detail'!I139</f>
        <v>0</v>
      </c>
      <c r="E16" s="4">
        <f t="shared" si="3"/>
        <v>30370</v>
      </c>
      <c r="F16" s="8"/>
      <c r="G16" s="5">
        <f t="shared" si="0"/>
        <v>8.0816968274243992E-3</v>
      </c>
      <c r="H16" s="5">
        <f t="shared" si="1"/>
        <v>0</v>
      </c>
      <c r="I16" s="5">
        <f t="shared" si="2"/>
        <v>8.0816968274243992E-3</v>
      </c>
    </row>
    <row r="17" spans="1:13" x14ac:dyDescent="0.25">
      <c r="A17" s="2" t="s">
        <v>21</v>
      </c>
      <c r="B17" s="8"/>
      <c r="C17" s="4">
        <f>'Funds Flow - Partner Detail'!H147</f>
        <v>-86.52000000000001</v>
      </c>
      <c r="D17" s="4">
        <f>'Funds Flow - Partner Detail'!I147</f>
        <v>0</v>
      </c>
      <c r="E17" s="4">
        <f t="shared" si="3"/>
        <v>-86.52000000000001</v>
      </c>
      <c r="F17" s="8"/>
      <c r="G17" s="5">
        <f t="shared" si="0"/>
        <v>0</v>
      </c>
      <c r="H17" s="5">
        <f t="shared" si="1"/>
        <v>0</v>
      </c>
      <c r="I17" s="5">
        <f t="shared" si="2"/>
        <v>0</v>
      </c>
    </row>
    <row r="18" spans="1:13" x14ac:dyDescent="0.25">
      <c r="A18" s="2" t="s">
        <v>22</v>
      </c>
      <c r="B18" s="8"/>
      <c r="C18" s="4">
        <f>'Funds Flow - Partner Detail'!H155</f>
        <v>27125.33</v>
      </c>
      <c r="D18" s="4">
        <f>'Funds Flow - Partner Detail'!I155</f>
        <v>0</v>
      </c>
      <c r="E18" s="4">
        <f t="shared" si="3"/>
        <v>27125.33</v>
      </c>
      <c r="F18" s="8"/>
      <c r="G18" s="5">
        <f t="shared" si="0"/>
        <v>7.2182645177425054E-3</v>
      </c>
      <c r="H18" s="5">
        <f t="shared" si="1"/>
        <v>0</v>
      </c>
      <c r="I18" s="5">
        <f t="shared" si="2"/>
        <v>7.2182645177425054E-3</v>
      </c>
    </row>
    <row r="19" spans="1:13" x14ac:dyDescent="0.25">
      <c r="A19" s="2" t="s">
        <v>23</v>
      </c>
      <c r="B19" s="8"/>
      <c r="C19" s="4"/>
      <c r="D19" s="4"/>
      <c r="E19" s="4">
        <f t="shared" si="3"/>
        <v>0</v>
      </c>
      <c r="F19" s="8"/>
      <c r="G19" s="5">
        <f t="shared" si="0"/>
        <v>0</v>
      </c>
      <c r="H19" s="5">
        <f t="shared" si="1"/>
        <v>0</v>
      </c>
      <c r="I19" s="5">
        <f t="shared" si="2"/>
        <v>0</v>
      </c>
    </row>
    <row r="20" spans="1:13" x14ac:dyDescent="0.25">
      <c r="A20" s="2" t="s">
        <v>24</v>
      </c>
      <c r="B20" s="8"/>
      <c r="C20" s="4">
        <f>'Funds Flow - Partner Detail'!H163</f>
        <v>0</v>
      </c>
      <c r="D20" s="4">
        <f>'Funds Flow - Partner Detail'!I163</f>
        <v>0</v>
      </c>
      <c r="E20" s="4">
        <f t="shared" si="3"/>
        <v>0</v>
      </c>
      <c r="F20" s="8"/>
      <c r="G20" s="5">
        <f t="shared" si="0"/>
        <v>0</v>
      </c>
      <c r="H20" s="5">
        <f t="shared" si="1"/>
        <v>0</v>
      </c>
      <c r="I20" s="5">
        <f t="shared" si="2"/>
        <v>0</v>
      </c>
    </row>
    <row r="21" spans="1:13" x14ac:dyDescent="0.25">
      <c r="A21" s="2" t="s">
        <v>25</v>
      </c>
      <c r="B21" s="8"/>
      <c r="C21" s="4">
        <f>'Funds Flow - Partner Detail'!H171</f>
        <v>0</v>
      </c>
      <c r="D21" s="4">
        <f>'Funds Flow - Partner Detail'!I171</f>
        <v>0</v>
      </c>
      <c r="E21" s="4">
        <f t="shared" ref="E21" si="4">C21+D21</f>
        <v>0</v>
      </c>
      <c r="F21" s="8"/>
      <c r="G21" s="5">
        <f t="shared" si="0"/>
        <v>0</v>
      </c>
      <c r="H21" s="5">
        <f t="shared" si="1"/>
        <v>0</v>
      </c>
      <c r="I21" s="5">
        <f t="shared" si="2"/>
        <v>0</v>
      </c>
    </row>
    <row r="22" spans="1:13" x14ac:dyDescent="0.25">
      <c r="A22" s="2" t="s">
        <v>25</v>
      </c>
      <c r="B22" s="8"/>
      <c r="C22" s="4">
        <f>'Funds Flow - Partner Detail'!H179</f>
        <v>0</v>
      </c>
      <c r="D22" s="4">
        <f>'Funds Flow - Partner Detail'!I179</f>
        <v>0</v>
      </c>
      <c r="E22" s="4">
        <f t="shared" si="3"/>
        <v>0</v>
      </c>
      <c r="F22" s="8"/>
      <c r="G22" s="5">
        <f t="shared" si="0"/>
        <v>0</v>
      </c>
      <c r="H22" s="5">
        <f t="shared" si="1"/>
        <v>0</v>
      </c>
      <c r="I22" s="5">
        <f t="shared" si="2"/>
        <v>0</v>
      </c>
    </row>
    <row r="23" spans="1:13" x14ac:dyDescent="0.25">
      <c r="A23" s="2" t="s">
        <v>25</v>
      </c>
      <c r="B23" s="8"/>
      <c r="C23" s="4">
        <f>'Funds Flow - Partner Detail'!H187</f>
        <v>0</v>
      </c>
      <c r="D23" s="4">
        <f>'Funds Flow - Partner Detail'!I187</f>
        <v>0</v>
      </c>
      <c r="E23" s="4">
        <f t="shared" si="3"/>
        <v>0</v>
      </c>
      <c r="F23" s="8"/>
      <c r="G23" s="5">
        <f t="shared" si="0"/>
        <v>0</v>
      </c>
      <c r="H23" s="5">
        <f t="shared" si="1"/>
        <v>0</v>
      </c>
      <c r="I23" s="5">
        <f t="shared" si="2"/>
        <v>0</v>
      </c>
    </row>
    <row r="24" spans="1:13" x14ac:dyDescent="0.25">
      <c r="A24" s="3" t="s">
        <v>26</v>
      </c>
      <c r="B24" s="8"/>
      <c r="C24" s="6">
        <f>SUM(C5:C23)</f>
        <v>3757874.1999999997</v>
      </c>
      <c r="D24" s="6">
        <f t="shared" ref="D24:E24" si="5">SUM(D5:D23)</f>
        <v>0</v>
      </c>
      <c r="E24" s="6">
        <f t="shared" si="5"/>
        <v>3757874.1999999997</v>
      </c>
      <c r="F24" s="8"/>
      <c r="G24" s="7">
        <f>SUM(G5:G23)</f>
        <v>1.0000230236552357</v>
      </c>
      <c r="H24" s="7">
        <f t="shared" ref="H24:I24" si="6">SUM(H5:H23)</f>
        <v>0</v>
      </c>
      <c r="I24" s="7">
        <f t="shared" si="6"/>
        <v>1.0000230236552357</v>
      </c>
      <c r="M24" s="22"/>
    </row>
    <row r="26" spans="1:13" x14ac:dyDescent="0.25">
      <c r="M26" s="22"/>
    </row>
  </sheetData>
  <mergeCells count="2">
    <mergeCell ref="C3:I3"/>
    <mergeCell ref="A3:A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7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:C1048576"/>
    </sheetView>
  </sheetViews>
  <sheetFormatPr defaultRowHeight="15" x14ac:dyDescent="0.25"/>
  <cols>
    <col min="1" max="1" width="32" bestFit="1" customWidth="1"/>
    <col min="2" max="3" width="13.42578125" hidden="1" customWidth="1"/>
    <col min="4" max="4" width="65.85546875" bestFit="1" customWidth="1"/>
    <col min="5" max="5" width="13.42578125" customWidth="1"/>
    <col min="6" max="6" width="27.85546875" customWidth="1"/>
    <col min="7" max="7" width="1.28515625" customWidth="1"/>
    <col min="8" max="10" width="13.42578125" customWidth="1"/>
    <col min="12" max="12" width="15" bestFit="1" customWidth="1"/>
  </cols>
  <sheetData>
    <row r="1" spans="1:12" x14ac:dyDescent="0.25">
      <c r="A1" s="1" t="s">
        <v>27</v>
      </c>
    </row>
    <row r="2" spans="1:12" x14ac:dyDescent="0.25">
      <c r="L2" s="22"/>
    </row>
    <row r="3" spans="1:12" x14ac:dyDescent="0.25">
      <c r="A3" s="2"/>
      <c r="B3" s="31" t="s">
        <v>28</v>
      </c>
      <c r="C3" s="32"/>
      <c r="D3" s="32"/>
      <c r="E3" s="32"/>
      <c r="F3" s="34"/>
      <c r="G3" s="2"/>
      <c r="H3" s="31" t="s">
        <v>7221</v>
      </c>
      <c r="I3" s="32"/>
      <c r="J3" s="34"/>
    </row>
    <row r="4" spans="1:12" ht="45" x14ac:dyDescent="0.25">
      <c r="A4" s="20"/>
      <c r="B4" s="20" t="s">
        <v>29</v>
      </c>
      <c r="C4" s="20" t="s">
        <v>30</v>
      </c>
      <c r="D4" s="20" t="s">
        <v>31</v>
      </c>
      <c r="E4" s="20" t="s">
        <v>32</v>
      </c>
      <c r="F4" s="20" t="s">
        <v>33</v>
      </c>
      <c r="G4" s="2" t="s">
        <v>6742</v>
      </c>
      <c r="H4" s="20" t="s">
        <v>3</v>
      </c>
      <c r="I4" s="20" t="s">
        <v>4</v>
      </c>
      <c r="J4" s="20" t="s">
        <v>5</v>
      </c>
    </row>
    <row r="5" spans="1:12" x14ac:dyDescent="0.25">
      <c r="A5" s="33" t="s">
        <v>9</v>
      </c>
      <c r="B5" s="2" t="s">
        <v>6724</v>
      </c>
      <c r="C5" s="2" t="s">
        <v>6725</v>
      </c>
      <c r="D5" s="10" t="str">
        <f>_xlfn.IFNA(VLOOKUP($B5,'CareCompass Perf Network 032017'!$A$2:$AI$1502,18,FALSE),"")</f>
        <v>CAYUGA FAMILY MEDICINE PC</v>
      </c>
      <c r="E5" s="10" t="str">
        <f>_xlfn.IFNA(VLOOKUP($B5,'CareCompass Perf Network 032017'!$A$2:$AI$1502,13,FALSE),"")</f>
        <v>No</v>
      </c>
      <c r="F5" s="10" t="str">
        <f>_xlfn.IFNA(VLOOKUP($B5,'CareCompass Perf Network 032017'!$A$2:$AI$1502,12,FALSE),"")</f>
        <v>All Other</v>
      </c>
      <c r="G5" s="2"/>
      <c r="H5" s="2">
        <v>2045</v>
      </c>
      <c r="I5" s="2"/>
      <c r="J5" s="4">
        <f>H5+I5</f>
        <v>2045</v>
      </c>
    </row>
    <row r="6" spans="1:12" x14ac:dyDescent="0.25">
      <c r="A6" s="33"/>
      <c r="B6" s="2" t="s">
        <v>6683</v>
      </c>
      <c r="C6" s="2" t="s">
        <v>6684</v>
      </c>
      <c r="D6" s="10" t="str">
        <f>_xlfn.IFNA(VLOOKUP($B6,'CareCompass Perf Network 032017'!$A$2:$AI$1502,18,FALSE),"")</f>
        <v>CAYUGA MEDICAL ASSOCIATES, PC</v>
      </c>
      <c r="E6" s="10" t="str">
        <f>_xlfn.IFNA(VLOOKUP($B6,'CareCompass Perf Network 032017'!$A$2:$AI$1502,13,FALSE),"")</f>
        <v>No</v>
      </c>
      <c r="F6" s="10" t="str">
        <f>_xlfn.IFNA(VLOOKUP($B6,'CareCompass Perf Network 032017'!$A$2:$AI$1502,12,FALSE),"")</f>
        <v>All Other</v>
      </c>
      <c r="G6" s="2"/>
      <c r="H6" s="2">
        <v>27305</v>
      </c>
      <c r="I6" s="2"/>
      <c r="J6" s="4">
        <f t="shared" ref="J6:J14" si="0">H6+I6</f>
        <v>27305</v>
      </c>
    </row>
    <row r="7" spans="1:12" x14ac:dyDescent="0.25">
      <c r="A7" s="33"/>
      <c r="B7" s="2" t="s">
        <v>6728</v>
      </c>
      <c r="C7" s="2" t="s">
        <v>6729</v>
      </c>
      <c r="D7" s="10" t="str">
        <f>_xlfn.IFNA(VLOOKUP($B7,'CareCompass Perf Network 032017'!$A$2:$AI$1502,18,FALSE),"")</f>
        <v>DJAFARI MOHAMMAD DR.</v>
      </c>
      <c r="E7" s="10" t="str">
        <f>_xlfn.IFNA(VLOOKUP($B7,'CareCompass Perf Network 032017'!$A$2:$AI$1502,13,FALSE),"")</f>
        <v>Yes</v>
      </c>
      <c r="F7" s="10" t="str">
        <f>_xlfn.IFNA(VLOOKUP($B7,'CareCompass Perf Network 032017'!$A$2:$AI$1502,12,FALSE),"")</f>
        <v>All Other:: Practitioner - Primary Care Provider (PCP)</v>
      </c>
      <c r="G7" s="2"/>
      <c r="H7" s="2">
        <v>8210</v>
      </c>
      <c r="I7" s="2"/>
      <c r="J7" s="4">
        <f t="shared" si="0"/>
        <v>8210</v>
      </c>
    </row>
    <row r="8" spans="1:12" x14ac:dyDescent="0.25">
      <c r="A8" s="33"/>
      <c r="B8" s="2" t="s">
        <v>6699</v>
      </c>
      <c r="C8" s="2" t="s">
        <v>6700</v>
      </c>
      <c r="D8" s="10" t="str">
        <f>_xlfn.IFNA(VLOOKUP($B8,'CareCompass Perf Network 032017'!$A$2:$AI$1502,18,FALSE),"")</f>
        <v>FAMILY MEDICINE ASSOCIATES OF ITHACA LLP</v>
      </c>
      <c r="E8" s="10" t="str">
        <f>_xlfn.IFNA(VLOOKUP($B8,'CareCompass Perf Network 032017'!$A$2:$AI$1502,13,FALSE),"")</f>
        <v>No</v>
      </c>
      <c r="F8" s="10" t="str">
        <f>_xlfn.IFNA(VLOOKUP($B8,'CareCompass Perf Network 032017'!$A$2:$AI$1502,12,FALSE),"")</f>
        <v>All Other</v>
      </c>
      <c r="G8" s="2"/>
      <c r="H8" s="2">
        <v>39060</v>
      </c>
      <c r="I8" s="2"/>
      <c r="J8" s="4">
        <f t="shared" si="0"/>
        <v>39060</v>
      </c>
    </row>
    <row r="9" spans="1:12" x14ac:dyDescent="0.25">
      <c r="A9" s="33"/>
      <c r="B9" s="2" t="s">
        <v>7206</v>
      </c>
      <c r="C9" s="2" t="s">
        <v>7207</v>
      </c>
      <c r="D9" s="10" t="str">
        <f>_xlfn.IFNA(VLOOKUP($B9,'CareCompass Perf Network 032017'!$A$2:$AI$1502,18,FALSE),"")</f>
        <v>LAW ADAM DR.</v>
      </c>
      <c r="E9" s="10" t="str">
        <f>_xlfn.IFNA(VLOOKUP($B9,'CareCompass Perf Network 032017'!$A$2:$AI$1502,13,FALSE),"")</f>
        <v>No</v>
      </c>
      <c r="F9" s="10" t="str">
        <f>_xlfn.IFNA(VLOOKUP($B9,'CareCompass Perf Network 032017'!$A$2:$AI$1502,12,FALSE),"")</f>
        <v>All Other:: Practitioner - Primary Care Provider (PCP)</v>
      </c>
      <c r="G9" s="2"/>
      <c r="H9" s="2">
        <v>9000</v>
      </c>
      <c r="I9" s="2"/>
      <c r="J9" s="4">
        <f t="shared" si="0"/>
        <v>9000</v>
      </c>
    </row>
    <row r="10" spans="1:12" x14ac:dyDescent="0.25">
      <c r="A10" s="33"/>
      <c r="B10" s="2" t="s">
        <v>6749</v>
      </c>
      <c r="C10" s="2" t="s">
        <v>6750</v>
      </c>
      <c r="D10" s="10" t="str">
        <f>_xlfn.IFNA(VLOOKUP($B10,'CareCompass Perf Network 032017'!$A$2:$AI$1502,18,FALSE),"")</f>
        <v>STEVANOVIC RADOMIR</v>
      </c>
      <c r="E10" s="10" t="str">
        <f>_xlfn.IFNA(VLOOKUP($B10,'CareCompass Perf Network 032017'!$A$2:$AI$1502,13,FALSE),"")</f>
        <v>Yes</v>
      </c>
      <c r="F10" s="10" t="str">
        <f>_xlfn.IFNA(VLOOKUP($B10,'CareCompass Perf Network 032017'!$A$2:$AI$1502,12,FALSE),"")</f>
        <v>All Other:: Practitioner - Primary Care Provider (PCP)</v>
      </c>
      <c r="G10" s="2"/>
      <c r="H10" s="2">
        <v>55090</v>
      </c>
      <c r="I10" s="2"/>
      <c r="J10" s="4">
        <f t="shared" ref="J10:J13" si="1">H10+I10</f>
        <v>55090</v>
      </c>
    </row>
    <row r="11" spans="1:12" x14ac:dyDescent="0.25">
      <c r="A11" s="33"/>
      <c r="B11" s="2" t="s">
        <v>7212</v>
      </c>
      <c r="C11" s="2" t="s">
        <v>7213</v>
      </c>
      <c r="D11" s="10" t="str">
        <f>_xlfn.IFNA(VLOOKUP($B11,'CareCompass Perf Network 032017'!$A$2:$AI$1502,18,FALSE),"")</f>
        <v>NORTHEAST PARENT AND CHILD SOCIETY, INC.</v>
      </c>
      <c r="E11" s="10" t="str">
        <f>_xlfn.IFNA(VLOOKUP($B11,'CareCompass Perf Network 032017'!$A$2:$AI$1502,13,FALSE),"")</f>
        <v>Yes</v>
      </c>
      <c r="F11" s="10" t="str">
        <f>_xlfn.IFNA(VLOOKUP($B11,'CareCompass Perf Network 032017'!$A$2:$AI$1502,12,FALSE),"")</f>
        <v>All Other:: Mental Health</v>
      </c>
      <c r="G11" s="2"/>
      <c r="H11" s="2">
        <v>35951</v>
      </c>
      <c r="I11" s="2"/>
      <c r="J11" s="4">
        <f t="shared" si="1"/>
        <v>35951</v>
      </c>
    </row>
    <row r="12" spans="1:12" x14ac:dyDescent="0.25">
      <c r="A12" s="33"/>
      <c r="B12" s="2"/>
      <c r="C12" s="2"/>
      <c r="D12" s="10" t="str">
        <f>_xlfn.IFNA(VLOOKUP($B12,'CareCompass Perf Network 032017'!$A$2:$AI$1502,18,FALSE),"")</f>
        <v/>
      </c>
      <c r="E12" s="10" t="str">
        <f>_xlfn.IFNA(VLOOKUP($B12,'CareCompass Perf Network 032017'!$A$2:$AI$1502,13,FALSE),"")</f>
        <v/>
      </c>
      <c r="F12" s="10" t="str">
        <f>_xlfn.IFNA(VLOOKUP($B12,'CareCompass Perf Network 032017'!$A$2:$AI$1502,12,FALSE),"")</f>
        <v/>
      </c>
      <c r="G12" s="2"/>
      <c r="H12" s="2"/>
      <c r="I12" s="2"/>
      <c r="J12" s="4">
        <f t="shared" si="1"/>
        <v>0</v>
      </c>
    </row>
    <row r="13" spans="1:12" x14ac:dyDescent="0.25">
      <c r="A13" s="33"/>
      <c r="B13" s="2"/>
      <c r="C13" s="2"/>
      <c r="D13" s="10" t="str">
        <f>_xlfn.IFNA(VLOOKUP($B13,'CareCompass Perf Network 032017'!$A$2:$AI$1502,18,FALSE),"")</f>
        <v/>
      </c>
      <c r="E13" s="10" t="str">
        <f>_xlfn.IFNA(VLOOKUP($B13,'CareCompass Perf Network 032017'!$A$2:$AI$1502,13,FALSE),"")</f>
        <v/>
      </c>
      <c r="F13" s="10" t="str">
        <f>_xlfn.IFNA(VLOOKUP($B13,'CareCompass Perf Network 032017'!$A$2:$AI$1502,12,FALSE),"")</f>
        <v/>
      </c>
      <c r="G13" s="2"/>
      <c r="H13" s="2"/>
      <c r="I13" s="2"/>
      <c r="J13" s="4">
        <f t="shared" si="1"/>
        <v>0</v>
      </c>
    </row>
    <row r="14" spans="1:12" x14ac:dyDescent="0.25">
      <c r="A14" s="33"/>
      <c r="B14" s="2"/>
      <c r="C14" s="2"/>
      <c r="D14" s="10" t="str">
        <f>_xlfn.IFNA(VLOOKUP($B14,'CareCompass Perf Network 032017'!$A$2:$AI$1502,18,FALSE),"")</f>
        <v/>
      </c>
      <c r="E14" s="10" t="str">
        <f>_xlfn.IFNA(VLOOKUP($B14,'CareCompass Perf Network 032017'!$A$2:$AI$1502,13,FALSE),"")</f>
        <v/>
      </c>
      <c r="F14" s="10" t="str">
        <f>_xlfn.IFNA(VLOOKUP($B14,'CareCompass Perf Network 032017'!$A$2:$AI$1502,12,FALSE),"")</f>
        <v/>
      </c>
      <c r="G14" s="2"/>
      <c r="H14" s="2"/>
      <c r="I14" s="2"/>
      <c r="J14" s="4">
        <f t="shared" si="0"/>
        <v>0</v>
      </c>
    </row>
    <row r="15" spans="1:12" x14ac:dyDescent="0.25">
      <c r="A15" s="33"/>
      <c r="B15" s="31" t="s">
        <v>34</v>
      </c>
      <c r="C15" s="32"/>
      <c r="D15" s="32"/>
      <c r="E15" s="32"/>
      <c r="F15" s="32"/>
      <c r="G15" s="32"/>
      <c r="H15" s="32"/>
      <c r="I15" s="32"/>
      <c r="J15" s="32"/>
    </row>
    <row r="16" spans="1:12" x14ac:dyDescent="0.25">
      <c r="A16" s="8"/>
      <c r="B16" s="9"/>
      <c r="C16" s="9"/>
      <c r="D16" s="9"/>
      <c r="E16" s="9"/>
      <c r="F16" s="9"/>
      <c r="G16" s="9"/>
      <c r="H16" s="19">
        <f>SUM(H5:H14)</f>
        <v>176661</v>
      </c>
      <c r="I16" s="19">
        <f t="shared" ref="I16" si="2">SUM(I5:I14)</f>
        <v>0</v>
      </c>
      <c r="J16" s="19">
        <f>SUM(J5:J14)</f>
        <v>176661</v>
      </c>
    </row>
    <row r="17" spans="1:10" ht="14.25" customHeight="1" x14ac:dyDescent="0.25">
      <c r="A17" s="33" t="s">
        <v>10</v>
      </c>
      <c r="B17" s="2"/>
      <c r="C17" s="2"/>
      <c r="D17" s="10" t="str">
        <f>_xlfn.IFNA(VLOOKUP($B17,'CareCompass Perf Network 032017'!$A$2:$AI$1502,18,FALSE),"")</f>
        <v/>
      </c>
      <c r="E17" s="10" t="str">
        <f>_xlfn.IFNA(VLOOKUP($B17,'CareCompass Perf Network 032017'!$A$2:$AI$1502,13,FALSE),"")</f>
        <v/>
      </c>
      <c r="F17" s="10" t="str">
        <f>_xlfn.IFNA(VLOOKUP($B17,'CareCompass Perf Network 032017'!$A$2:$AI$1502,12,FALSE),"")</f>
        <v/>
      </c>
      <c r="G17" s="2"/>
      <c r="H17" s="2"/>
      <c r="I17" s="2"/>
      <c r="J17" s="4">
        <f>H17+I17</f>
        <v>0</v>
      </c>
    </row>
    <row r="18" spans="1:10" x14ac:dyDescent="0.25">
      <c r="A18" s="33"/>
      <c r="B18" s="2"/>
      <c r="C18" s="2"/>
      <c r="D18" s="10" t="str">
        <f>_xlfn.IFNA(VLOOKUP($B18,'CareCompass Perf Network 032017'!$A$2:$AI$1502,18,FALSE),"")</f>
        <v/>
      </c>
      <c r="E18" s="10" t="str">
        <f>_xlfn.IFNA(VLOOKUP($B18,'CareCompass Perf Network 032017'!$A$2:$AI$1502,13,FALSE),"")</f>
        <v/>
      </c>
      <c r="F18" s="10" t="str">
        <f>_xlfn.IFNA(VLOOKUP($B18,'CareCompass Perf Network 032017'!$A$2:$AI$1502,12,FALSE),"")</f>
        <v/>
      </c>
      <c r="G18" s="2"/>
      <c r="H18" s="2"/>
      <c r="I18" s="2"/>
      <c r="J18" s="4">
        <f t="shared" ref="J18:J22" si="3">H18+I18</f>
        <v>0</v>
      </c>
    </row>
    <row r="19" spans="1:10" x14ac:dyDescent="0.25">
      <c r="A19" s="33"/>
      <c r="B19" s="2"/>
      <c r="C19" s="2"/>
      <c r="D19" s="10" t="str">
        <f>_xlfn.IFNA(VLOOKUP($B19,'CareCompass Perf Network 032017'!$A$2:$AI$1502,18,FALSE),"")</f>
        <v/>
      </c>
      <c r="E19" s="10" t="str">
        <f>_xlfn.IFNA(VLOOKUP($B19,'CareCompass Perf Network 032017'!$A$2:$AI$1502,13,FALSE),"")</f>
        <v/>
      </c>
      <c r="F19" s="10" t="str">
        <f>_xlfn.IFNA(VLOOKUP($B19,'CareCompass Perf Network 032017'!$A$2:$AI$1502,12,FALSE),"")</f>
        <v/>
      </c>
      <c r="G19" s="2"/>
      <c r="H19" s="2"/>
      <c r="I19" s="2"/>
      <c r="J19" s="4">
        <f t="shared" si="3"/>
        <v>0</v>
      </c>
    </row>
    <row r="20" spans="1:10" x14ac:dyDescent="0.25">
      <c r="A20" s="33"/>
      <c r="B20" s="2"/>
      <c r="C20" s="2"/>
      <c r="D20" s="10" t="str">
        <f>_xlfn.IFNA(VLOOKUP($B20,'CareCompass Perf Network 032017'!$A$2:$AI$1502,18,FALSE),"")</f>
        <v/>
      </c>
      <c r="E20" s="10" t="str">
        <f>_xlfn.IFNA(VLOOKUP($B20,'CareCompass Perf Network 032017'!$A$2:$AI$1502,13,FALSE),"")</f>
        <v/>
      </c>
      <c r="F20" s="10" t="str">
        <f>_xlfn.IFNA(VLOOKUP($B20,'CareCompass Perf Network 032017'!$A$2:$AI$1502,12,FALSE),"")</f>
        <v/>
      </c>
      <c r="G20" s="2"/>
      <c r="H20" s="2"/>
      <c r="I20" s="2"/>
      <c r="J20" s="4">
        <f t="shared" si="3"/>
        <v>0</v>
      </c>
    </row>
    <row r="21" spans="1:10" x14ac:dyDescent="0.25">
      <c r="A21" s="33"/>
      <c r="B21" s="2"/>
      <c r="C21" s="2"/>
      <c r="D21" s="10" t="str">
        <f>_xlfn.IFNA(VLOOKUP($B21,'CareCompass Perf Network 032017'!$A$2:$AI$1502,18,FALSE),"")</f>
        <v/>
      </c>
      <c r="E21" s="10" t="str">
        <f>_xlfn.IFNA(VLOOKUP($B21,'CareCompass Perf Network 032017'!$A$2:$AI$1502,13,FALSE),"")</f>
        <v/>
      </c>
      <c r="F21" s="10" t="str">
        <f>_xlfn.IFNA(VLOOKUP($B21,'CareCompass Perf Network 032017'!$A$2:$AI$1502,12,FALSE),"")</f>
        <v/>
      </c>
      <c r="G21" s="2"/>
      <c r="H21" s="2"/>
      <c r="I21" s="2"/>
      <c r="J21" s="4">
        <f t="shared" si="3"/>
        <v>0</v>
      </c>
    </row>
    <row r="22" spans="1:10" x14ac:dyDescent="0.25">
      <c r="A22" s="33"/>
      <c r="B22" s="2"/>
      <c r="C22" s="2"/>
      <c r="D22" s="10" t="str">
        <f>_xlfn.IFNA(VLOOKUP($B22,'CareCompass Perf Network 032017'!$A$2:$AI$1502,18,FALSE),"")</f>
        <v/>
      </c>
      <c r="E22" s="10" t="str">
        <f>_xlfn.IFNA(VLOOKUP($B22,'CareCompass Perf Network 032017'!$A$2:$AI$1502,13,FALSE),"")</f>
        <v/>
      </c>
      <c r="F22" s="10" t="str">
        <f>_xlfn.IFNA(VLOOKUP($B22,'CareCompass Perf Network 032017'!$A$2:$AI$1502,12,FALSE),"")</f>
        <v/>
      </c>
      <c r="G22" s="2"/>
      <c r="H22" s="2"/>
      <c r="I22" s="2"/>
      <c r="J22" s="4">
        <f t="shared" si="3"/>
        <v>0</v>
      </c>
    </row>
    <row r="23" spans="1:10" x14ac:dyDescent="0.25">
      <c r="A23" s="33"/>
      <c r="B23" s="31" t="s">
        <v>34</v>
      </c>
      <c r="C23" s="32"/>
      <c r="D23" s="32"/>
      <c r="E23" s="32"/>
      <c r="F23" s="32"/>
      <c r="G23" s="32"/>
      <c r="H23" s="32"/>
      <c r="I23" s="32"/>
      <c r="J23" s="32"/>
    </row>
    <row r="24" spans="1:10" x14ac:dyDescent="0.25">
      <c r="A24" s="8"/>
      <c r="B24" s="9"/>
      <c r="C24" s="9"/>
      <c r="D24" s="9"/>
      <c r="E24" s="9"/>
      <c r="F24" s="9"/>
      <c r="G24" s="9"/>
      <c r="H24" s="19">
        <f>SUM(H17:H22)</f>
        <v>0</v>
      </c>
      <c r="I24" s="19">
        <f t="shared" ref="I24:J24" si="4">SUM(I17:I22)</f>
        <v>0</v>
      </c>
      <c r="J24" s="19">
        <f t="shared" si="4"/>
        <v>0</v>
      </c>
    </row>
    <row r="25" spans="1:10" ht="14.25" customHeight="1" x14ac:dyDescent="0.25">
      <c r="A25" s="33" t="s">
        <v>11</v>
      </c>
      <c r="B25" s="2" t="s">
        <v>6685</v>
      </c>
      <c r="C25" s="2" t="s">
        <v>6686</v>
      </c>
      <c r="D25" s="10" t="str">
        <f>_xlfn.IFNA(VLOOKUP($B25,'CareCompass Perf Network 032017'!$A$2:$AI$1502,18,FALSE),"")</f>
        <v>CAYUGA MEDICAL CENTER AT ITHACA</v>
      </c>
      <c r="E25" s="10" t="str">
        <f>_xlfn.IFNA(VLOOKUP($B25,'CareCompass Perf Network 032017'!$A$2:$AI$1502,13,FALSE),"")</f>
        <v>Yes</v>
      </c>
      <c r="F25" s="10" t="str">
        <f>_xlfn.IFNA(VLOOKUP($B25,'CareCompass Perf Network 032017'!$A$2:$AI$1502,12,FALSE),"")</f>
        <v>All Other:: Clinic:: Hospital:: Mental Health</v>
      </c>
      <c r="G25" s="2"/>
      <c r="H25" s="2">
        <v>80925.17</v>
      </c>
      <c r="I25" s="2"/>
      <c r="J25" s="4">
        <f>H25+I25</f>
        <v>80925.17</v>
      </c>
    </row>
    <row r="26" spans="1:10" x14ac:dyDescent="0.25">
      <c r="A26" s="33"/>
      <c r="B26" s="2" t="s">
        <v>6726</v>
      </c>
      <c r="C26" s="2" t="s">
        <v>6727</v>
      </c>
      <c r="D26" s="10" t="str">
        <f>_xlfn.IFNA(VLOOKUP($B26,'CareCompass Perf Network 032017'!$A$2:$AI$1502,18,FALSE),"")</f>
        <v>CHENANGO MEMORIAL HOSPITAL INC</v>
      </c>
      <c r="E26" s="10" t="str">
        <f>_xlfn.IFNA(VLOOKUP($B26,'CareCompass Perf Network 032017'!$A$2:$AI$1502,13,FALSE),"")</f>
        <v>Yes</v>
      </c>
      <c r="F26" s="10" t="str">
        <f>_xlfn.IFNA(VLOOKUP($B26,'CareCompass Perf Network 032017'!$A$2:$AI$1502,12,FALSE),"")</f>
        <v>All Other:: Clinic:: Hospital</v>
      </c>
      <c r="G26" s="2"/>
      <c r="H26" s="23">
        <v>19200</v>
      </c>
      <c r="I26" s="2"/>
      <c r="J26" s="4">
        <f t="shared" ref="J26:J30" si="5">H26+I26</f>
        <v>19200</v>
      </c>
    </row>
    <row r="27" spans="1:10" x14ac:dyDescent="0.25">
      <c r="A27" s="33"/>
      <c r="B27" s="2" t="s">
        <v>6689</v>
      </c>
      <c r="C27" s="2" t="s">
        <v>6690</v>
      </c>
      <c r="D27" s="10" t="str">
        <f>_xlfn.IFNA(VLOOKUP($B27,'CareCompass Perf Network 032017'!$A$2:$AI$1502,18,FALSE),"")</f>
        <v>CORTLAND REGIONAL MEDICAL CENTER LTHHCP</v>
      </c>
      <c r="E27" s="10" t="str">
        <f>_xlfn.IFNA(VLOOKUP($B27,'CareCompass Perf Network 032017'!$A$2:$AI$1502,13,FALSE),"")</f>
        <v>Yes</v>
      </c>
      <c r="F27" s="10" t="str">
        <f>_xlfn.IFNA(VLOOKUP($B27,'CareCompass Perf Network 032017'!$A$2:$AI$1502,12,FALSE),"")</f>
        <v>All Other:: Clinic:: Hospital:: Mental Health</v>
      </c>
      <c r="G27" s="2"/>
      <c r="H27" s="2">
        <v>107150</v>
      </c>
      <c r="I27" s="2"/>
      <c r="J27" s="4">
        <f t="shared" si="5"/>
        <v>107150</v>
      </c>
    </row>
    <row r="28" spans="1:10" x14ac:dyDescent="0.25">
      <c r="A28" s="33"/>
      <c r="B28" s="2" t="s">
        <v>6687</v>
      </c>
      <c r="C28" s="2" t="s">
        <v>6688</v>
      </c>
      <c r="D28" s="10" t="str">
        <f>_xlfn.IFNA(VLOOKUP($B28,'CareCompass Perf Network 032017'!$A$2:$AI$1502,18,FALSE),"")</f>
        <v>CORNING HOSPITAL</v>
      </c>
      <c r="E28" s="10" t="str">
        <f>_xlfn.IFNA(VLOOKUP($B28,'CareCompass Perf Network 032017'!$A$2:$AI$1502,13,FALSE),"")</f>
        <v>Yes</v>
      </c>
      <c r="F28" s="10" t="str">
        <f>_xlfn.IFNA(VLOOKUP($B28,'CareCompass Perf Network 032017'!$A$2:$AI$1502,12,FALSE),"")</f>
        <v>All Other:: Clinic:: Hospital</v>
      </c>
      <c r="G28" s="2"/>
      <c r="H28" s="2">
        <v>27525</v>
      </c>
      <c r="I28" s="2"/>
      <c r="J28" s="4">
        <f t="shared" si="5"/>
        <v>27525</v>
      </c>
    </row>
    <row r="29" spans="1:10" x14ac:dyDescent="0.25">
      <c r="A29" s="33"/>
      <c r="B29" s="2" t="s">
        <v>6713</v>
      </c>
      <c r="C29" s="2" t="s">
        <v>6714</v>
      </c>
      <c r="D29" s="10" t="str">
        <f>_xlfn.IFNA(VLOOKUP($B29,'CareCompass Perf Network 032017'!$A$2:$AI$1502,18,FALSE),"")</f>
        <v>OUR LADY OF LOURDES MEMORIAL HOSPITAL INC.</v>
      </c>
      <c r="E29" s="10" t="str">
        <f>_xlfn.IFNA(VLOOKUP($B29,'CareCompass Perf Network 032017'!$A$2:$AI$1502,13,FALSE),"")</f>
        <v>Yes</v>
      </c>
      <c r="F29" s="10" t="str">
        <f>_xlfn.IFNA(VLOOKUP($B29,'CareCompass Perf Network 032017'!$A$2:$AI$1502,12,FALSE),"")</f>
        <v>All Other:: Clinic:: Hospice:: Hospital:: Mental Health:: Substance Abuse</v>
      </c>
      <c r="G29" s="2"/>
      <c r="H29" s="2">
        <v>234525</v>
      </c>
      <c r="I29" s="2"/>
      <c r="J29" s="4">
        <f t="shared" si="5"/>
        <v>234525</v>
      </c>
    </row>
    <row r="30" spans="1:10" x14ac:dyDescent="0.25">
      <c r="A30" s="33"/>
      <c r="B30" s="2" t="s">
        <v>6753</v>
      </c>
      <c r="C30" s="2" t="s">
        <v>6754</v>
      </c>
      <c r="D30" s="10" t="str">
        <f>_xlfn.IFNA(VLOOKUP($B30,'CareCompass Perf Network 032017'!$A$2:$AI$1502,18,FALSE),"")</f>
        <v>UNITED HEALTH SERVICES HOSPITALS, INC</v>
      </c>
      <c r="E30" s="10" t="str">
        <f>_xlfn.IFNA(VLOOKUP($B30,'CareCompass Perf Network 032017'!$A$2:$AI$1502,13,FALSE),"")</f>
        <v>Yes</v>
      </c>
      <c r="F30" s="10" t="str">
        <f>_xlfn.IFNA(VLOOKUP($B30,'CareCompass Perf Network 032017'!$A$2:$AI$1502,12,FALSE),"")</f>
        <v>All Other:: Case Management / Health Home:: Clinic:: Hospital:: Mental Health:: Substance Abuse</v>
      </c>
      <c r="G30" s="2"/>
      <c r="H30" s="2">
        <f>202230+41369</f>
        <v>243599</v>
      </c>
      <c r="I30" s="2"/>
      <c r="J30" s="4">
        <f t="shared" si="5"/>
        <v>243599</v>
      </c>
    </row>
    <row r="31" spans="1:10" x14ac:dyDescent="0.25">
      <c r="A31" s="33"/>
      <c r="B31" s="2" t="s">
        <v>6747</v>
      </c>
      <c r="C31" s="2" t="s">
        <v>6748</v>
      </c>
      <c r="D31" s="10" t="str">
        <f>_xlfn.IFNA(VLOOKUP($B31,'CareCompass Perf Network 032017'!$A$2:$AI$1502,18,FALSE),"")</f>
        <v>SCHUYLER HOSPITAL INC</v>
      </c>
      <c r="E31" s="10" t="str">
        <f>_xlfn.IFNA(VLOOKUP($B31,'CareCompass Perf Network 032017'!$A$2:$AI$1502,13,FALSE),"")</f>
        <v>Yes</v>
      </c>
      <c r="F31" s="10" t="str">
        <f>_xlfn.IFNA(VLOOKUP($B31,'CareCompass Perf Network 032017'!$A$2:$AI$1502,12,FALSE),"")</f>
        <v>All Other:: Clinic:: Hospital:: Pharmacy</v>
      </c>
      <c r="G31" s="2"/>
      <c r="H31" s="2">
        <v>4950</v>
      </c>
      <c r="I31" s="2"/>
      <c r="J31" s="4">
        <f t="shared" ref="J31:J33" si="6">H31+I31</f>
        <v>4950</v>
      </c>
    </row>
    <row r="32" spans="1:10" x14ac:dyDescent="0.25">
      <c r="A32" s="33"/>
      <c r="B32" s="2"/>
      <c r="C32" s="2"/>
      <c r="D32" s="10" t="str">
        <f>_xlfn.IFNA(VLOOKUP($B32,'CareCompass Perf Network 032017'!$A$2:$AI$1502,18,FALSE),"")</f>
        <v/>
      </c>
      <c r="E32" s="10" t="str">
        <f>_xlfn.IFNA(VLOOKUP($B32,'CareCompass Perf Network 032017'!$A$2:$AI$1502,13,FALSE),"")</f>
        <v/>
      </c>
      <c r="F32" s="10" t="str">
        <f>_xlfn.IFNA(VLOOKUP($B32,'CareCompass Perf Network 032017'!$A$2:$AI$1502,12,FALSE),"")</f>
        <v/>
      </c>
      <c r="G32" s="2"/>
      <c r="H32" s="2"/>
      <c r="I32" s="2"/>
      <c r="J32" s="4">
        <f t="shared" si="6"/>
        <v>0</v>
      </c>
    </row>
    <row r="33" spans="1:10" x14ac:dyDescent="0.25">
      <c r="A33" s="33"/>
      <c r="B33" s="2"/>
      <c r="C33" s="2"/>
      <c r="D33" s="10" t="str">
        <f>_xlfn.IFNA(VLOOKUP($B33,'CareCompass Perf Network 032017'!$A$2:$AI$1502,18,FALSE),"")</f>
        <v/>
      </c>
      <c r="E33" s="10" t="str">
        <f>_xlfn.IFNA(VLOOKUP($B33,'CareCompass Perf Network 032017'!$A$2:$AI$1502,13,FALSE),"")</f>
        <v/>
      </c>
      <c r="F33" s="10" t="str">
        <f>_xlfn.IFNA(VLOOKUP($B33,'CareCompass Perf Network 032017'!$A$2:$AI$1502,12,FALSE),"")</f>
        <v/>
      </c>
      <c r="G33" s="2"/>
      <c r="H33" s="2"/>
      <c r="I33" s="2"/>
      <c r="J33" s="4">
        <f t="shared" si="6"/>
        <v>0</v>
      </c>
    </row>
    <row r="34" spans="1:10" x14ac:dyDescent="0.25">
      <c r="A34" s="33"/>
      <c r="B34" s="31" t="s">
        <v>34</v>
      </c>
      <c r="C34" s="32"/>
      <c r="D34" s="32"/>
      <c r="E34" s="32"/>
      <c r="F34" s="32"/>
      <c r="G34" s="32"/>
      <c r="H34" s="32"/>
      <c r="I34" s="32"/>
      <c r="J34" s="32"/>
    </row>
    <row r="35" spans="1:10" x14ac:dyDescent="0.25">
      <c r="A35" s="8"/>
      <c r="B35" s="9"/>
      <c r="C35" s="9"/>
      <c r="D35" s="9"/>
      <c r="E35" s="9"/>
      <c r="F35" s="9"/>
      <c r="G35" s="9"/>
      <c r="H35" s="19">
        <f>SUM(H25:H33)</f>
        <v>717874.16999999993</v>
      </c>
      <c r="I35" s="19">
        <f>SUM(I25:I33)</f>
        <v>0</v>
      </c>
      <c r="J35" s="19">
        <f>SUM(J25:J33)</f>
        <v>717874.16999999993</v>
      </c>
    </row>
    <row r="36" spans="1:10" ht="14.25" customHeight="1" x14ac:dyDescent="0.25">
      <c r="A36" s="33" t="s">
        <v>12</v>
      </c>
      <c r="B36" s="2" t="s">
        <v>6689</v>
      </c>
      <c r="C36" s="2" t="s">
        <v>6690</v>
      </c>
      <c r="D36" s="10" t="str">
        <f>_xlfn.IFNA(VLOOKUP($B36,'CareCompass Perf Network 032017'!$A$2:$AI$1502,18,FALSE),"")</f>
        <v>CORTLAND REGIONAL MEDICAL CENTER LTHHCP</v>
      </c>
      <c r="E36" s="10" t="str">
        <f>_xlfn.IFNA(VLOOKUP($B36,'CareCompass Perf Network 032017'!$A$2:$AI$1502,13,FALSE),"")</f>
        <v>Yes</v>
      </c>
      <c r="F36" s="10" t="str">
        <f>_xlfn.IFNA(VLOOKUP($B36,'CareCompass Perf Network 032017'!$A$2:$AI$1502,12,FALSE),"")</f>
        <v>All Other:: Clinic:: Hospital:: Mental Health</v>
      </c>
      <c r="G36" s="2"/>
      <c r="H36" s="2">
        <v>30700</v>
      </c>
      <c r="I36" s="2"/>
      <c r="J36" s="4">
        <f>H36+I36</f>
        <v>30700</v>
      </c>
    </row>
    <row r="37" spans="1:10" x14ac:dyDescent="0.25">
      <c r="A37" s="33"/>
      <c r="B37" s="2" t="s">
        <v>6726</v>
      </c>
      <c r="C37" s="2" t="s">
        <v>6727</v>
      </c>
      <c r="D37" s="10" t="str">
        <f>_xlfn.IFNA(VLOOKUP($B37,'CareCompass Perf Network 032017'!$A$2:$AI$1502,18,FALSE),"")</f>
        <v>CHENANGO MEMORIAL HOSPITAL INC</v>
      </c>
      <c r="E37" s="10" t="str">
        <f>_xlfn.IFNA(VLOOKUP($B37,'CareCompass Perf Network 032017'!$A$2:$AI$1502,13,FALSE),"")</f>
        <v>Yes</v>
      </c>
      <c r="F37" s="10" t="str">
        <f>_xlfn.IFNA(VLOOKUP($B37,'CareCompass Perf Network 032017'!$A$2:$AI$1502,12,FALSE),"")</f>
        <v>All Other:: Clinic:: Hospital</v>
      </c>
      <c r="G37" s="2"/>
      <c r="H37" s="2">
        <v>2000</v>
      </c>
      <c r="I37" s="2"/>
      <c r="J37" s="4">
        <f t="shared" ref="J37:J42" si="7">H37+I37</f>
        <v>2000</v>
      </c>
    </row>
    <row r="38" spans="1:10" x14ac:dyDescent="0.25">
      <c r="A38" s="33"/>
      <c r="B38" s="2" t="s">
        <v>6687</v>
      </c>
      <c r="C38" s="2" t="s">
        <v>6688</v>
      </c>
      <c r="D38" s="10" t="str">
        <f>_xlfn.IFNA(VLOOKUP($B38,'CareCompass Perf Network 032017'!$A$2:$AI$1502,18,FALSE),"")</f>
        <v>CORNING HOSPITAL</v>
      </c>
      <c r="E38" s="10" t="str">
        <f>_xlfn.IFNA(VLOOKUP($B38,'CareCompass Perf Network 032017'!$A$2:$AI$1502,13,FALSE),"")</f>
        <v>Yes</v>
      </c>
      <c r="F38" s="10" t="str">
        <f>_xlfn.IFNA(VLOOKUP($B38,'CareCompass Perf Network 032017'!$A$2:$AI$1502,12,FALSE),"")</f>
        <v>All Other:: Clinic:: Hospital</v>
      </c>
      <c r="G38" s="2"/>
      <c r="H38" s="2">
        <f>624.75+138204.8-27525</f>
        <v>111304.54999999999</v>
      </c>
      <c r="I38" s="2"/>
      <c r="J38" s="4">
        <f t="shared" si="7"/>
        <v>111304.54999999999</v>
      </c>
    </row>
    <row r="39" spans="1:10" x14ac:dyDescent="0.25">
      <c r="A39" s="33"/>
      <c r="B39" s="2" t="s">
        <v>6707</v>
      </c>
      <c r="C39" s="2" t="s">
        <v>6708</v>
      </c>
      <c r="D39" s="10" t="str">
        <f>_xlfn.IFNA(VLOOKUP($B39,'CareCompass Perf Network 032017'!$A$2:$AI$1502,18,FALSE),"")</f>
        <v>GUTHRIE MEDICAL GROUP, P.C.</v>
      </c>
      <c r="E39" s="10" t="str">
        <f>_xlfn.IFNA(VLOOKUP($B39,'CareCompass Perf Network 032017'!$A$2:$AI$1502,13,FALSE),"")</f>
        <v>No</v>
      </c>
      <c r="F39" s="10" t="str">
        <f>_xlfn.IFNA(VLOOKUP($B39,'CareCompass Perf Network 032017'!$A$2:$AI$1502,12,FALSE),"")</f>
        <v>All Other</v>
      </c>
      <c r="G39" s="2"/>
      <c r="H39" s="2">
        <v>80434</v>
      </c>
      <c r="I39" s="2"/>
      <c r="J39" s="4">
        <f t="shared" si="7"/>
        <v>80434</v>
      </c>
    </row>
    <row r="40" spans="1:10" x14ac:dyDescent="0.25">
      <c r="A40" s="33"/>
      <c r="B40" s="2" t="s">
        <v>7203</v>
      </c>
      <c r="C40" s="2" t="s">
        <v>7204</v>
      </c>
      <c r="D40" s="10" t="str">
        <f>_xlfn.IFNA(VLOOKUP($B40,'CareCompass Perf Network 032017'!$A$2:$AI$1502,18,FALSE),"")</f>
        <v>DELAWARE VALLEY HOSPITAL, INC</v>
      </c>
      <c r="E40" s="10" t="str">
        <f>_xlfn.IFNA(VLOOKUP($B40,'CareCompass Perf Network 032017'!$A$2:$AI$1502,13,FALSE),"")</f>
        <v>Yes</v>
      </c>
      <c r="F40" s="10" t="str">
        <f>_xlfn.IFNA(VLOOKUP($B40,'CareCompass Perf Network 032017'!$A$2:$AI$1502,12,FALSE),"")</f>
        <v>All Other:: Clinic:: Hospital:: Substance Abuse</v>
      </c>
      <c r="G40" s="2"/>
      <c r="H40" s="2">
        <v>6825</v>
      </c>
      <c r="I40" s="2"/>
      <c r="J40" s="4">
        <f t="shared" si="7"/>
        <v>6825</v>
      </c>
    </row>
    <row r="41" spans="1:10" x14ac:dyDescent="0.25">
      <c r="A41" s="33"/>
      <c r="B41" s="2" t="s">
        <v>6753</v>
      </c>
      <c r="C41" s="2" t="s">
        <v>6754</v>
      </c>
      <c r="D41" s="10" t="str">
        <f>_xlfn.IFNA(VLOOKUP($B41,'CareCompass Perf Network 032017'!$A$2:$AI$1502,18,FALSE),"")</f>
        <v>UNITED HEALTH SERVICES HOSPITALS, INC</v>
      </c>
      <c r="E41" s="10" t="str">
        <f>_xlfn.IFNA(VLOOKUP($B41,'CareCompass Perf Network 032017'!$A$2:$AI$1502,13,FALSE),"")</f>
        <v>Yes</v>
      </c>
      <c r="F41" s="10" t="str">
        <f>_xlfn.IFNA(VLOOKUP($B41,'CareCompass Perf Network 032017'!$A$2:$AI$1502,12,FALSE),"")</f>
        <v>All Other:: Case Management / Health Home:: Clinic:: Hospital:: Mental Health:: Substance Abuse</v>
      </c>
      <c r="G41" s="2"/>
      <c r="H41" s="2">
        <f>604530.5-41369-202230</f>
        <v>360931.5</v>
      </c>
      <c r="I41" s="2"/>
      <c r="J41" s="4">
        <f t="shared" ref="J41" si="8">H41+I41</f>
        <v>360931.5</v>
      </c>
    </row>
    <row r="42" spans="1:10" x14ac:dyDescent="0.25">
      <c r="A42" s="33"/>
      <c r="B42" s="2" t="s">
        <v>6713</v>
      </c>
      <c r="C42" s="2" t="s">
        <v>6714</v>
      </c>
      <c r="D42" s="10" t="str">
        <f>_xlfn.IFNA(VLOOKUP($B42,'CareCompass Perf Network 032017'!$A$2:$AI$1502,18,FALSE),"")</f>
        <v>OUR LADY OF LOURDES MEMORIAL HOSPITAL INC.</v>
      </c>
      <c r="E42" s="10" t="str">
        <f>_xlfn.IFNA(VLOOKUP($B42,'CareCompass Perf Network 032017'!$A$2:$AI$1502,13,FALSE),"")</f>
        <v>Yes</v>
      </c>
      <c r="F42" s="10" t="str">
        <f>_xlfn.IFNA(VLOOKUP($B42,'CareCompass Perf Network 032017'!$A$2:$AI$1502,12,FALSE),"")</f>
        <v>All Other:: Clinic:: Hospice:: Hospital:: Mental Health:: Substance Abuse</v>
      </c>
      <c r="G42" s="2"/>
      <c r="H42" s="2">
        <f>1649256.98-234525</f>
        <v>1414731.98</v>
      </c>
      <c r="I42" s="2"/>
      <c r="J42" s="4">
        <f t="shared" si="7"/>
        <v>1414731.98</v>
      </c>
    </row>
    <row r="43" spans="1:10" x14ac:dyDescent="0.25">
      <c r="A43" s="33"/>
      <c r="B43" s="31" t="s">
        <v>34</v>
      </c>
      <c r="C43" s="32"/>
      <c r="D43" s="32"/>
      <c r="E43" s="32"/>
      <c r="F43" s="32"/>
      <c r="G43" s="32"/>
      <c r="H43" s="32"/>
      <c r="I43" s="32"/>
      <c r="J43" s="32"/>
    </row>
    <row r="44" spans="1:10" x14ac:dyDescent="0.25">
      <c r="A44" s="8"/>
      <c r="B44" s="9"/>
      <c r="C44" s="9"/>
      <c r="D44" s="9"/>
      <c r="E44" s="9"/>
      <c r="F44" s="9"/>
      <c r="G44" s="9"/>
      <c r="H44" s="19">
        <f>SUM(H36:H42)</f>
        <v>2006927.03</v>
      </c>
      <c r="I44" s="19">
        <f t="shared" ref="I44" si="9">SUM(I36:I42)</f>
        <v>0</v>
      </c>
      <c r="J44" s="19">
        <f>SUM(J36:J42)</f>
        <v>2006927.03</v>
      </c>
    </row>
    <row r="45" spans="1:10" x14ac:dyDescent="0.25">
      <c r="A45" s="33" t="s">
        <v>13</v>
      </c>
      <c r="B45" s="2"/>
      <c r="C45" s="2"/>
      <c r="D45" s="10" t="s">
        <v>5805</v>
      </c>
      <c r="E45" s="10" t="s">
        <v>108</v>
      </c>
      <c r="F45" s="10" t="s">
        <v>781</v>
      </c>
      <c r="G45" s="2"/>
      <c r="H45" s="2">
        <v>3672</v>
      </c>
      <c r="I45" s="2"/>
      <c r="J45" s="4">
        <f>H45+I45</f>
        <v>3672</v>
      </c>
    </row>
    <row r="46" spans="1:10" x14ac:dyDescent="0.25">
      <c r="A46" s="33"/>
      <c r="B46" s="2" t="s">
        <v>6697</v>
      </c>
      <c r="C46" s="2" t="s">
        <v>6698</v>
      </c>
      <c r="D46" s="10" t="str">
        <f>_xlfn.IFNA(VLOOKUP($B46,'CareCompass Perf Network 032017'!$A$2:$AI$1502,18,FALSE),"")</f>
        <v>FAMILY HEALTH NETWORK OF CENTRAL NEW YORK, INC.</v>
      </c>
      <c r="E46" s="10" t="str">
        <f>_xlfn.IFNA(VLOOKUP($B46,'CareCompass Perf Network 032017'!$A$2:$AI$1502,13,FALSE),"")</f>
        <v>Yes</v>
      </c>
      <c r="F46" s="10" t="str">
        <f>_xlfn.IFNA(VLOOKUP($B46,'CareCompass Perf Network 032017'!$A$2:$AI$1502,12,FALSE),"")</f>
        <v>All Other:: Clinic</v>
      </c>
      <c r="G46" s="2"/>
      <c r="H46" s="2">
        <v>225580</v>
      </c>
      <c r="I46" s="2"/>
      <c r="J46" s="4">
        <f t="shared" ref="J46:J52" si="10">H46+I46</f>
        <v>225580</v>
      </c>
    </row>
    <row r="47" spans="1:10" x14ac:dyDescent="0.25">
      <c r="A47" s="33"/>
      <c r="B47" s="2" t="s">
        <v>6701</v>
      </c>
      <c r="C47" s="2" t="s">
        <v>6702</v>
      </c>
      <c r="D47" s="10" t="str">
        <f>_xlfn.IFNA(VLOOKUP($B47,'CareCompass Perf Network 032017'!$A$2:$AI$1502,18,FALSE),"")</f>
        <v>FAMILY PLANNING OF SOUTH CENTRAL NEW YORK, INC.</v>
      </c>
      <c r="E47" s="10" t="str">
        <f>_xlfn.IFNA(VLOOKUP($B47,'CareCompass Perf Network 032017'!$A$2:$AI$1502,13,FALSE),"")</f>
        <v>Yes</v>
      </c>
      <c r="F47" s="10" t="str">
        <f>_xlfn.IFNA(VLOOKUP($B47,'CareCompass Perf Network 032017'!$A$2:$AI$1502,12,FALSE),"")</f>
        <v>All Other:: Clinic</v>
      </c>
      <c r="G47" s="2"/>
      <c r="H47" s="2">
        <v>227.5</v>
      </c>
      <c r="I47" s="2"/>
      <c r="J47" s="4">
        <f t="shared" si="10"/>
        <v>227.5</v>
      </c>
    </row>
    <row r="48" spans="1:10" x14ac:dyDescent="0.25">
      <c r="A48" s="33"/>
      <c r="B48" s="2" t="s">
        <v>6736</v>
      </c>
      <c r="C48" s="2" t="s">
        <v>6737</v>
      </c>
      <c r="D48" s="10" t="str">
        <f>_xlfn.IFNA(VLOOKUP($B48,'CareCompass Perf Network 032017'!$A$2:$AI$1502,18,FALSE),"")</f>
        <v>HANDICAPPED CHILDREN'S ASSOCIATION</v>
      </c>
      <c r="E48" s="10" t="str">
        <f>_xlfn.IFNA(VLOOKUP($B48,'CareCompass Perf Network 032017'!$A$2:$AI$1502,13,FALSE),"")</f>
        <v>Yes</v>
      </c>
      <c r="F48" s="10" t="str">
        <f>_xlfn.IFNA(VLOOKUP($B48,'CareCompass Perf Network 032017'!$A$2:$AI$1502,12,FALSE),"")</f>
        <v>All Other:: Clinic</v>
      </c>
      <c r="G48" s="2"/>
      <c r="H48" s="2">
        <v>560</v>
      </c>
      <c r="I48" s="2"/>
      <c r="J48" s="4">
        <f t="shared" si="10"/>
        <v>560</v>
      </c>
    </row>
    <row r="49" spans="1:10" x14ac:dyDescent="0.25">
      <c r="A49" s="33"/>
      <c r="B49" s="2" t="s">
        <v>7208</v>
      </c>
      <c r="C49" s="2" t="s">
        <v>7209</v>
      </c>
      <c r="D49" s="10" t="str">
        <f>_xlfn.IFNA(VLOOKUP($B49,'CareCompass Perf Network 032017'!$A$2:$AI$1502,18,FALSE),"")</f>
        <v>TIOGA OPPORTUNITIES, INC</v>
      </c>
      <c r="E49" s="10" t="str">
        <f>_xlfn.IFNA(VLOOKUP($B49,'CareCompass Perf Network 032017'!$A$2:$AI$1502,13,FALSE),"")</f>
        <v>Yes</v>
      </c>
      <c r="F49" s="10" t="str">
        <f>_xlfn.IFNA(VLOOKUP($B49,'CareCompass Perf Network 032017'!$A$2:$AI$1502,12,FALSE),"")</f>
        <v>All Other:: Clinic</v>
      </c>
      <c r="G49" s="2"/>
      <c r="H49" s="2">
        <v>227.5</v>
      </c>
      <c r="I49" s="2"/>
      <c r="J49" s="4">
        <f t="shared" si="10"/>
        <v>227.5</v>
      </c>
    </row>
    <row r="50" spans="1:10" x14ac:dyDescent="0.25">
      <c r="A50" s="33"/>
      <c r="B50" s="2" t="s">
        <v>6715</v>
      </c>
      <c r="C50" s="2" t="s">
        <v>6716</v>
      </c>
      <c r="D50" s="10" t="str">
        <f>_xlfn.IFNA(VLOOKUP($B50,'CareCompass Perf Network 032017'!$A$2:$AI$1502,18,FALSE),"")</f>
        <v>PLANNED PARENTHOOD OF THE SOUTHERN FINGER LAKES INC.</v>
      </c>
      <c r="E50" s="10" t="str">
        <f>_xlfn.IFNA(VLOOKUP($B50,'CareCompass Perf Network 032017'!$A$2:$AI$1502,13,FALSE),"")</f>
        <v>Yes</v>
      </c>
      <c r="F50" s="10" t="str">
        <f>_xlfn.IFNA(VLOOKUP($B50,'CareCompass Perf Network 032017'!$A$2:$AI$1502,12,FALSE),"")</f>
        <v>All Other:: Clinic:: Pharmacy</v>
      </c>
      <c r="G50" s="2"/>
      <c r="H50" s="2">
        <v>400</v>
      </c>
      <c r="I50" s="2"/>
      <c r="J50" s="4">
        <f t="shared" ref="J50" si="11">H50+I50</f>
        <v>400</v>
      </c>
    </row>
    <row r="51" spans="1:10" x14ac:dyDescent="0.25">
      <c r="A51" s="33"/>
      <c r="B51" s="2"/>
      <c r="C51" s="2"/>
      <c r="D51" s="10" t="str">
        <f>_xlfn.IFNA(VLOOKUP($B51,'CareCompass Perf Network 032017'!$A$2:$AI$1502,18,FALSE),"")</f>
        <v/>
      </c>
      <c r="E51" s="10" t="str">
        <f>_xlfn.IFNA(VLOOKUP($B51,'CareCompass Perf Network 032017'!$A$2:$AI$1502,13,FALSE),"")</f>
        <v/>
      </c>
      <c r="F51" s="10" t="str">
        <f>_xlfn.IFNA(VLOOKUP($B51,'CareCompass Perf Network 032017'!$A$2:$AI$1502,12,FALSE),"")</f>
        <v/>
      </c>
      <c r="G51" s="2"/>
      <c r="H51" s="2"/>
      <c r="I51" s="2"/>
      <c r="J51" s="4">
        <f t="shared" si="10"/>
        <v>0</v>
      </c>
    </row>
    <row r="52" spans="1:10" x14ac:dyDescent="0.25">
      <c r="A52" s="33"/>
      <c r="B52" s="2"/>
      <c r="C52" s="2"/>
      <c r="D52" s="10" t="str">
        <f>_xlfn.IFNA(VLOOKUP($B52,'CareCompass Perf Network 032017'!$A$2:$AI$1502,18,FALSE),"")</f>
        <v/>
      </c>
      <c r="E52" s="10" t="str">
        <f>_xlfn.IFNA(VLOOKUP($B52,'CareCompass Perf Network 032017'!$A$2:$AI$1502,13,FALSE),"")</f>
        <v/>
      </c>
      <c r="F52" s="10" t="str">
        <f>_xlfn.IFNA(VLOOKUP($B52,'CareCompass Perf Network 032017'!$A$2:$AI$1502,12,FALSE),"")</f>
        <v/>
      </c>
      <c r="G52" s="2"/>
      <c r="H52" s="2"/>
      <c r="I52" s="2"/>
      <c r="J52" s="4">
        <f t="shared" si="10"/>
        <v>0</v>
      </c>
    </row>
    <row r="53" spans="1:10" x14ac:dyDescent="0.25">
      <c r="A53" s="33"/>
      <c r="B53" s="31" t="s">
        <v>34</v>
      </c>
      <c r="C53" s="32"/>
      <c r="D53" s="32"/>
      <c r="E53" s="32"/>
      <c r="F53" s="32"/>
      <c r="G53" s="32"/>
      <c r="H53" s="32"/>
      <c r="I53" s="32"/>
      <c r="J53" s="32"/>
    </row>
    <row r="54" spans="1:10" x14ac:dyDescent="0.25">
      <c r="A54" s="8"/>
      <c r="B54" s="9"/>
      <c r="C54" s="9"/>
      <c r="D54" s="9"/>
      <c r="E54" s="9"/>
      <c r="F54" s="9"/>
      <c r="G54" s="9"/>
      <c r="H54" s="19">
        <f>SUM(H45:H52)</f>
        <v>230667</v>
      </c>
      <c r="I54" s="19">
        <f>SUM(I45:I52)</f>
        <v>0</v>
      </c>
      <c r="J54" s="19">
        <f>SUM(J45:J52)</f>
        <v>230667</v>
      </c>
    </row>
    <row r="55" spans="1:10" x14ac:dyDescent="0.25">
      <c r="A55" s="33" t="s">
        <v>14</v>
      </c>
      <c r="B55" s="2" t="s">
        <v>7201</v>
      </c>
      <c r="C55" s="2" t="s">
        <v>7202</v>
      </c>
      <c r="D55" s="10" t="str">
        <f>_xlfn.IFNA(VLOOKUP($B55,'CareCompass Perf Network 032017'!$A$2:$AI$1502,18,FALSE),"")</f>
        <v>DELAWARE COUNTY</v>
      </c>
      <c r="E55" s="10" t="str">
        <f>_xlfn.IFNA(VLOOKUP($B55,'CareCompass Perf Network 032017'!$A$2:$AI$1502,13,FALSE),"")</f>
        <v>Yes</v>
      </c>
      <c r="F55" s="10" t="str">
        <f>_xlfn.IFNA(VLOOKUP($B55,'CareCompass Perf Network 032017'!$A$2:$AI$1502,12,FALSE),"")</f>
        <v>All Other:: Mental Health:: Substance Abuse</v>
      </c>
      <c r="G55" s="2"/>
      <c r="H55" s="2">
        <v>6823</v>
      </c>
      <c r="I55" s="2"/>
      <c r="J55" s="4">
        <f>H55+I55</f>
        <v>6823</v>
      </c>
    </row>
    <row r="56" spans="1:10" x14ac:dyDescent="0.25">
      <c r="A56" s="33"/>
      <c r="B56" s="2" t="s">
        <v>6695</v>
      </c>
      <c r="C56" s="2" t="s">
        <v>6696</v>
      </c>
      <c r="D56" s="10" t="str">
        <f>_xlfn.IFNA(VLOOKUP($B56,'CareCompass Perf Network 032017'!$A$2:$AI$1502,18,FALSE),"")</f>
        <v>FAMILY COUNSELING SERVICES OF CORTLAND COUNTY, INC.</v>
      </c>
      <c r="E56" s="10" t="str">
        <f>_xlfn.IFNA(VLOOKUP($B56,'CareCompass Perf Network 032017'!$A$2:$AI$1502,13,FALSE),"")</f>
        <v>Yes</v>
      </c>
      <c r="F56" s="10" t="str">
        <f>_xlfn.IFNA(VLOOKUP($B56,'CareCompass Perf Network 032017'!$A$2:$AI$1502,12,FALSE),"")</f>
        <v>All Other:: Mental Health:: Substance Abuse</v>
      </c>
      <c r="G56" s="2"/>
      <c r="H56" s="2">
        <v>18984.990000000002</v>
      </c>
      <c r="I56" s="2"/>
      <c r="J56" s="4">
        <f t="shared" ref="J56:J64" si="12">H56+I56</f>
        <v>18984.990000000002</v>
      </c>
    </row>
    <row r="57" spans="1:10" x14ac:dyDescent="0.25">
      <c r="A57" s="33"/>
      <c r="B57" s="2" t="s">
        <v>6693</v>
      </c>
      <c r="C57" s="2" t="s">
        <v>6694</v>
      </c>
      <c r="D57" s="10" t="str">
        <f>_xlfn.IFNA(VLOOKUP($B57,'CareCompass Perf Network 032017'!$A$2:$AI$1502,18,FALSE),"")</f>
        <v>THE FAMILY &amp; CHILDREN'S SOCIETY, INC</v>
      </c>
      <c r="E57" s="10" t="str">
        <f>_xlfn.IFNA(VLOOKUP($B57,'CareCompass Perf Network 032017'!$A$2:$AI$1502,13,FALSE),"")</f>
        <v>Yes</v>
      </c>
      <c r="F57" s="10" t="str">
        <f>_xlfn.IFNA(VLOOKUP($B57,'CareCompass Perf Network 032017'!$A$2:$AI$1502,12,FALSE),"")</f>
        <v>All Other:: Mental Health</v>
      </c>
      <c r="G57" s="2"/>
      <c r="H57" s="2">
        <v>12460.52</v>
      </c>
      <c r="I57" s="2"/>
      <c r="J57" s="4">
        <f t="shared" si="12"/>
        <v>12460.52</v>
      </c>
    </row>
    <row r="58" spans="1:10" x14ac:dyDescent="0.25">
      <c r="A58" s="33"/>
      <c r="B58" s="2" t="s">
        <v>6730</v>
      </c>
      <c r="C58" s="2" t="s">
        <v>6731</v>
      </c>
      <c r="D58" s="10" t="str">
        <f>_xlfn.IFNA(VLOOKUP($B58,'CareCompass Perf Network 032017'!$A$2:$AI$1502,18,FALSE),"")</f>
        <v>FAMILY SERVICES OF CHEMUNG COUNTY, INC.</v>
      </c>
      <c r="E58" s="10" t="str">
        <f>_xlfn.IFNA(VLOOKUP($B58,'CareCompass Perf Network 032017'!$A$2:$AI$1502,13,FALSE),"")</f>
        <v>Yes</v>
      </c>
      <c r="F58" s="10" t="str">
        <f>_xlfn.IFNA(VLOOKUP($B58,'CareCompass Perf Network 032017'!$A$2:$AI$1502,12,FALSE),"")</f>
        <v>All Other:: Case Management / Health Home:: Mental Health</v>
      </c>
      <c r="G58" s="2"/>
      <c r="H58" s="2">
        <v>16894</v>
      </c>
      <c r="I58" s="2"/>
      <c r="J58" s="4">
        <f t="shared" si="12"/>
        <v>16894</v>
      </c>
    </row>
    <row r="59" spans="1:10" x14ac:dyDescent="0.25">
      <c r="A59" s="33"/>
      <c r="B59" s="2"/>
      <c r="C59" s="2"/>
      <c r="D59" s="10" t="s">
        <v>4958</v>
      </c>
      <c r="E59" s="10" t="s">
        <v>108</v>
      </c>
      <c r="F59" s="10" t="s">
        <v>781</v>
      </c>
      <c r="G59" s="2"/>
      <c r="H59" s="2">
        <v>63960</v>
      </c>
      <c r="I59" s="2"/>
      <c r="J59" s="4">
        <f t="shared" si="12"/>
        <v>63960</v>
      </c>
    </row>
    <row r="60" spans="1:10" x14ac:dyDescent="0.25">
      <c r="A60" s="33"/>
      <c r="B60" s="2" t="s">
        <v>7210</v>
      </c>
      <c r="C60" s="2" t="s">
        <v>7211</v>
      </c>
      <c r="D60" s="10" t="str">
        <f>_xlfn.IFNA(VLOOKUP($B60,'CareCompass Perf Network 032017'!$A$2:$AI$1502,18,FALSE),"")</f>
        <v>TOMPKINS COUNTY MENTAL HEALTH SERVICES</v>
      </c>
      <c r="E60" s="10" t="str">
        <f>_xlfn.IFNA(VLOOKUP($B60,'CareCompass Perf Network 032017'!$A$2:$AI$1502,13,FALSE),"")</f>
        <v>Yes</v>
      </c>
      <c r="F60" s="10" t="str">
        <f>_xlfn.IFNA(VLOOKUP($B60,'CareCompass Perf Network 032017'!$A$2:$AI$1502,12,FALSE),"")</f>
        <v>All Other:: Case Management / Health Home:: Mental Health</v>
      </c>
      <c r="G60" s="2"/>
      <c r="H60" s="2">
        <v>12500</v>
      </c>
      <c r="I60" s="2"/>
      <c r="J60" s="4">
        <f t="shared" ref="J60:J63" si="13">H60+I60</f>
        <v>12500</v>
      </c>
    </row>
    <row r="61" spans="1:10" x14ac:dyDescent="0.25">
      <c r="A61" s="33"/>
      <c r="B61" s="2" t="s">
        <v>7216</v>
      </c>
      <c r="C61" s="2" t="s">
        <v>7217</v>
      </c>
      <c r="D61" s="10" t="str">
        <f>_xlfn.IFNA(VLOOKUP($B61,'CareCompass Perf Network 032017'!$A$2:$AI$1502,18,FALSE),"")</f>
        <v>NYSARC INC., CHEMUNG COUNTY CHAPTER</v>
      </c>
      <c r="E61" s="10" t="str">
        <f>_xlfn.IFNA(VLOOKUP($B61,'CareCompass Perf Network 032017'!$A$2:$AI$1502,13,FALSE),"")</f>
        <v>Yes</v>
      </c>
      <c r="F61" s="10" t="str">
        <f>_xlfn.IFNA(VLOOKUP($B61,'CareCompass Perf Network 032017'!$A$2:$AI$1502,12,FALSE),"")</f>
        <v>All Other:: Mental Health</v>
      </c>
      <c r="G61" s="2"/>
      <c r="H61" s="2">
        <v>3020</v>
      </c>
      <c r="I61" s="2"/>
      <c r="J61" s="4">
        <f t="shared" si="13"/>
        <v>3020</v>
      </c>
    </row>
    <row r="62" spans="1:10" x14ac:dyDescent="0.25">
      <c r="A62" s="33"/>
      <c r="B62" s="2"/>
      <c r="C62" s="2"/>
      <c r="D62" s="10" t="str">
        <f>_xlfn.IFNA(VLOOKUP($B62,'CareCompass Perf Network 032017'!$A$2:$AI$1502,18,FALSE),"")</f>
        <v/>
      </c>
      <c r="E62" s="10" t="str">
        <f>_xlfn.IFNA(VLOOKUP($B62,'CareCompass Perf Network 032017'!$A$2:$AI$1502,13,FALSE),"")</f>
        <v/>
      </c>
      <c r="F62" s="10" t="str">
        <f>_xlfn.IFNA(VLOOKUP($B62,'CareCompass Perf Network 032017'!$A$2:$AI$1502,12,FALSE),"")</f>
        <v/>
      </c>
      <c r="G62" s="2"/>
      <c r="H62" s="2"/>
      <c r="I62" s="2"/>
      <c r="J62" s="4">
        <f t="shared" si="13"/>
        <v>0</v>
      </c>
    </row>
    <row r="63" spans="1:10" x14ac:dyDescent="0.25">
      <c r="A63" s="33"/>
      <c r="B63" s="2"/>
      <c r="C63" s="2"/>
      <c r="D63" s="10" t="str">
        <f>_xlfn.IFNA(VLOOKUP($B63,'CareCompass Perf Network 032017'!$A$2:$AI$1502,18,FALSE),"")</f>
        <v/>
      </c>
      <c r="E63" s="10" t="str">
        <f>_xlfn.IFNA(VLOOKUP($B63,'CareCompass Perf Network 032017'!$A$2:$AI$1502,13,FALSE),"")</f>
        <v/>
      </c>
      <c r="F63" s="10" t="str">
        <f>_xlfn.IFNA(VLOOKUP($B63,'CareCompass Perf Network 032017'!$A$2:$AI$1502,12,FALSE),"")</f>
        <v/>
      </c>
      <c r="G63" s="2"/>
      <c r="H63" s="2"/>
      <c r="I63" s="2"/>
      <c r="J63" s="4">
        <f t="shared" si="13"/>
        <v>0</v>
      </c>
    </row>
    <row r="64" spans="1:10" x14ac:dyDescent="0.25">
      <c r="A64" s="33"/>
      <c r="B64" s="2"/>
      <c r="C64" s="2"/>
      <c r="D64" s="10" t="str">
        <f>_xlfn.IFNA(VLOOKUP($B64,'CareCompass Perf Network 032017'!$A$2:$AI$1502,18,FALSE),"")</f>
        <v/>
      </c>
      <c r="E64" s="10" t="str">
        <f>_xlfn.IFNA(VLOOKUP($B64,'CareCompass Perf Network 032017'!$A$2:$AI$1502,13,FALSE),"")</f>
        <v/>
      </c>
      <c r="F64" s="10" t="str">
        <f>_xlfn.IFNA(VLOOKUP($B64,'CareCompass Perf Network 032017'!$A$2:$AI$1502,12,FALSE),"")</f>
        <v/>
      </c>
      <c r="G64" s="2"/>
      <c r="H64" s="2"/>
      <c r="I64" s="2"/>
      <c r="J64" s="4">
        <f t="shared" si="12"/>
        <v>0</v>
      </c>
    </row>
    <row r="65" spans="1:10" x14ac:dyDescent="0.25">
      <c r="A65" s="33"/>
      <c r="B65" s="31" t="s">
        <v>34</v>
      </c>
      <c r="C65" s="32"/>
      <c r="D65" s="32"/>
      <c r="E65" s="32"/>
      <c r="F65" s="32"/>
      <c r="G65" s="32"/>
      <c r="H65" s="32"/>
      <c r="I65" s="32"/>
      <c r="J65" s="32"/>
    </row>
    <row r="66" spans="1:10" x14ac:dyDescent="0.25">
      <c r="A66" s="8"/>
      <c r="B66" s="9"/>
      <c r="C66" s="9"/>
      <c r="D66" s="9"/>
      <c r="E66" s="9"/>
      <c r="F66" s="9"/>
      <c r="G66" s="9"/>
      <c r="H66" s="19">
        <f>SUM(H55:H64)</f>
        <v>134642.51</v>
      </c>
      <c r="I66" s="19">
        <f t="shared" ref="I66" si="14">SUM(I55:I64)</f>
        <v>0</v>
      </c>
      <c r="J66" s="19">
        <f>SUM(J55:J64)</f>
        <v>134642.51</v>
      </c>
    </row>
    <row r="67" spans="1:10" x14ac:dyDescent="0.25">
      <c r="A67" s="33" t="s">
        <v>15</v>
      </c>
      <c r="B67" s="2" t="str">
        <f>"1194744227"</f>
        <v>1194744227</v>
      </c>
      <c r="C67" s="2" t="str">
        <f>"00794101"</f>
        <v>00794101</v>
      </c>
      <c r="D67" s="10" t="str">
        <f>_xlfn.IFNA(VLOOKUP($B67,'CareCompass Perf Network 032017'!$A$2:$AI$1502,18,FALSE),"")</f>
        <v>ALCOHOL &amp; DRUG COUNCIL OF TOMPKINS COUNTY, INC.</v>
      </c>
      <c r="E67" s="10" t="str">
        <f>_xlfn.IFNA(VLOOKUP($B67,'CareCompass Perf Network 032017'!$A$2:$AI$1502,13,FALSE),"")</f>
        <v>Yes</v>
      </c>
      <c r="F67" s="10" t="str">
        <f>_xlfn.IFNA(VLOOKUP($B67,'CareCompass Perf Network 032017'!$A$2:$AI$1502,12,FALSE),"")</f>
        <v>All Other:: Substance Abuse</v>
      </c>
      <c r="G67" s="2"/>
      <c r="H67" s="2">
        <v>600</v>
      </c>
      <c r="I67" s="2"/>
      <c r="J67" s="4">
        <f>H67+I67</f>
        <v>600</v>
      </c>
    </row>
    <row r="68" spans="1:10" x14ac:dyDescent="0.25">
      <c r="A68" s="33"/>
      <c r="B68" s="2" t="s">
        <v>7194</v>
      </c>
      <c r="C68" s="2" t="s">
        <v>7195</v>
      </c>
      <c r="D68" s="10" t="str">
        <f>_xlfn.IFNA(VLOOKUP($B68,'CareCompass Perf Network 032017'!$A$2:$AI$1502,18,FALSE),"")</f>
        <v>BUFFALO BEACON CORPORATION</v>
      </c>
      <c r="E68" s="10" t="str">
        <f>_xlfn.IFNA(VLOOKUP($B68,'CareCompass Perf Network 032017'!$A$2:$AI$1502,13,FALSE),"")</f>
        <v>Yes</v>
      </c>
      <c r="F68" s="10" t="str">
        <f>_xlfn.IFNA(VLOOKUP($B68,'CareCompass Perf Network 032017'!$A$2:$AI$1502,12,FALSE),"")</f>
        <v>All Other:: Substance Abuse</v>
      </c>
      <c r="G68" s="2"/>
      <c r="H68" s="2">
        <v>390</v>
      </c>
      <c r="I68" s="2"/>
      <c r="J68" s="4">
        <f t="shared" ref="J68:J72" si="15">H68+I68</f>
        <v>390</v>
      </c>
    </row>
    <row r="69" spans="1:10" x14ac:dyDescent="0.25">
      <c r="A69" s="33"/>
      <c r="B69" s="2" t="s">
        <v>6722</v>
      </c>
      <c r="C69" s="2" t="s">
        <v>6723</v>
      </c>
      <c r="D69" s="10" t="str">
        <f>_xlfn.IFNA(VLOOKUP($B69,'CareCompass Perf Network 032017'!$A$2:$AI$1502,18,FALSE),"")</f>
        <v>ITHACA ALPHA HOUSE CENTER, INC.</v>
      </c>
      <c r="E69" s="10" t="str">
        <f>_xlfn.IFNA(VLOOKUP($B69,'CareCompass Perf Network 032017'!$A$2:$AI$1502,13,FALSE),"")</f>
        <v>Yes</v>
      </c>
      <c r="F69" s="10" t="str">
        <f>_xlfn.IFNA(VLOOKUP($B69,'CareCompass Perf Network 032017'!$A$2:$AI$1502,12,FALSE),"")</f>
        <v>All Other:: Substance Abuse</v>
      </c>
      <c r="G69" s="2"/>
      <c r="H69" s="2">
        <f>227.5+568</f>
        <v>795.5</v>
      </c>
      <c r="I69" s="2"/>
      <c r="J69" s="4">
        <f t="shared" si="15"/>
        <v>795.5</v>
      </c>
    </row>
    <row r="70" spans="1:10" x14ac:dyDescent="0.25">
      <c r="A70" s="33"/>
      <c r="B70" s="2" t="s">
        <v>7199</v>
      </c>
      <c r="C70" s="2" t="s">
        <v>7200</v>
      </c>
      <c r="D70" s="10" t="str">
        <f>_xlfn.IFNA(VLOOKUP($B70,'CareCompass Perf Network 032017'!$A$2:$AI$1502,18,FALSE),"")</f>
        <v>COUNCIL ON ALCOHOL AND SUBSTANCE ABUSE OF LIVINGSTON COUNTY, INC.</v>
      </c>
      <c r="E70" s="10" t="str">
        <f>_xlfn.IFNA(VLOOKUP($B70,'CareCompass Perf Network 032017'!$A$2:$AI$1502,13,FALSE),"")</f>
        <v>Yes</v>
      </c>
      <c r="F70" s="10" t="str">
        <f>_xlfn.IFNA(VLOOKUP($B70,'CareCompass Perf Network 032017'!$A$2:$AI$1502,12,FALSE),"")</f>
        <v>All Other:: Substance Abuse</v>
      </c>
      <c r="G70" s="2"/>
      <c r="H70" s="2">
        <v>1005</v>
      </c>
      <c r="I70" s="2"/>
      <c r="J70" s="4">
        <f t="shared" si="15"/>
        <v>1005</v>
      </c>
    </row>
    <row r="71" spans="1:10" x14ac:dyDescent="0.25">
      <c r="A71" s="33"/>
      <c r="B71" s="2" t="s">
        <v>6732</v>
      </c>
      <c r="C71" s="2" t="s">
        <v>6733</v>
      </c>
      <c r="D71" s="10" t="str">
        <f>_xlfn.IFNA(VLOOKUP($B71,'CareCompass Perf Network 032017'!$A$2:$AI$1502,18,FALSE),"")</f>
        <v>FINGER LAKES ADDICTION COUNSELING AND REFERRAL AGENCY</v>
      </c>
      <c r="E71" s="10" t="str">
        <f>_xlfn.IFNA(VLOOKUP($B71,'CareCompass Perf Network 032017'!$A$2:$AI$1502,13,FALSE),"")</f>
        <v>Yes</v>
      </c>
      <c r="F71" s="10" t="str">
        <f>_xlfn.IFNA(VLOOKUP($B71,'CareCompass Perf Network 032017'!$A$2:$AI$1502,12,FALSE),"")</f>
        <v>All Other:: Substance Abuse</v>
      </c>
      <c r="G71" s="2"/>
      <c r="H71" s="2">
        <v>237.5</v>
      </c>
      <c r="I71" s="2"/>
      <c r="J71" s="4">
        <f t="shared" si="15"/>
        <v>237.5</v>
      </c>
    </row>
    <row r="72" spans="1:10" x14ac:dyDescent="0.25">
      <c r="A72" s="33"/>
      <c r="B72" s="2"/>
      <c r="C72" s="2"/>
      <c r="D72" s="10" t="str">
        <f>_xlfn.IFNA(VLOOKUP($B72,'CareCompass Perf Network 032017'!$A$2:$AI$1502,18,FALSE),"")</f>
        <v/>
      </c>
      <c r="E72" s="10" t="str">
        <f>_xlfn.IFNA(VLOOKUP($B72,'CareCompass Perf Network 032017'!$A$2:$AI$1502,13,FALSE),"")</f>
        <v/>
      </c>
      <c r="F72" s="10" t="str">
        <f>_xlfn.IFNA(VLOOKUP($B72,'CareCompass Perf Network 032017'!$A$2:$AI$1502,12,FALSE),"")</f>
        <v/>
      </c>
      <c r="G72" s="2"/>
      <c r="H72" s="2"/>
      <c r="I72" s="2"/>
      <c r="J72" s="4">
        <f t="shared" si="15"/>
        <v>0</v>
      </c>
    </row>
    <row r="73" spans="1:10" x14ac:dyDescent="0.25">
      <c r="A73" s="33"/>
      <c r="B73" s="2"/>
      <c r="C73" s="2"/>
      <c r="D73" s="10" t="str">
        <f>_xlfn.IFNA(VLOOKUP($B73,'CareCompass Perf Network 032017'!$A$2:$AI$1502,18,FALSE),"")</f>
        <v/>
      </c>
      <c r="E73" s="10" t="str">
        <f>_xlfn.IFNA(VLOOKUP($B73,'CareCompass Perf Network 032017'!$A$2:$AI$1502,13,FALSE),"")</f>
        <v/>
      </c>
      <c r="F73" s="10" t="str">
        <f>_xlfn.IFNA(VLOOKUP($B73,'CareCompass Perf Network 032017'!$A$2:$AI$1502,12,FALSE),"")</f>
        <v/>
      </c>
      <c r="G73" s="2"/>
      <c r="H73" s="2"/>
      <c r="I73" s="2"/>
      <c r="J73" s="4">
        <f t="shared" ref="J73:J76" si="16">H73+I73</f>
        <v>0</v>
      </c>
    </row>
    <row r="74" spans="1:10" x14ac:dyDescent="0.25">
      <c r="A74" s="33"/>
      <c r="B74" s="2"/>
      <c r="C74" s="2"/>
      <c r="D74" s="10" t="str">
        <f>_xlfn.IFNA(VLOOKUP($B74,'CareCompass Perf Network 032017'!$A$2:$AI$1502,18,FALSE),"")</f>
        <v/>
      </c>
      <c r="E74" s="10" t="str">
        <f>_xlfn.IFNA(VLOOKUP($B74,'CareCompass Perf Network 032017'!$A$2:$AI$1502,13,FALSE),"")</f>
        <v/>
      </c>
      <c r="F74" s="10" t="str">
        <f>_xlfn.IFNA(VLOOKUP($B74,'CareCompass Perf Network 032017'!$A$2:$AI$1502,12,FALSE),"")</f>
        <v/>
      </c>
      <c r="G74" s="2"/>
      <c r="H74" s="2"/>
      <c r="I74" s="2"/>
      <c r="J74" s="4">
        <f t="shared" si="16"/>
        <v>0</v>
      </c>
    </row>
    <row r="75" spans="1:10" x14ac:dyDescent="0.25">
      <c r="A75" s="33"/>
      <c r="B75" s="2"/>
      <c r="C75" s="2"/>
      <c r="D75" s="10" t="str">
        <f>_xlfn.IFNA(VLOOKUP($B75,'CareCompass Perf Network 032017'!$A$2:$AI$1502,18,FALSE),"")</f>
        <v/>
      </c>
      <c r="E75" s="10" t="str">
        <f>_xlfn.IFNA(VLOOKUP($B75,'CareCompass Perf Network 032017'!$A$2:$AI$1502,13,FALSE),"")</f>
        <v/>
      </c>
      <c r="F75" s="10" t="str">
        <f>_xlfn.IFNA(VLOOKUP($B75,'CareCompass Perf Network 032017'!$A$2:$AI$1502,12,FALSE),"")</f>
        <v/>
      </c>
      <c r="G75" s="2"/>
      <c r="H75" s="2"/>
      <c r="I75" s="2"/>
      <c r="J75" s="4">
        <f t="shared" si="16"/>
        <v>0</v>
      </c>
    </row>
    <row r="76" spans="1:10" x14ac:dyDescent="0.25">
      <c r="A76" s="33"/>
      <c r="B76" s="2"/>
      <c r="C76" s="2"/>
      <c r="D76" s="10" t="str">
        <f>_xlfn.IFNA(VLOOKUP($B76,'CareCompass Perf Network 032017'!$A$2:$AI$1502,18,FALSE),"")</f>
        <v/>
      </c>
      <c r="E76" s="10" t="str">
        <f>_xlfn.IFNA(VLOOKUP($B76,'CareCompass Perf Network 032017'!$A$2:$AI$1502,13,FALSE),"")</f>
        <v/>
      </c>
      <c r="F76" s="10" t="str">
        <f>_xlfn.IFNA(VLOOKUP($B76,'CareCompass Perf Network 032017'!$A$2:$AI$1502,12,FALSE),"")</f>
        <v/>
      </c>
      <c r="G76" s="2"/>
      <c r="H76" s="2"/>
      <c r="I76" s="2"/>
      <c r="J76" s="4">
        <f t="shared" si="16"/>
        <v>0</v>
      </c>
    </row>
    <row r="77" spans="1:10" x14ac:dyDescent="0.25">
      <c r="A77" s="33"/>
      <c r="B77" s="31" t="s">
        <v>34</v>
      </c>
      <c r="C77" s="32"/>
      <c r="D77" s="32"/>
      <c r="E77" s="32"/>
      <c r="F77" s="32"/>
      <c r="G77" s="32"/>
      <c r="H77" s="32"/>
      <c r="I77" s="32"/>
      <c r="J77" s="32"/>
    </row>
    <row r="78" spans="1:10" x14ac:dyDescent="0.25">
      <c r="A78" s="8"/>
      <c r="B78" s="9"/>
      <c r="C78" s="9"/>
      <c r="D78" s="9"/>
      <c r="E78" s="9"/>
      <c r="F78" s="9"/>
      <c r="G78" s="9"/>
      <c r="H78" s="19">
        <f>SUM(H67:H76)</f>
        <v>3028</v>
      </c>
      <c r="I78" s="19">
        <f t="shared" ref="I78" si="17">SUM(I67:I72)</f>
        <v>0</v>
      </c>
      <c r="J78" s="19">
        <f>SUM(J67:J72)</f>
        <v>3028</v>
      </c>
    </row>
    <row r="79" spans="1:10" x14ac:dyDescent="0.25">
      <c r="A79" s="33" t="s">
        <v>16</v>
      </c>
      <c r="B79" s="2" t="s">
        <v>6679</v>
      </c>
      <c r="C79" s="2" t="s">
        <v>6680</v>
      </c>
      <c r="D79" s="10" t="str">
        <f>_xlfn.IFNA(VLOOKUP($B79,'CareCompass Perf Network 032017'!$A$2:$AI$1502,18,FALSE),"")</f>
        <v>CHENANGO COUNTY CATHOLIC CHARITIES</v>
      </c>
      <c r="E79" s="10" t="str">
        <f>_xlfn.IFNA(VLOOKUP($B79,'CareCompass Perf Network 032017'!$A$2:$AI$1502,13,FALSE),"")</f>
        <v>Yes</v>
      </c>
      <c r="F79" s="10" t="str">
        <f>_xlfn.IFNA(VLOOKUP($B79,'CareCompass Perf Network 032017'!$A$2:$AI$1502,12,FALSE),"")</f>
        <v>Case Management / Health Home:: Mental Health</v>
      </c>
      <c r="G79" s="2"/>
      <c r="H79" s="2">
        <v>910</v>
      </c>
      <c r="I79" s="2"/>
      <c r="J79" s="4">
        <f>H79+I79</f>
        <v>910</v>
      </c>
    </row>
    <row r="80" spans="1:10" x14ac:dyDescent="0.25">
      <c r="A80" s="33"/>
      <c r="B80" s="2" t="s">
        <v>6681</v>
      </c>
      <c r="C80" s="2" t="s">
        <v>6682</v>
      </c>
      <c r="D80" s="10" t="str">
        <f>_xlfn.IFNA(VLOOKUP($B80,'CareCompass Perf Network 032017'!$A$2:$AI$1502,18,FALSE),"")</f>
        <v>CATHOLIC CHARITIES OF CORTLAND COUNTY</v>
      </c>
      <c r="E80" s="10" t="str">
        <f>_xlfn.IFNA(VLOOKUP($B80,'CareCompass Perf Network 032017'!$A$2:$AI$1502,13,FALSE),"")</f>
        <v>Yes</v>
      </c>
      <c r="F80" s="10" t="str">
        <f>_xlfn.IFNA(VLOOKUP($B80,'CareCompass Perf Network 032017'!$A$2:$AI$1502,12,FALSE),"")</f>
        <v>Case Management / Health Home:: Mental Health</v>
      </c>
      <c r="G80" s="2"/>
      <c r="H80" s="2">
        <v>15170.6</v>
      </c>
      <c r="I80" s="2"/>
      <c r="J80" s="4">
        <f t="shared" ref="J80:J88" si="18">H80+I80</f>
        <v>15170.6</v>
      </c>
    </row>
    <row r="81" spans="1:10" x14ac:dyDescent="0.25">
      <c r="A81" s="33"/>
      <c r="B81" s="2"/>
      <c r="C81" s="2"/>
      <c r="D81" s="10" t="s">
        <v>5835</v>
      </c>
      <c r="E81" s="10" t="s">
        <v>108</v>
      </c>
      <c r="F81" s="10" t="s">
        <v>781</v>
      </c>
      <c r="G81" s="2"/>
      <c r="H81" s="2">
        <v>115268.39</v>
      </c>
      <c r="I81" s="2"/>
      <c r="J81" s="4">
        <f t="shared" si="18"/>
        <v>115268.39</v>
      </c>
    </row>
    <row r="82" spans="1:10" x14ac:dyDescent="0.25">
      <c r="A82" s="33"/>
      <c r="B82" s="2" t="s">
        <v>6745</v>
      </c>
      <c r="C82" s="2" t="s">
        <v>6746</v>
      </c>
      <c r="D82" s="10" t="str">
        <f>_xlfn.IFNA(VLOOKUP($B82,'CareCompass Perf Network 032017'!$A$2:$AI$1502,18,FALSE),"")</f>
        <v>REHABILITATION SUPPORT SERVICES, INC</v>
      </c>
      <c r="E82" s="10" t="str">
        <f>_xlfn.IFNA(VLOOKUP($B82,'CareCompass Perf Network 032017'!$A$2:$AI$1502,13,FALSE),"")</f>
        <v>Yes</v>
      </c>
      <c r="F82" s="10" t="str">
        <f>_xlfn.IFNA(VLOOKUP($B82,'CareCompass Perf Network 032017'!$A$2:$AI$1502,12,FALSE),"")</f>
        <v>Case Management / Health Home:: Mental Health</v>
      </c>
      <c r="G82" s="2"/>
      <c r="H82" s="2">
        <v>10481.35</v>
      </c>
      <c r="I82" s="2"/>
      <c r="J82" s="4">
        <f t="shared" si="18"/>
        <v>10481.35</v>
      </c>
    </row>
    <row r="83" spans="1:10" x14ac:dyDescent="0.25">
      <c r="A83" s="33"/>
      <c r="B83" s="2" t="s">
        <v>6743</v>
      </c>
      <c r="C83" s="2" t="s">
        <v>6744</v>
      </c>
      <c r="D83" s="10" t="str">
        <f>_xlfn.IFNA(VLOOKUP($B83,'CareCompass Perf Network 032017'!$A$2:$AI$1502,18,FALSE),"")</f>
        <v>MONROE PLAN FOR MEDICAL CARE</v>
      </c>
      <c r="E83" s="10" t="str">
        <f>_xlfn.IFNA(VLOOKUP($B83,'CareCompass Perf Network 032017'!$A$2:$AI$1502,13,FALSE),"")</f>
        <v>No</v>
      </c>
      <c r="F83" s="10" t="str">
        <f>_xlfn.IFNA(VLOOKUP($B83,'CareCompass Perf Network 032017'!$A$2:$AI$1502,12,FALSE),"")</f>
        <v>Uncategorized</v>
      </c>
      <c r="G83" s="2"/>
      <c r="H83" s="2">
        <v>400</v>
      </c>
      <c r="I83" s="2"/>
      <c r="J83" s="4">
        <f t="shared" si="18"/>
        <v>400</v>
      </c>
    </row>
    <row r="84" spans="1:10" x14ac:dyDescent="0.25">
      <c r="A84" s="33"/>
      <c r="B84" s="2" t="s">
        <v>7218</v>
      </c>
      <c r="C84" s="2" t="s">
        <v>7219</v>
      </c>
      <c r="D84" s="10" t="str">
        <f>_xlfn.IFNA(VLOOKUP($B84,'CareCompass Perf Network 032017'!$A$2:$AI$1502,18,FALSE),"")</f>
        <v>THE NEIGHBORHOOD CENTER, INC.</v>
      </c>
      <c r="E84" s="10" t="str">
        <f>_xlfn.IFNA(VLOOKUP($B84,'CareCompass Perf Network 032017'!$A$2:$AI$1502,13,FALSE),"")</f>
        <v>Yes</v>
      </c>
      <c r="F84" s="10" t="str">
        <f>_xlfn.IFNA(VLOOKUP($B84,'CareCompass Perf Network 032017'!$A$2:$AI$1502,12,FALSE),"")</f>
        <v>Case Management / Health Home:: Mental Health</v>
      </c>
      <c r="G84" s="2"/>
      <c r="H84" s="2">
        <v>1040</v>
      </c>
      <c r="I84" s="2"/>
      <c r="J84" s="4">
        <f t="shared" ref="J84" si="19">H84+I84</f>
        <v>1040</v>
      </c>
    </row>
    <row r="85" spans="1:10" x14ac:dyDescent="0.25">
      <c r="A85" s="33"/>
      <c r="B85" s="2" t="s">
        <v>6711</v>
      </c>
      <c r="C85" s="2" t="s">
        <v>6712</v>
      </c>
      <c r="D85" s="10" t="str">
        <f>_xlfn.IFNA(VLOOKUP($B85,'CareCompass Perf Network 032017'!$A$2:$AI$1502,18,FALSE),"")</f>
        <v>MENTAL HEALTH ASSOCIATION OF THE SOUTHERN TIER, INC.</v>
      </c>
      <c r="E85" s="10" t="str">
        <f>_xlfn.IFNA(VLOOKUP($B85,'CareCompass Perf Network 032017'!$A$2:$AI$1502,13,FALSE),"")</f>
        <v>No</v>
      </c>
      <c r="F85" s="10" t="str">
        <f>_xlfn.IFNA(VLOOKUP($B85,'CareCompass Perf Network 032017'!$A$2:$AI$1502,12,FALSE),"")</f>
        <v>Uncategorized</v>
      </c>
      <c r="G85" s="2"/>
      <c r="H85" s="2">
        <v>12245</v>
      </c>
      <c r="I85" s="2"/>
      <c r="J85" s="4">
        <f t="shared" ref="J85" si="20">H85+I85</f>
        <v>12245</v>
      </c>
    </row>
    <row r="86" spans="1:10" x14ac:dyDescent="0.25">
      <c r="A86" s="33"/>
      <c r="B86" s="2"/>
      <c r="C86" s="2" t="s">
        <v>7196</v>
      </c>
      <c r="D86" s="10" t="s">
        <v>1957</v>
      </c>
      <c r="E86" s="10" t="s">
        <v>139</v>
      </c>
      <c r="F86" s="10" t="s">
        <v>68</v>
      </c>
      <c r="G86" s="2"/>
      <c r="H86" s="2">
        <v>462</v>
      </c>
      <c r="I86" s="2"/>
      <c r="J86" s="4">
        <f t="shared" si="18"/>
        <v>462</v>
      </c>
    </row>
    <row r="87" spans="1:10" x14ac:dyDescent="0.25">
      <c r="A87" s="33"/>
      <c r="B87" s="2"/>
      <c r="C87" s="2" t="s">
        <v>7205</v>
      </c>
      <c r="D87" s="10" t="s">
        <v>1989</v>
      </c>
      <c r="E87" s="10" t="s">
        <v>139</v>
      </c>
      <c r="F87" s="10" t="s">
        <v>68</v>
      </c>
      <c r="G87" s="2"/>
      <c r="H87" s="2">
        <v>5499</v>
      </c>
      <c r="I87" s="2"/>
      <c r="J87" s="4">
        <f t="shared" si="18"/>
        <v>5499</v>
      </c>
    </row>
    <row r="88" spans="1:10" x14ac:dyDescent="0.25">
      <c r="A88" s="33"/>
      <c r="B88" s="2" t="s">
        <v>6719</v>
      </c>
      <c r="C88" s="2" t="s">
        <v>6720</v>
      </c>
      <c r="D88" s="10" t="str">
        <f>_xlfn.IFNA(VLOOKUP($B88,'CareCompass Perf Network 032017'!$A$2:$AI$1502,18,FALSE),"")</f>
        <v>VISITING NURSE SERVICE OF ITHACA AND TOMPKINS COUNTY INC</v>
      </c>
      <c r="E88" s="10" t="str">
        <f>_xlfn.IFNA(VLOOKUP($B88,'CareCompass Perf Network 032017'!$A$2:$AI$1502,13,FALSE),"")</f>
        <v>Yes</v>
      </c>
      <c r="F88" s="10" t="str">
        <f>_xlfn.IFNA(VLOOKUP($B88,'CareCompass Perf Network 032017'!$A$2:$AI$1502,12,FALSE),"")</f>
        <v>All Other</v>
      </c>
      <c r="G88" s="2"/>
      <c r="H88" s="2">
        <v>620</v>
      </c>
      <c r="I88" s="2"/>
      <c r="J88" s="4">
        <f t="shared" si="18"/>
        <v>620</v>
      </c>
    </row>
    <row r="89" spans="1:10" x14ac:dyDescent="0.25">
      <c r="A89" s="33"/>
      <c r="B89" s="31" t="s">
        <v>34</v>
      </c>
      <c r="C89" s="32"/>
      <c r="D89" s="32"/>
      <c r="E89" s="32"/>
      <c r="F89" s="32"/>
      <c r="G89" s="32"/>
      <c r="H89" s="32"/>
      <c r="I89" s="32"/>
      <c r="J89" s="32"/>
    </row>
    <row r="90" spans="1:10" x14ac:dyDescent="0.25">
      <c r="A90" s="8"/>
      <c r="B90" s="9"/>
      <c r="C90" s="9"/>
      <c r="D90" s="9"/>
      <c r="E90" s="9"/>
      <c r="F90" s="9"/>
      <c r="G90" s="9"/>
      <c r="H90" s="19">
        <f>SUM(H79:H88)</f>
        <v>162096.34</v>
      </c>
      <c r="I90" s="19">
        <f>SUM(I79:I88)</f>
        <v>0</v>
      </c>
      <c r="J90" s="19">
        <f>SUM(J79:J88)</f>
        <v>162096.34</v>
      </c>
    </row>
    <row r="91" spans="1:10" x14ac:dyDescent="0.25">
      <c r="A91" s="33" t="s">
        <v>17</v>
      </c>
      <c r="B91" s="2"/>
      <c r="C91" s="2"/>
      <c r="D91" s="10" t="str">
        <f>_xlfn.IFNA(VLOOKUP($B91,'CareCompass Perf Network 032017'!$A$2:$AI$1502,18,FALSE),"")</f>
        <v/>
      </c>
      <c r="E91" s="10" t="str">
        <f>_xlfn.IFNA(VLOOKUP($B91,'CareCompass Perf Network 032017'!$A$2:$AI$1502,13,FALSE),"")</f>
        <v/>
      </c>
      <c r="F91" s="10" t="str">
        <f>_xlfn.IFNA(VLOOKUP($B91,'CareCompass Perf Network 032017'!$A$2:$AI$1502,12,FALSE),"")</f>
        <v/>
      </c>
      <c r="G91" s="2"/>
      <c r="H91" s="2"/>
      <c r="I91" s="2"/>
      <c r="J91" s="4">
        <f>H91+I91</f>
        <v>0</v>
      </c>
    </row>
    <row r="92" spans="1:10" x14ac:dyDescent="0.25">
      <c r="A92" s="33"/>
      <c r="B92" s="2"/>
      <c r="C92" s="2"/>
      <c r="D92" s="10" t="str">
        <f>_xlfn.IFNA(VLOOKUP($B92,'CareCompass Perf Network 032017'!$A$2:$AI$1502,18,FALSE),"")</f>
        <v/>
      </c>
      <c r="E92" s="10" t="str">
        <f>_xlfn.IFNA(VLOOKUP($B92,'CareCompass Perf Network 032017'!$A$2:$AI$1502,13,FALSE),"")</f>
        <v/>
      </c>
      <c r="F92" s="10" t="str">
        <f>_xlfn.IFNA(VLOOKUP($B92,'CareCompass Perf Network 032017'!$A$2:$AI$1502,12,FALSE),"")</f>
        <v/>
      </c>
      <c r="G92" s="2"/>
      <c r="H92" s="2"/>
      <c r="I92" s="2"/>
      <c r="J92" s="4">
        <f t="shared" ref="J92:J96" si="21">H92+I92</f>
        <v>0</v>
      </c>
    </row>
    <row r="93" spans="1:10" x14ac:dyDescent="0.25">
      <c r="A93" s="33"/>
      <c r="B93" s="2"/>
      <c r="C93" s="2"/>
      <c r="D93" s="10" t="str">
        <f>_xlfn.IFNA(VLOOKUP($B93,'CareCompass Perf Network 032017'!$A$2:$AI$1502,18,FALSE),"")</f>
        <v/>
      </c>
      <c r="E93" s="10" t="str">
        <f>_xlfn.IFNA(VLOOKUP($B93,'CareCompass Perf Network 032017'!$A$2:$AI$1502,13,FALSE),"")</f>
        <v/>
      </c>
      <c r="F93" s="10" t="str">
        <f>_xlfn.IFNA(VLOOKUP($B93,'CareCompass Perf Network 032017'!$A$2:$AI$1502,12,FALSE),"")</f>
        <v/>
      </c>
      <c r="G93" s="2"/>
      <c r="H93" s="2"/>
      <c r="I93" s="2"/>
      <c r="J93" s="4">
        <f t="shared" si="21"/>
        <v>0</v>
      </c>
    </row>
    <row r="94" spans="1:10" x14ac:dyDescent="0.25">
      <c r="A94" s="33"/>
      <c r="B94" s="2"/>
      <c r="C94" s="2"/>
      <c r="D94" s="10" t="str">
        <f>_xlfn.IFNA(VLOOKUP($B94,'CareCompass Perf Network 032017'!$A$2:$AI$1502,18,FALSE),"")</f>
        <v/>
      </c>
      <c r="E94" s="10" t="str">
        <f>_xlfn.IFNA(VLOOKUP($B94,'CareCompass Perf Network 032017'!$A$2:$AI$1502,13,FALSE),"")</f>
        <v/>
      </c>
      <c r="F94" s="10" t="str">
        <f>_xlfn.IFNA(VLOOKUP($B94,'CareCompass Perf Network 032017'!$A$2:$AI$1502,12,FALSE),"")</f>
        <v/>
      </c>
      <c r="G94" s="2"/>
      <c r="H94" s="2"/>
      <c r="I94" s="2"/>
      <c r="J94" s="4">
        <f t="shared" si="21"/>
        <v>0</v>
      </c>
    </row>
    <row r="95" spans="1:10" x14ac:dyDescent="0.25">
      <c r="A95" s="33"/>
      <c r="B95" s="2"/>
      <c r="C95" s="2"/>
      <c r="D95" s="10" t="str">
        <f>_xlfn.IFNA(VLOOKUP($B95,'CareCompass Perf Network 032017'!$A$2:$AI$1502,18,FALSE),"")</f>
        <v/>
      </c>
      <c r="E95" s="10" t="str">
        <f>_xlfn.IFNA(VLOOKUP($B95,'CareCompass Perf Network 032017'!$A$2:$AI$1502,13,FALSE),"")</f>
        <v/>
      </c>
      <c r="F95" s="10" t="str">
        <f>_xlfn.IFNA(VLOOKUP($B95,'CareCompass Perf Network 032017'!$A$2:$AI$1502,12,FALSE),"")</f>
        <v/>
      </c>
      <c r="G95" s="2"/>
      <c r="H95" s="2"/>
      <c r="I95" s="2"/>
      <c r="J95" s="4">
        <f t="shared" si="21"/>
        <v>0</v>
      </c>
    </row>
    <row r="96" spans="1:10" x14ac:dyDescent="0.25">
      <c r="A96" s="33"/>
      <c r="B96" s="2"/>
      <c r="C96" s="2"/>
      <c r="D96" s="10" t="str">
        <f>_xlfn.IFNA(VLOOKUP($B96,'CareCompass Perf Network 032017'!$A$2:$AI$1502,18,FALSE),"")</f>
        <v/>
      </c>
      <c r="E96" s="10" t="str">
        <f>_xlfn.IFNA(VLOOKUP($B96,'CareCompass Perf Network 032017'!$A$2:$AI$1502,13,FALSE),"")</f>
        <v/>
      </c>
      <c r="F96" s="10" t="str">
        <f>_xlfn.IFNA(VLOOKUP($B96,'CareCompass Perf Network 032017'!$A$2:$AI$1502,12,FALSE),"")</f>
        <v/>
      </c>
      <c r="G96" s="2"/>
      <c r="H96" s="2"/>
      <c r="I96" s="2"/>
      <c r="J96" s="4">
        <f t="shared" si="21"/>
        <v>0</v>
      </c>
    </row>
    <row r="97" spans="1:10" x14ac:dyDescent="0.25">
      <c r="A97" s="33"/>
      <c r="B97" s="31" t="s">
        <v>34</v>
      </c>
      <c r="C97" s="32"/>
      <c r="D97" s="32"/>
      <c r="E97" s="32"/>
      <c r="F97" s="32"/>
      <c r="G97" s="32"/>
      <c r="H97" s="32"/>
      <c r="I97" s="32"/>
      <c r="J97" s="32"/>
    </row>
    <row r="98" spans="1:10" x14ac:dyDescent="0.25">
      <c r="A98" s="8"/>
      <c r="B98" s="9"/>
      <c r="C98" s="9"/>
      <c r="D98" s="9"/>
      <c r="E98" s="9"/>
      <c r="F98" s="9"/>
      <c r="G98" s="9"/>
      <c r="H98" s="19">
        <f>SUM(H91:H96)</f>
        <v>0</v>
      </c>
      <c r="I98" s="19">
        <f t="shared" ref="I98:J98" si="22">SUM(I91:I96)</f>
        <v>0</v>
      </c>
      <c r="J98" s="19">
        <f t="shared" si="22"/>
        <v>0</v>
      </c>
    </row>
    <row r="99" spans="1:10" x14ac:dyDescent="0.25">
      <c r="A99" s="33" t="s">
        <v>18</v>
      </c>
      <c r="B99" s="2"/>
      <c r="C99" s="2"/>
      <c r="D99" t="s">
        <v>2812</v>
      </c>
      <c r="E99" s="10" t="s">
        <v>108</v>
      </c>
      <c r="F99" s="10" t="s">
        <v>781</v>
      </c>
      <c r="G99" s="2"/>
      <c r="H99" s="2">
        <v>817</v>
      </c>
      <c r="I99" s="2"/>
      <c r="J99" s="4">
        <f>H99+I99</f>
        <v>817</v>
      </c>
    </row>
    <row r="100" spans="1:10" x14ac:dyDescent="0.25">
      <c r="A100" s="33"/>
      <c r="B100" s="2"/>
      <c r="C100" s="2"/>
      <c r="D100" s="10" t="s">
        <v>6721</v>
      </c>
      <c r="E100" s="10" t="s">
        <v>108</v>
      </c>
      <c r="F100" s="10" t="s">
        <v>781</v>
      </c>
      <c r="G100" s="2"/>
      <c r="H100" s="2">
        <v>1227.5</v>
      </c>
      <c r="I100" s="2"/>
      <c r="J100" s="4">
        <f t="shared" ref="J100:J104" si="23">H100+I100</f>
        <v>1227.5</v>
      </c>
    </row>
    <row r="101" spans="1:10" x14ac:dyDescent="0.25">
      <c r="A101" s="33"/>
      <c r="B101" s="2"/>
      <c r="C101" s="2"/>
      <c r="D101" s="10" t="s">
        <v>4776</v>
      </c>
      <c r="E101" s="10" t="s">
        <v>108</v>
      </c>
      <c r="F101" s="10" t="s">
        <v>781</v>
      </c>
      <c r="G101" s="2"/>
      <c r="H101" s="2">
        <v>585</v>
      </c>
      <c r="I101" s="2"/>
      <c r="J101" s="4">
        <f t="shared" ref="J101" si="24">H101+I101</f>
        <v>585</v>
      </c>
    </row>
    <row r="102" spans="1:10" x14ac:dyDescent="0.25">
      <c r="A102" s="33"/>
      <c r="B102" s="2"/>
      <c r="C102" s="2"/>
      <c r="D102" s="10" t="s">
        <v>3835</v>
      </c>
      <c r="E102" s="10" t="s">
        <v>108</v>
      </c>
      <c r="F102" s="10" t="s">
        <v>781</v>
      </c>
      <c r="G102" s="2"/>
      <c r="H102" s="2">
        <v>64541.34</v>
      </c>
      <c r="I102" s="2"/>
      <c r="J102" s="4">
        <f t="shared" si="23"/>
        <v>64541.34</v>
      </c>
    </row>
    <row r="103" spans="1:10" x14ac:dyDescent="0.25">
      <c r="A103" s="33"/>
      <c r="B103" s="2"/>
      <c r="C103" s="2"/>
      <c r="D103" s="10" t="s">
        <v>1593</v>
      </c>
      <c r="E103" s="10" t="s">
        <v>108</v>
      </c>
      <c r="F103" s="10" t="s">
        <v>781</v>
      </c>
      <c r="G103" s="2"/>
      <c r="H103" s="2">
        <v>21671</v>
      </c>
      <c r="I103" s="2"/>
      <c r="J103" s="4">
        <f t="shared" si="23"/>
        <v>21671</v>
      </c>
    </row>
    <row r="104" spans="1:10" x14ac:dyDescent="0.25">
      <c r="A104" s="33"/>
      <c r="B104" s="2"/>
      <c r="C104" s="2"/>
      <c r="D104" s="10" t="s">
        <v>3877</v>
      </c>
      <c r="E104" s="10" t="s">
        <v>108</v>
      </c>
      <c r="F104" s="10" t="s">
        <v>781</v>
      </c>
      <c r="G104" s="2"/>
      <c r="H104" s="2">
        <v>2890</v>
      </c>
      <c r="I104" s="2"/>
      <c r="J104" s="4">
        <f t="shared" si="23"/>
        <v>2890</v>
      </c>
    </row>
    <row r="105" spans="1:10" x14ac:dyDescent="0.25">
      <c r="A105" s="33"/>
      <c r="B105" s="2"/>
      <c r="C105" s="2"/>
      <c r="D105" s="10" t="s">
        <v>5810</v>
      </c>
      <c r="E105" s="10" t="s">
        <v>108</v>
      </c>
      <c r="F105" s="10" t="s">
        <v>781</v>
      </c>
      <c r="G105" s="2"/>
      <c r="H105" s="2">
        <v>4147.5</v>
      </c>
      <c r="I105" s="2"/>
      <c r="J105" s="4">
        <f t="shared" ref="J105" si="25">H105+I105</f>
        <v>4147.5</v>
      </c>
    </row>
    <row r="106" spans="1:10" x14ac:dyDescent="0.25">
      <c r="A106" s="33"/>
      <c r="B106" s="2"/>
      <c r="C106" s="2"/>
      <c r="D106" s="10" t="s">
        <v>4487</v>
      </c>
      <c r="E106" s="10" t="s">
        <v>108</v>
      </c>
      <c r="F106" s="10" t="s">
        <v>781</v>
      </c>
      <c r="G106" s="2"/>
      <c r="H106" s="2">
        <v>19385</v>
      </c>
      <c r="I106" s="2"/>
      <c r="J106" s="4">
        <f t="shared" ref="J106:J109" si="26">H106+I106</f>
        <v>19385</v>
      </c>
    </row>
    <row r="107" spans="1:10" x14ac:dyDescent="0.25">
      <c r="A107" s="33"/>
      <c r="B107" s="2"/>
      <c r="C107" s="2"/>
      <c r="D107" s="10" t="s">
        <v>6755</v>
      </c>
      <c r="E107" s="10" t="s">
        <v>108</v>
      </c>
      <c r="F107" s="10" t="s">
        <v>781</v>
      </c>
      <c r="G107" s="2"/>
      <c r="H107" s="2">
        <v>950</v>
      </c>
      <c r="I107" s="2"/>
      <c r="J107" s="4">
        <f t="shared" si="26"/>
        <v>950</v>
      </c>
    </row>
    <row r="108" spans="1:10" x14ac:dyDescent="0.25">
      <c r="A108" s="33"/>
      <c r="B108" s="2"/>
      <c r="C108" s="2"/>
      <c r="D108" s="10" t="str">
        <f>_xlfn.IFNA(VLOOKUP($B108,'CareCompass Perf Network 032017'!$A$2:$AI$1502,18,FALSE),"")</f>
        <v/>
      </c>
      <c r="E108" s="10" t="str">
        <f>_xlfn.IFNA(VLOOKUP($B108,'CareCompass Perf Network 032017'!$A$2:$AI$1502,13,FALSE),"")</f>
        <v/>
      </c>
      <c r="F108" s="10" t="str">
        <f>_xlfn.IFNA(VLOOKUP($B108,'CareCompass Perf Network 032017'!$A$2:$AI$1502,12,FALSE),"")</f>
        <v/>
      </c>
      <c r="G108" s="2"/>
      <c r="H108" s="2"/>
      <c r="I108" s="2"/>
      <c r="J108" s="4">
        <f t="shared" si="26"/>
        <v>0</v>
      </c>
    </row>
    <row r="109" spans="1:10" x14ac:dyDescent="0.25">
      <c r="A109" s="33"/>
      <c r="B109" s="2"/>
      <c r="C109" s="2"/>
      <c r="D109" s="10" t="str">
        <f>_xlfn.IFNA(VLOOKUP($B109,'CareCompass Perf Network 032017'!$A$2:$AI$1502,18,FALSE),"")</f>
        <v/>
      </c>
      <c r="E109" s="10" t="str">
        <f>_xlfn.IFNA(VLOOKUP($B109,'CareCompass Perf Network 032017'!$A$2:$AI$1502,13,FALSE),"")</f>
        <v/>
      </c>
      <c r="F109" s="10" t="str">
        <f>_xlfn.IFNA(VLOOKUP($B109,'CareCompass Perf Network 032017'!$A$2:$AI$1502,12,FALSE),"")</f>
        <v/>
      </c>
      <c r="G109" s="2"/>
      <c r="H109" s="2"/>
      <c r="I109" s="2"/>
      <c r="J109" s="4">
        <f t="shared" si="26"/>
        <v>0</v>
      </c>
    </row>
    <row r="110" spans="1:10" x14ac:dyDescent="0.25">
      <c r="A110" s="33"/>
      <c r="B110" s="2"/>
      <c r="C110" s="2"/>
      <c r="D110" s="10" t="str">
        <f>_xlfn.IFNA(VLOOKUP($B110,'CareCompass Perf Network 032017'!$A$2:$AI$1502,18,FALSE),"")</f>
        <v/>
      </c>
      <c r="E110" s="10" t="str">
        <f>_xlfn.IFNA(VLOOKUP($B110,'CareCompass Perf Network 032017'!$A$2:$AI$1502,13,FALSE),"")</f>
        <v/>
      </c>
      <c r="F110" s="10" t="str">
        <f>_xlfn.IFNA(VLOOKUP($B110,'CareCompass Perf Network 032017'!$A$2:$AI$1502,12,FALSE),"")</f>
        <v/>
      </c>
      <c r="G110" s="2"/>
      <c r="H110" s="2"/>
      <c r="I110" s="2"/>
      <c r="J110" s="4">
        <f t="shared" ref="J110:J114" si="27">H110+I110</f>
        <v>0</v>
      </c>
    </row>
    <row r="111" spans="1:10" x14ac:dyDescent="0.25">
      <c r="A111" s="33"/>
      <c r="B111" s="2"/>
      <c r="C111" s="2"/>
      <c r="D111" s="10" t="str">
        <f>_xlfn.IFNA(VLOOKUP($B111,'CareCompass Perf Network 032017'!$A$2:$AI$1502,18,FALSE),"")</f>
        <v/>
      </c>
      <c r="E111" s="10" t="str">
        <f>_xlfn.IFNA(VLOOKUP($B111,'CareCompass Perf Network 032017'!$A$2:$AI$1502,13,FALSE),"")</f>
        <v/>
      </c>
      <c r="F111" s="10" t="str">
        <f>_xlfn.IFNA(VLOOKUP($B111,'CareCompass Perf Network 032017'!$A$2:$AI$1502,12,FALSE),"")</f>
        <v/>
      </c>
      <c r="G111" s="2"/>
      <c r="H111" s="2"/>
      <c r="I111" s="2"/>
      <c r="J111" s="4">
        <f t="shared" si="27"/>
        <v>0</v>
      </c>
    </row>
    <row r="112" spans="1:10" x14ac:dyDescent="0.25">
      <c r="A112" s="33"/>
      <c r="B112" s="2"/>
      <c r="C112" s="2"/>
      <c r="D112" s="10" t="str">
        <f>_xlfn.IFNA(VLOOKUP($B112,'CareCompass Perf Network 032017'!$A$2:$AI$1502,18,FALSE),"")</f>
        <v/>
      </c>
      <c r="E112" s="10" t="str">
        <f>_xlfn.IFNA(VLOOKUP($B112,'CareCompass Perf Network 032017'!$A$2:$AI$1502,13,FALSE),"")</f>
        <v/>
      </c>
      <c r="F112" s="10" t="str">
        <f>_xlfn.IFNA(VLOOKUP($B112,'CareCompass Perf Network 032017'!$A$2:$AI$1502,12,FALSE),"")</f>
        <v/>
      </c>
      <c r="G112" s="2"/>
      <c r="H112" s="2"/>
      <c r="I112" s="2"/>
      <c r="J112" s="4">
        <f t="shared" si="27"/>
        <v>0</v>
      </c>
    </row>
    <row r="113" spans="1:10" x14ac:dyDescent="0.25">
      <c r="A113" s="33"/>
      <c r="B113" s="2"/>
      <c r="C113" s="2"/>
      <c r="D113" s="10" t="str">
        <f>_xlfn.IFNA(VLOOKUP($B113,'CareCompass Perf Network 032017'!$A$2:$AI$1502,18,FALSE),"")</f>
        <v/>
      </c>
      <c r="E113" s="10" t="str">
        <f>_xlfn.IFNA(VLOOKUP($B113,'CareCompass Perf Network 032017'!$A$2:$AI$1502,13,FALSE),"")</f>
        <v/>
      </c>
      <c r="F113" s="10" t="str">
        <f>_xlfn.IFNA(VLOOKUP($B113,'CareCompass Perf Network 032017'!$A$2:$AI$1502,12,FALSE),"")</f>
        <v/>
      </c>
      <c r="G113" s="2"/>
      <c r="H113" s="2"/>
      <c r="I113" s="2"/>
      <c r="J113" s="4">
        <f t="shared" si="27"/>
        <v>0</v>
      </c>
    </row>
    <row r="114" spans="1:10" x14ac:dyDescent="0.25">
      <c r="A114" s="33"/>
      <c r="B114" s="2"/>
      <c r="C114" s="2"/>
      <c r="D114" s="10" t="str">
        <f>_xlfn.IFNA(VLOOKUP($B114,'CareCompass Perf Network 032017'!$A$2:$AI$1502,18,FALSE),"")</f>
        <v/>
      </c>
      <c r="E114" s="10" t="str">
        <f>_xlfn.IFNA(VLOOKUP($B114,'CareCompass Perf Network 032017'!$A$2:$AI$1502,13,FALSE),"")</f>
        <v/>
      </c>
      <c r="F114" s="10" t="str">
        <f>_xlfn.IFNA(VLOOKUP($B114,'CareCompass Perf Network 032017'!$A$2:$AI$1502,12,FALSE),"")</f>
        <v/>
      </c>
      <c r="G114" s="2"/>
      <c r="H114" s="2"/>
      <c r="I114" s="2"/>
      <c r="J114" s="4">
        <f t="shared" si="27"/>
        <v>0</v>
      </c>
    </row>
    <row r="115" spans="1:10" x14ac:dyDescent="0.25">
      <c r="A115" s="33"/>
      <c r="B115" s="31" t="s">
        <v>34</v>
      </c>
      <c r="C115" s="32"/>
      <c r="D115" s="32"/>
      <c r="E115" s="32"/>
      <c r="F115" s="32"/>
      <c r="G115" s="32"/>
      <c r="H115" s="32"/>
      <c r="I115" s="32"/>
      <c r="J115" s="32"/>
    </row>
    <row r="116" spans="1:10" x14ac:dyDescent="0.25">
      <c r="A116" s="8"/>
      <c r="B116" s="9"/>
      <c r="C116" s="9"/>
      <c r="D116" s="9"/>
      <c r="E116" s="9"/>
      <c r="F116" s="9"/>
      <c r="G116" s="9"/>
      <c r="H116" s="19">
        <f>SUM(H99:H114)</f>
        <v>116214.34</v>
      </c>
      <c r="I116" s="19">
        <f>SUM(I99:I114)</f>
        <v>0</v>
      </c>
      <c r="J116" s="19">
        <f>SUM(J99:J114)</f>
        <v>116214.34</v>
      </c>
    </row>
    <row r="117" spans="1:10" x14ac:dyDescent="0.25">
      <c r="A117" s="33" t="s">
        <v>19</v>
      </c>
      <c r="B117" s="2" t="str">
        <f>"1427185248"</f>
        <v>1427185248</v>
      </c>
      <c r="C117" s="2" t="str">
        <f>"00949817"</f>
        <v>00949817</v>
      </c>
      <c r="D117" s="10" t="str">
        <f>_xlfn.IFNA(VLOOKUP($B117,'CareCompass Perf Network 032017'!$A$2:$AI$1502,18,FALSE),"")</f>
        <v>ABSOLUT CENTER FOR NURSING AND REHABILITATION AT ENDICOTT, LLC</v>
      </c>
      <c r="E117" s="10" t="str">
        <f>_xlfn.IFNA(VLOOKUP($B117,'CareCompass Perf Network 032017'!$A$2:$AI$1502,13,FALSE),"")</f>
        <v>Yes</v>
      </c>
      <c r="F117" s="10" t="str">
        <f>_xlfn.IFNA(VLOOKUP($B117,'CareCompass Perf Network 032017'!$A$2:$AI$1502,12,FALSE),"")</f>
        <v>All Other:: Nursing Home</v>
      </c>
      <c r="G117" s="2"/>
      <c r="H117" s="2">
        <v>9950</v>
      </c>
      <c r="I117" s="2"/>
      <c r="J117" s="4">
        <f t="shared" ref="J117:J129" si="28">H117+I117</f>
        <v>9950</v>
      </c>
    </row>
    <row r="118" spans="1:10" x14ac:dyDescent="0.25">
      <c r="A118" s="33"/>
      <c r="B118" s="2" t="str">
        <f>"1619004439"</f>
        <v>1619004439</v>
      </c>
      <c r="C118" s="2" t="str">
        <f>"00705362"</f>
        <v>00705362</v>
      </c>
      <c r="D118" s="10" t="str">
        <f>_xlfn.IFNA(VLOOKUP($B118,'CareCompass Perf Network 032017'!$A$2:$AI$1502,18,FALSE),"")</f>
        <v>ABSOLUT CENTER FOR NURSING AND REHABILITATION AT THREE RIVERS, LLC</v>
      </c>
      <c r="E118" s="10" t="str">
        <f>_xlfn.IFNA(VLOOKUP($B118,'CareCompass Perf Network 032017'!$A$2:$AI$1502,13,FALSE),"")</f>
        <v>Yes</v>
      </c>
      <c r="F118" s="10" t="str">
        <f>_xlfn.IFNA(VLOOKUP($B118,'CareCompass Perf Network 032017'!$A$2:$AI$1502,12,FALSE),"")</f>
        <v>Nursing Home</v>
      </c>
      <c r="G118" s="2"/>
      <c r="H118" s="2">
        <v>7430</v>
      </c>
      <c r="I118" s="2"/>
      <c r="J118" s="4">
        <f t="shared" si="28"/>
        <v>7430</v>
      </c>
    </row>
    <row r="119" spans="1:10" x14ac:dyDescent="0.25">
      <c r="A119" s="33"/>
      <c r="B119" s="2" t="s">
        <v>6675</v>
      </c>
      <c r="C119" s="2" t="s">
        <v>6676</v>
      </c>
      <c r="D119" s="10" t="str">
        <f>_xlfn.IFNA(VLOOKUP($B119,'CareCompass Perf Network 032017'!$A$2:$AI$1502,18,FALSE),"")</f>
        <v>BRIDGEWATER CENTER FOR REHABILITATION &amp; NURSING LLC</v>
      </c>
      <c r="E119" s="10" t="str">
        <f>_xlfn.IFNA(VLOOKUP($B119,'CareCompass Perf Network 032017'!$A$2:$AI$1502,13,FALSE),"")</f>
        <v>Yes</v>
      </c>
      <c r="F119" s="10" t="str">
        <f>_xlfn.IFNA(VLOOKUP($B119,'CareCompass Perf Network 032017'!$A$2:$AI$1502,12,FALSE),"")</f>
        <v>All Other:: Nursing Home</v>
      </c>
      <c r="G119" s="2"/>
      <c r="H119" s="2">
        <v>2490</v>
      </c>
      <c r="I119" s="2"/>
      <c r="J119" s="4">
        <f t="shared" si="28"/>
        <v>2490</v>
      </c>
    </row>
    <row r="120" spans="1:10" x14ac:dyDescent="0.25">
      <c r="A120" s="33"/>
      <c r="B120" s="2" t="s">
        <v>6751</v>
      </c>
      <c r="C120" s="2" t="s">
        <v>6752</v>
      </c>
      <c r="D120" s="10" t="str">
        <f>_xlfn.IFNA(VLOOKUP($B120,'CareCompass Perf Network 032017'!$A$2:$AI$1502,18,FALSE),"")</f>
        <v>BROOME COUNTY</v>
      </c>
      <c r="E120" s="10" t="str">
        <f>_xlfn.IFNA(VLOOKUP($B120,'CareCompass Perf Network 032017'!$A$2:$AI$1502,13,FALSE),"")</f>
        <v>Yes</v>
      </c>
      <c r="F120" s="10" t="str">
        <f>_xlfn.IFNA(VLOOKUP($B120,'CareCompass Perf Network 032017'!$A$2:$AI$1502,12,FALSE),"")</f>
        <v>All Other:: Nursing Home</v>
      </c>
      <c r="G120" s="2"/>
      <c r="H120" s="2">
        <v>68575</v>
      </c>
      <c r="I120" s="2"/>
      <c r="J120" s="4">
        <f t="shared" si="28"/>
        <v>68575</v>
      </c>
    </row>
    <row r="121" spans="1:10" x14ac:dyDescent="0.25">
      <c r="A121" s="33"/>
      <c r="B121" s="2" t="s">
        <v>6726</v>
      </c>
      <c r="C121" s="2" t="s">
        <v>6727</v>
      </c>
      <c r="D121" s="10" t="str">
        <f>_xlfn.IFNA(VLOOKUP($B121,'CareCompass Perf Network 032017'!$A$2:$AI$1502,18,FALSE),"")</f>
        <v>CHENANGO MEMORIAL HOSPITAL INC</v>
      </c>
      <c r="E121" s="10" t="str">
        <f>_xlfn.IFNA(VLOOKUP($B121,'CareCompass Perf Network 032017'!$A$2:$AI$1502,13,FALSE),"")</f>
        <v>Yes</v>
      </c>
      <c r="F121" s="10" t="str">
        <f>_xlfn.IFNA(VLOOKUP($B121,'CareCompass Perf Network 032017'!$A$2:$AI$1502,12,FALSE),"")</f>
        <v>All Other:: Clinic:: Hospital</v>
      </c>
      <c r="G121" s="2"/>
      <c r="H121" s="2">
        <v>2025</v>
      </c>
      <c r="I121" s="2"/>
      <c r="J121" s="4">
        <f t="shared" si="28"/>
        <v>2025</v>
      </c>
    </row>
    <row r="122" spans="1:10" x14ac:dyDescent="0.25">
      <c r="A122" s="33"/>
      <c r="B122" t="str">
        <f>"1760576631"</f>
        <v>1760576631</v>
      </c>
      <c r="C122" t="str">
        <f>"00474713"</f>
        <v>00474713</v>
      </c>
      <c r="D122" s="10" t="str">
        <f>_xlfn.IFNA(VLOOKUP($B122,'CareCompass Perf Network 032017'!$A$2:$AI$1502,18,FALSE),"")</f>
        <v>CHASE MEMORIAL NURSING HOME CO INC</v>
      </c>
      <c r="E122" s="10" t="str">
        <f>_xlfn.IFNA(VLOOKUP($B122,'CareCompass Perf Network 032017'!$A$2:$AI$1502,13,FALSE),"")</f>
        <v>Yes</v>
      </c>
      <c r="F122" s="10" t="str">
        <f>_xlfn.IFNA(VLOOKUP($B122,'CareCompass Perf Network 032017'!$A$2:$AI$1502,12,FALSE),"")</f>
        <v>All Other:: Nursing Home</v>
      </c>
      <c r="G122" s="2"/>
      <c r="H122" s="2">
        <v>3600</v>
      </c>
      <c r="I122" s="2"/>
      <c r="J122" s="4">
        <f t="shared" si="28"/>
        <v>3600</v>
      </c>
    </row>
    <row r="123" spans="1:10" x14ac:dyDescent="0.25">
      <c r="A123" s="33"/>
      <c r="B123" s="2" t="s">
        <v>6740</v>
      </c>
      <c r="C123" s="2" t="s">
        <v>6741</v>
      </c>
      <c r="D123" s="10" t="str">
        <f>_xlfn.IFNA(VLOOKUP($B123,'CareCompass Perf Network 032017'!$A$2:$AI$1502,18,FALSE),"")</f>
        <v>CRNC LLC</v>
      </c>
      <c r="E123" s="10" t="str">
        <f>_xlfn.IFNA(VLOOKUP($B123,'CareCompass Perf Network 032017'!$A$2:$AI$1502,13,FALSE),"")</f>
        <v>Yes</v>
      </c>
      <c r="F123" s="10" t="str">
        <f>_xlfn.IFNA(VLOOKUP($B123,'CareCompass Perf Network 032017'!$A$2:$AI$1502,12,FALSE),"")</f>
        <v>All Other:: Nursing Home</v>
      </c>
      <c r="G123" s="2"/>
      <c r="H123" s="2">
        <v>100</v>
      </c>
      <c r="I123" s="2"/>
      <c r="J123" s="4">
        <f t="shared" si="28"/>
        <v>100</v>
      </c>
    </row>
    <row r="124" spans="1:10" x14ac:dyDescent="0.25">
      <c r="A124" s="33"/>
      <c r="B124" s="2" t="s">
        <v>6705</v>
      </c>
      <c r="C124" s="2" t="s">
        <v>6706</v>
      </c>
      <c r="D124" s="10" t="str">
        <f>_xlfn.IFNA(VLOOKUP($B124,'CareCompass Perf Network 032017'!$A$2:$AI$1502,18,FALSE),"")</f>
        <v>GOOD SHEPHERD-FAIRVIEW HOME, INC.</v>
      </c>
      <c r="E124" s="10" t="str">
        <f>_xlfn.IFNA(VLOOKUP($B124,'CareCompass Perf Network 032017'!$A$2:$AI$1502,13,FALSE),"")</f>
        <v>Yes</v>
      </c>
      <c r="F124" s="10" t="str">
        <f>_xlfn.IFNA(VLOOKUP($B124,'CareCompass Perf Network 032017'!$A$2:$AI$1502,12,FALSE),"")</f>
        <v>All Other:: Nursing Home</v>
      </c>
      <c r="G124" s="2"/>
      <c r="H124" s="2">
        <v>4455</v>
      </c>
      <c r="I124" s="2"/>
      <c r="J124" s="4">
        <f t="shared" si="28"/>
        <v>4455</v>
      </c>
    </row>
    <row r="125" spans="1:10" x14ac:dyDescent="0.25">
      <c r="A125" s="33"/>
      <c r="B125" s="2" t="s">
        <v>6734</v>
      </c>
      <c r="C125" s="2" t="s">
        <v>6735</v>
      </c>
      <c r="D125" s="10" t="str">
        <f>_xlfn.IFNA(VLOOKUP($B125,'CareCompass Perf Network 032017'!$A$2:$AI$1502,18,FALSE),"")</f>
        <v>GROTON COMMUNITY HEALTH CARE CENTER INC</v>
      </c>
      <c r="E125" s="10" t="str">
        <f>_xlfn.IFNA(VLOOKUP($B125,'CareCompass Perf Network 032017'!$A$2:$AI$1502,13,FALSE),"")</f>
        <v>Yes</v>
      </c>
      <c r="F125" s="10" t="str">
        <f>_xlfn.IFNA(VLOOKUP($B125,'CareCompass Perf Network 032017'!$A$2:$AI$1502,12,FALSE),"")</f>
        <v>Nursing Home</v>
      </c>
      <c r="G125" s="2"/>
      <c r="H125" s="2">
        <v>2215</v>
      </c>
      <c r="I125" s="2"/>
      <c r="J125" s="4">
        <f t="shared" si="28"/>
        <v>2215</v>
      </c>
    </row>
    <row r="126" spans="1:10" x14ac:dyDescent="0.25">
      <c r="A126" s="33"/>
      <c r="B126" s="2" t="s">
        <v>6717</v>
      </c>
      <c r="C126" s="2" t="s">
        <v>6718</v>
      </c>
      <c r="D126" s="10" t="str">
        <f>_xlfn.IFNA(VLOOKUP($B126,'CareCompass Perf Network 032017'!$A$2:$AI$1502,18,FALSE),"")</f>
        <v>IDEAL SENIOR LIVING CENTER INC</v>
      </c>
      <c r="E126" s="10" t="str">
        <f>_xlfn.IFNA(VLOOKUP($B126,'CareCompass Perf Network 032017'!$A$2:$AI$1502,13,FALSE),"")</f>
        <v>Yes</v>
      </c>
      <c r="F126" s="10" t="str">
        <f>_xlfn.IFNA(VLOOKUP($B126,'CareCompass Perf Network 032017'!$A$2:$AI$1502,12,FALSE),"")</f>
        <v>All Other:: Nursing Home</v>
      </c>
      <c r="G126" s="2"/>
      <c r="H126" s="2">
        <v>4255</v>
      </c>
      <c r="I126" s="2"/>
      <c r="J126" s="4">
        <f t="shared" si="28"/>
        <v>4255</v>
      </c>
    </row>
    <row r="127" spans="1:10" x14ac:dyDescent="0.25">
      <c r="A127" s="33"/>
      <c r="B127" s="2" t="s">
        <v>6691</v>
      </c>
      <c r="C127" s="2" t="s">
        <v>6692</v>
      </c>
      <c r="D127" s="10" t="str">
        <f>_xlfn.IFNA(VLOOKUP($B127,'CareCompass Perf Network 032017'!$A$2:$AI$1502,18,FALSE),"")</f>
        <v>UMH ECM CORP</v>
      </c>
      <c r="E127" s="10" t="str">
        <f>_xlfn.IFNA(VLOOKUP($B127,'CareCompass Perf Network 032017'!$A$2:$AI$1502,13,FALSE),"")</f>
        <v>Yes</v>
      </c>
      <c r="F127" s="10" t="str">
        <f>_xlfn.IFNA(VLOOKUP($B127,'CareCompass Perf Network 032017'!$A$2:$AI$1502,12,FALSE),"")</f>
        <v>All Other:: Nursing Home</v>
      </c>
      <c r="G127" s="2"/>
      <c r="H127" s="2">
        <v>1925</v>
      </c>
      <c r="I127" s="2"/>
      <c r="J127" s="4">
        <f t="shared" si="28"/>
        <v>1925</v>
      </c>
    </row>
    <row r="128" spans="1:10" x14ac:dyDescent="0.25">
      <c r="A128" s="33"/>
      <c r="B128" s="2" t="s">
        <v>6709</v>
      </c>
      <c r="C128" s="2" t="s">
        <v>6710</v>
      </c>
      <c r="D128" s="10" t="str">
        <f>_xlfn.IFNA(VLOOKUP($B128,'CareCompass Perf Network 032017'!$A$2:$AI$1502,18,FALSE),"")</f>
        <v>UMH JGJ CORP</v>
      </c>
      <c r="E128" s="10" t="str">
        <f>_xlfn.IFNA(VLOOKUP($B128,'CareCompass Perf Network 032017'!$A$2:$AI$1502,13,FALSE),"")</f>
        <v>Yes</v>
      </c>
      <c r="F128" s="10" t="str">
        <f>_xlfn.IFNA(VLOOKUP($B128,'CareCompass Perf Network 032017'!$A$2:$AI$1502,12,FALSE),"")</f>
        <v>All Other:: Nursing Home</v>
      </c>
      <c r="G128" s="2"/>
      <c r="H128" s="2">
        <v>1925</v>
      </c>
      <c r="I128" s="2"/>
      <c r="J128" s="4">
        <f t="shared" si="28"/>
        <v>1925</v>
      </c>
    </row>
    <row r="129" spans="1:10" x14ac:dyDescent="0.25">
      <c r="A129" s="33"/>
      <c r="B129" s="2" t="s">
        <v>6751</v>
      </c>
      <c r="C129" s="2" t="s">
        <v>6752</v>
      </c>
      <c r="D129" s="10" t="str">
        <f>_xlfn.IFNA(VLOOKUP($B129,'CareCompass Perf Network 032017'!$A$2:$AI$1502,18,FALSE),"")</f>
        <v>BROOME COUNTY</v>
      </c>
      <c r="E129" s="10" t="str">
        <f>_xlfn.IFNA(VLOOKUP($B129,'CareCompass Perf Network 032017'!$A$2:$AI$1502,13,FALSE),"")</f>
        <v>Yes</v>
      </c>
      <c r="F129" s="10" t="str">
        <f>_xlfn.IFNA(VLOOKUP($B129,'CareCompass Perf Network 032017'!$A$2:$AI$1502,12,FALSE),"")</f>
        <v>All Other:: Nursing Home</v>
      </c>
      <c r="G129" s="2"/>
      <c r="H129" s="2">
        <v>43410</v>
      </c>
      <c r="I129" s="2"/>
      <c r="J129" s="4">
        <f t="shared" si="28"/>
        <v>43410</v>
      </c>
    </row>
    <row r="130" spans="1:10" x14ac:dyDescent="0.25">
      <c r="A130" s="33"/>
      <c r="B130" s="31" t="s">
        <v>34</v>
      </c>
      <c r="C130" s="32"/>
      <c r="D130" s="32"/>
      <c r="E130" s="32"/>
      <c r="F130" s="32"/>
      <c r="G130" s="32"/>
      <c r="H130" s="32"/>
      <c r="I130" s="32"/>
      <c r="J130" s="32"/>
    </row>
    <row r="131" spans="1:10" x14ac:dyDescent="0.25">
      <c r="A131" s="8"/>
      <c r="B131" s="9"/>
      <c r="C131" s="9"/>
      <c r="D131" s="9"/>
      <c r="E131" s="9"/>
      <c r="F131" s="9"/>
      <c r="G131" s="9"/>
      <c r="H131" s="19">
        <f>SUM(H117:H129)</f>
        <v>152355</v>
      </c>
      <c r="I131" s="19">
        <f>SUM(I117:I122)</f>
        <v>0</v>
      </c>
      <c r="J131" s="19">
        <f>SUM(J117:J129)</f>
        <v>152355</v>
      </c>
    </row>
    <row r="132" spans="1:10" x14ac:dyDescent="0.25">
      <c r="A132" s="33" t="s">
        <v>20</v>
      </c>
      <c r="B132" s="2" t="s">
        <v>6703</v>
      </c>
      <c r="C132" s="2" t="s">
        <v>6704</v>
      </c>
      <c r="D132" s="10" t="str">
        <f>_xlfn.IFNA(VLOOKUP($B132,'CareCompass Perf Network 032017'!$A$2:$AI$1502,18,FALSE),"")</f>
        <v>GEROULD'S PROFESSIONAL PHARMACY INC.</v>
      </c>
      <c r="E132" s="10" t="str">
        <f>_xlfn.IFNA(VLOOKUP($B132,'CareCompass Perf Network 032017'!$A$2:$AI$1502,13,FALSE),"")</f>
        <v>Yes</v>
      </c>
      <c r="F132" s="10" t="str">
        <f>_xlfn.IFNA(VLOOKUP($B132,'CareCompass Perf Network 032017'!$A$2:$AI$1502,12,FALSE),"")</f>
        <v>Pharmacy</v>
      </c>
      <c r="G132" s="2"/>
      <c r="H132" s="2">
        <v>30370</v>
      </c>
      <c r="I132" s="2"/>
      <c r="J132" s="4">
        <f>H132+I132</f>
        <v>30370</v>
      </c>
    </row>
    <row r="133" spans="1:10" x14ac:dyDescent="0.25">
      <c r="A133" s="33"/>
      <c r="B133" s="2"/>
      <c r="C133" s="2"/>
      <c r="D133" s="10" t="str">
        <f>_xlfn.IFNA(VLOOKUP($B133,'CareCompass Perf Network 032017'!$A$2:$AI$1502,18,FALSE),"")</f>
        <v/>
      </c>
      <c r="E133" s="10" t="str">
        <f>_xlfn.IFNA(VLOOKUP($B133,'CareCompass Perf Network 032017'!$A$2:$AI$1502,13,FALSE),"")</f>
        <v/>
      </c>
      <c r="F133" s="10" t="str">
        <f>_xlfn.IFNA(VLOOKUP($B133,'CareCompass Perf Network 032017'!$A$2:$AI$1502,12,FALSE),"")</f>
        <v/>
      </c>
      <c r="G133" s="2"/>
      <c r="H133" s="2"/>
      <c r="I133" s="2"/>
      <c r="J133" s="4">
        <f t="shared" ref="J133:J137" si="29">H133+I133</f>
        <v>0</v>
      </c>
    </row>
    <row r="134" spans="1:10" x14ac:dyDescent="0.25">
      <c r="A134" s="33"/>
      <c r="B134" s="2"/>
      <c r="C134" s="2"/>
      <c r="D134" s="10" t="str">
        <f>_xlfn.IFNA(VLOOKUP($B134,'CareCompass Perf Network 032017'!$A$2:$AI$1502,18,FALSE),"")</f>
        <v/>
      </c>
      <c r="E134" s="10" t="str">
        <f>_xlfn.IFNA(VLOOKUP($B134,'CareCompass Perf Network 032017'!$A$2:$AI$1502,13,FALSE),"")</f>
        <v/>
      </c>
      <c r="F134" s="10" t="str">
        <f>_xlfn.IFNA(VLOOKUP($B134,'CareCompass Perf Network 032017'!$A$2:$AI$1502,12,FALSE),"")</f>
        <v/>
      </c>
      <c r="G134" s="2"/>
      <c r="H134" s="2"/>
      <c r="I134" s="2"/>
      <c r="J134" s="4">
        <f t="shared" si="29"/>
        <v>0</v>
      </c>
    </row>
    <row r="135" spans="1:10" x14ac:dyDescent="0.25">
      <c r="A135" s="33"/>
      <c r="B135" s="2"/>
      <c r="C135" s="2"/>
      <c r="D135" s="10" t="str">
        <f>_xlfn.IFNA(VLOOKUP($B135,'CareCompass Perf Network 032017'!$A$2:$AI$1502,18,FALSE),"")</f>
        <v/>
      </c>
      <c r="E135" s="10" t="str">
        <f>_xlfn.IFNA(VLOOKUP($B135,'CareCompass Perf Network 032017'!$A$2:$AI$1502,13,FALSE),"")</f>
        <v/>
      </c>
      <c r="F135" s="10" t="str">
        <f>_xlfn.IFNA(VLOOKUP($B135,'CareCompass Perf Network 032017'!$A$2:$AI$1502,12,FALSE),"")</f>
        <v/>
      </c>
      <c r="G135" s="2"/>
      <c r="H135" s="2"/>
      <c r="I135" s="2"/>
      <c r="J135" s="4">
        <f t="shared" si="29"/>
        <v>0</v>
      </c>
    </row>
    <row r="136" spans="1:10" x14ac:dyDescent="0.25">
      <c r="A136" s="33"/>
      <c r="B136" s="2"/>
      <c r="C136" s="2"/>
      <c r="D136" s="10" t="str">
        <f>_xlfn.IFNA(VLOOKUP($B136,'CareCompass Perf Network 032017'!$A$2:$AI$1502,18,FALSE),"")</f>
        <v/>
      </c>
      <c r="E136" s="10" t="str">
        <f>_xlfn.IFNA(VLOOKUP($B136,'CareCompass Perf Network 032017'!$A$2:$AI$1502,13,FALSE),"")</f>
        <v/>
      </c>
      <c r="F136" s="10" t="str">
        <f>_xlfn.IFNA(VLOOKUP($B136,'CareCompass Perf Network 032017'!$A$2:$AI$1502,12,FALSE),"")</f>
        <v/>
      </c>
      <c r="G136" s="2"/>
      <c r="H136" s="2"/>
      <c r="I136" s="2"/>
      <c r="J136" s="4">
        <f t="shared" si="29"/>
        <v>0</v>
      </c>
    </row>
    <row r="137" spans="1:10" x14ac:dyDescent="0.25">
      <c r="A137" s="33"/>
      <c r="B137" s="2"/>
      <c r="C137" s="2"/>
      <c r="D137" s="10" t="str">
        <f>_xlfn.IFNA(VLOOKUP($B137,'CareCompass Perf Network 032017'!$A$2:$AI$1502,18,FALSE),"")</f>
        <v/>
      </c>
      <c r="E137" s="10" t="str">
        <f>_xlfn.IFNA(VLOOKUP($B137,'CareCompass Perf Network 032017'!$A$2:$AI$1502,13,FALSE),"")</f>
        <v/>
      </c>
      <c r="F137" s="10" t="str">
        <f>_xlfn.IFNA(VLOOKUP($B137,'CareCompass Perf Network 032017'!$A$2:$AI$1502,12,FALSE),"")</f>
        <v/>
      </c>
      <c r="G137" s="2"/>
      <c r="H137" s="2"/>
      <c r="I137" s="2"/>
      <c r="J137" s="4">
        <f t="shared" si="29"/>
        <v>0</v>
      </c>
    </row>
    <row r="138" spans="1:10" x14ac:dyDescent="0.25">
      <c r="A138" s="33"/>
      <c r="B138" s="31" t="s">
        <v>34</v>
      </c>
      <c r="C138" s="32"/>
      <c r="D138" s="32"/>
      <c r="E138" s="32"/>
      <c r="F138" s="32"/>
      <c r="G138" s="32"/>
      <c r="H138" s="32"/>
      <c r="I138" s="32"/>
      <c r="J138" s="32"/>
    </row>
    <row r="139" spans="1:10" x14ac:dyDescent="0.25">
      <c r="A139" s="8"/>
      <c r="B139" s="9"/>
      <c r="C139" s="9"/>
      <c r="D139" s="9"/>
      <c r="E139" s="9"/>
      <c r="F139" s="9"/>
      <c r="G139" s="9"/>
      <c r="H139" s="19">
        <f>SUM(H132:H137)</f>
        <v>30370</v>
      </c>
      <c r="I139" s="19">
        <f t="shared" ref="I139:J139" si="30">SUM(I132:I137)</f>
        <v>0</v>
      </c>
      <c r="J139" s="19">
        <f t="shared" si="30"/>
        <v>30370</v>
      </c>
    </row>
    <row r="140" spans="1:10" x14ac:dyDescent="0.25">
      <c r="A140" s="33" t="s">
        <v>21</v>
      </c>
      <c r="B140" s="2" t="s">
        <v>6677</v>
      </c>
      <c r="C140" s="2" t="s">
        <v>6678</v>
      </c>
      <c r="D140" s="10" t="str">
        <f>_xlfn.IFNA(VLOOKUP($B140,'CareCompass Perf Network 032017'!$A$2:$AI$1502,18,FALSE),"")</f>
        <v>CAREFIRST NY, INC.</v>
      </c>
      <c r="E140" s="10" t="str">
        <f>_xlfn.IFNA(VLOOKUP($B140,'CareCompass Perf Network 032017'!$A$2:$AI$1502,13,FALSE),"")</f>
        <v>No</v>
      </c>
      <c r="F140" s="10" t="str">
        <f>_xlfn.IFNA(VLOOKUP($B140,'CareCompass Perf Network 032017'!$A$2:$AI$1502,12,FALSE),"")</f>
        <v>All Other:: Hospice</v>
      </c>
      <c r="G140" s="2"/>
      <c r="H140" s="2">
        <v>33.479999999999997</v>
      </c>
      <c r="I140" s="2"/>
      <c r="J140" s="4">
        <f>H140+I140</f>
        <v>33.479999999999997</v>
      </c>
    </row>
    <row r="141" spans="1:10" x14ac:dyDescent="0.25">
      <c r="A141" s="33"/>
      <c r="B141" s="2" t="s">
        <v>6738</v>
      </c>
      <c r="C141" s="2" t="s">
        <v>6739</v>
      </c>
      <c r="D141" s="10" t="str">
        <f>_xlfn.IFNA(VLOOKUP($B141,'CareCompass Perf Network 032017'!$A$2:$AI$1502,18,FALSE),"")</f>
        <v>HOSPICARE &amp; PALLIATIVE CARE SERVICES OF TOMPKINS COUNTY, INC.</v>
      </c>
      <c r="E141" s="10" t="str">
        <f>_xlfn.IFNA(VLOOKUP($B141,'CareCompass Perf Network 032017'!$A$2:$AI$1502,13,FALSE),"")</f>
        <v>No</v>
      </c>
      <c r="F141" s="10" t="str">
        <f>_xlfn.IFNA(VLOOKUP($B141,'CareCompass Perf Network 032017'!$A$2:$AI$1502,12,FALSE),"")</f>
        <v>All Other:: Hospice</v>
      </c>
      <c r="G141" s="2"/>
      <c r="H141" s="2">
        <v>-120</v>
      </c>
      <c r="I141" s="2"/>
      <c r="J141" s="4">
        <f t="shared" ref="J141:J145" si="31">H141+I141</f>
        <v>-120</v>
      </c>
    </row>
    <row r="142" spans="1:10" x14ac:dyDescent="0.25">
      <c r="A142" s="33"/>
      <c r="B142" s="2"/>
      <c r="C142" s="2"/>
      <c r="D142" s="10" t="str">
        <f>_xlfn.IFNA(VLOOKUP($B142,'CareCompass Perf Network 032017'!$A$2:$AI$1502,18,FALSE),"")</f>
        <v/>
      </c>
      <c r="E142" s="10" t="str">
        <f>_xlfn.IFNA(VLOOKUP($B142,'CareCompass Perf Network 032017'!$A$2:$AI$1502,13,FALSE),"")</f>
        <v/>
      </c>
      <c r="F142" s="10" t="str">
        <f>_xlfn.IFNA(VLOOKUP($B142,'CareCompass Perf Network 032017'!$A$2:$AI$1502,12,FALSE),"")</f>
        <v/>
      </c>
      <c r="G142" s="2"/>
      <c r="H142" s="2"/>
      <c r="I142" s="2"/>
      <c r="J142" s="4">
        <f t="shared" si="31"/>
        <v>0</v>
      </c>
    </row>
    <row r="143" spans="1:10" x14ac:dyDescent="0.25">
      <c r="A143" s="33"/>
      <c r="B143" s="2"/>
      <c r="C143" s="2"/>
      <c r="D143" s="10" t="str">
        <f>_xlfn.IFNA(VLOOKUP($B143,'CareCompass Perf Network 032017'!$A$2:$AI$1502,18,FALSE),"")</f>
        <v/>
      </c>
      <c r="E143" s="10" t="str">
        <f>_xlfn.IFNA(VLOOKUP($B143,'CareCompass Perf Network 032017'!$A$2:$AI$1502,13,FALSE),"")</f>
        <v/>
      </c>
      <c r="F143" s="10" t="str">
        <f>_xlfn.IFNA(VLOOKUP($B143,'CareCompass Perf Network 032017'!$A$2:$AI$1502,12,FALSE),"")</f>
        <v/>
      </c>
      <c r="G143" s="2"/>
      <c r="H143" s="2"/>
      <c r="I143" s="2"/>
      <c r="J143" s="4">
        <f t="shared" si="31"/>
        <v>0</v>
      </c>
    </row>
    <row r="144" spans="1:10" x14ac:dyDescent="0.25">
      <c r="A144" s="33"/>
      <c r="B144" s="2"/>
      <c r="C144" s="2"/>
      <c r="D144" s="10" t="str">
        <f>_xlfn.IFNA(VLOOKUP($B144,'CareCompass Perf Network 032017'!$A$2:$AI$1502,18,FALSE),"")</f>
        <v/>
      </c>
      <c r="E144" s="10" t="str">
        <f>_xlfn.IFNA(VLOOKUP($B144,'CareCompass Perf Network 032017'!$A$2:$AI$1502,13,FALSE),"")</f>
        <v/>
      </c>
      <c r="F144" s="10" t="str">
        <f>_xlfn.IFNA(VLOOKUP($B144,'CareCompass Perf Network 032017'!$A$2:$AI$1502,12,FALSE),"")</f>
        <v/>
      </c>
      <c r="G144" s="2"/>
      <c r="H144" s="2"/>
      <c r="I144" s="2"/>
      <c r="J144" s="4">
        <f t="shared" si="31"/>
        <v>0</v>
      </c>
    </row>
    <row r="145" spans="1:10" x14ac:dyDescent="0.25">
      <c r="A145" s="33"/>
      <c r="B145" s="2"/>
      <c r="C145" s="2"/>
      <c r="D145" s="10" t="str">
        <f>_xlfn.IFNA(VLOOKUP($B145,'CareCompass Perf Network 032017'!$A$2:$AI$1502,18,FALSE),"")</f>
        <v/>
      </c>
      <c r="E145" s="10" t="str">
        <f>_xlfn.IFNA(VLOOKUP($B145,'CareCompass Perf Network 032017'!$A$2:$AI$1502,13,FALSE),"")</f>
        <v/>
      </c>
      <c r="F145" s="10" t="str">
        <f>_xlfn.IFNA(VLOOKUP($B145,'CareCompass Perf Network 032017'!$A$2:$AI$1502,12,FALSE),"")</f>
        <v/>
      </c>
      <c r="G145" s="2"/>
      <c r="H145" s="2"/>
      <c r="I145" s="2"/>
      <c r="J145" s="4">
        <f t="shared" si="31"/>
        <v>0</v>
      </c>
    </row>
    <row r="146" spans="1:10" x14ac:dyDescent="0.25">
      <c r="A146" s="33"/>
      <c r="B146" s="31" t="s">
        <v>34</v>
      </c>
      <c r="C146" s="32"/>
      <c r="D146" s="32"/>
      <c r="E146" s="32"/>
      <c r="F146" s="32"/>
      <c r="G146" s="32"/>
      <c r="H146" s="32"/>
      <c r="I146" s="32"/>
      <c r="J146" s="32"/>
    </row>
    <row r="147" spans="1:10" x14ac:dyDescent="0.25">
      <c r="A147" s="8"/>
      <c r="B147" s="9"/>
      <c r="C147" s="9"/>
      <c r="D147" s="9"/>
      <c r="E147" s="9"/>
      <c r="F147" s="9"/>
      <c r="G147" s="9"/>
      <c r="H147" s="19">
        <f>SUM(H140:H145)</f>
        <v>-86.52000000000001</v>
      </c>
      <c r="I147" s="19">
        <f t="shared" ref="I147:J147" si="32">SUM(I140:I145)</f>
        <v>0</v>
      </c>
      <c r="J147" s="19">
        <f t="shared" si="32"/>
        <v>-86.52000000000001</v>
      </c>
    </row>
    <row r="148" spans="1:10" x14ac:dyDescent="0.25">
      <c r="A148" s="33" t="s">
        <v>22</v>
      </c>
      <c r="B148" s="2" t="s">
        <v>7197</v>
      </c>
      <c r="C148" s="2" t="s">
        <v>7198</v>
      </c>
      <c r="D148" s="10" t="str">
        <f>_xlfn.IFNA(VLOOKUP($B148,'CareCompass Perf Network 032017'!$A$2:$AI$1502,18,FALSE),"")</f>
        <v>COMMUNITY HEALTH AND HOME CARE, INC.</v>
      </c>
      <c r="E148" s="10" t="str">
        <f>_xlfn.IFNA(VLOOKUP($B148,'CareCompass Perf Network 032017'!$A$2:$AI$1502,13,FALSE),"")</f>
        <v>No</v>
      </c>
      <c r="F148" s="10" t="str">
        <f>_xlfn.IFNA(VLOOKUP($B148,'CareCompass Perf Network 032017'!$A$2:$AI$1502,12,FALSE),"")</f>
        <v>All Other</v>
      </c>
      <c r="G148" s="2"/>
      <c r="H148" s="2">
        <v>26083.33</v>
      </c>
      <c r="I148" s="2"/>
      <c r="J148" s="4">
        <f>H148+I148</f>
        <v>26083.33</v>
      </c>
    </row>
    <row r="149" spans="1:10" x14ac:dyDescent="0.25">
      <c r="A149" s="33"/>
      <c r="B149" s="2" t="s">
        <v>7214</v>
      </c>
      <c r="C149" s="2" t="s">
        <v>7215</v>
      </c>
      <c r="D149" s="10" t="str">
        <f>_xlfn.IFNA(VLOOKUP($B149,'CareCompass Perf Network 032017'!$A$2:$AI$1502,18,FALSE),"")</f>
        <v>OUR LADY OF LOURDES MEMORIAL HOSPITAL, INC.</v>
      </c>
      <c r="E149" s="10" t="str">
        <f>_xlfn.IFNA(VLOOKUP($B149,'CareCompass Perf Network 032017'!$A$2:$AI$1502,13,FALSE),"")</f>
        <v>Yes</v>
      </c>
      <c r="F149" s="10" t="str">
        <f>_xlfn.IFNA(VLOOKUP($B149,'CareCompass Perf Network 032017'!$A$2:$AI$1502,12,FALSE),"")</f>
        <v>All Other:: Clinic:: Hospice:: Hospital:: Mental Health:: Substance Abuse</v>
      </c>
      <c r="G149" s="2"/>
      <c r="H149" s="2">
        <v>910</v>
      </c>
      <c r="I149" s="2"/>
      <c r="J149" s="4">
        <f t="shared" ref="J149:J153" si="33">H149+I149</f>
        <v>910</v>
      </c>
    </row>
    <row r="150" spans="1:10" x14ac:dyDescent="0.25">
      <c r="A150" s="33"/>
      <c r="B150" s="2"/>
      <c r="C150" s="2" t="s">
        <v>7220</v>
      </c>
      <c r="D150" s="10" t="s">
        <v>1268</v>
      </c>
      <c r="E150" s="10" t="s">
        <v>139</v>
      </c>
      <c r="F150" s="10" t="s">
        <v>68</v>
      </c>
      <c r="G150" s="2"/>
      <c r="H150" s="2">
        <v>132</v>
      </c>
      <c r="I150" s="2"/>
      <c r="J150" s="4">
        <f t="shared" si="33"/>
        <v>132</v>
      </c>
    </row>
    <row r="151" spans="1:10" x14ac:dyDescent="0.25">
      <c r="A151" s="33"/>
      <c r="B151" s="2"/>
      <c r="C151" s="2"/>
      <c r="D151" s="10" t="str">
        <f>_xlfn.IFNA(VLOOKUP($B151,'CareCompass Perf Network 032017'!$A$2:$AI$1502,18,FALSE),"")</f>
        <v/>
      </c>
      <c r="E151" s="10" t="str">
        <f>_xlfn.IFNA(VLOOKUP($B151,'CareCompass Perf Network 032017'!$A$2:$AI$1502,13,FALSE),"")</f>
        <v/>
      </c>
      <c r="F151" s="10" t="str">
        <f>_xlfn.IFNA(VLOOKUP($B151,'CareCompass Perf Network 032017'!$A$2:$AI$1502,12,FALSE),"")</f>
        <v/>
      </c>
      <c r="G151" s="2"/>
      <c r="H151" s="2"/>
      <c r="I151" s="2"/>
      <c r="J151" s="4">
        <f t="shared" si="33"/>
        <v>0</v>
      </c>
    </row>
    <row r="152" spans="1:10" x14ac:dyDescent="0.25">
      <c r="A152" s="33"/>
      <c r="B152" s="2"/>
      <c r="C152" s="2"/>
      <c r="D152" s="10" t="str">
        <f>_xlfn.IFNA(VLOOKUP($B152,'CareCompass Perf Network 032017'!$A$2:$AI$1502,18,FALSE),"")</f>
        <v/>
      </c>
      <c r="E152" s="10" t="str">
        <f>_xlfn.IFNA(VLOOKUP($B152,'CareCompass Perf Network 032017'!$A$2:$AI$1502,13,FALSE),"")</f>
        <v/>
      </c>
      <c r="F152" s="10" t="str">
        <f>_xlfn.IFNA(VLOOKUP($B152,'CareCompass Perf Network 032017'!$A$2:$AI$1502,12,FALSE),"")</f>
        <v/>
      </c>
      <c r="G152" s="2"/>
      <c r="H152" s="2"/>
      <c r="I152" s="2"/>
      <c r="J152" s="4">
        <f t="shared" si="33"/>
        <v>0</v>
      </c>
    </row>
    <row r="153" spans="1:10" x14ac:dyDescent="0.25">
      <c r="A153" s="33"/>
      <c r="B153" s="2"/>
      <c r="C153" s="2"/>
      <c r="D153" s="10" t="str">
        <f>_xlfn.IFNA(VLOOKUP($B153,'CareCompass Perf Network 032017'!$A$2:$AI$1502,18,FALSE),"")</f>
        <v/>
      </c>
      <c r="E153" s="10" t="str">
        <f>_xlfn.IFNA(VLOOKUP($B153,'CareCompass Perf Network 032017'!$A$2:$AI$1502,13,FALSE),"")</f>
        <v/>
      </c>
      <c r="F153" s="10" t="str">
        <f>_xlfn.IFNA(VLOOKUP($B153,'CareCompass Perf Network 032017'!$A$2:$AI$1502,12,FALSE),"")</f>
        <v/>
      </c>
      <c r="G153" s="2"/>
      <c r="H153" s="2"/>
      <c r="I153" s="2"/>
      <c r="J153" s="4">
        <f t="shared" si="33"/>
        <v>0</v>
      </c>
    </row>
    <row r="154" spans="1:10" x14ac:dyDescent="0.25">
      <c r="A154" s="33"/>
      <c r="B154" s="31" t="s">
        <v>34</v>
      </c>
      <c r="C154" s="32"/>
      <c r="D154" s="32"/>
      <c r="E154" s="32"/>
      <c r="F154" s="32"/>
      <c r="G154" s="32"/>
      <c r="H154" s="32"/>
      <c r="I154" s="32"/>
      <c r="J154" s="32"/>
    </row>
    <row r="155" spans="1:10" x14ac:dyDescent="0.25">
      <c r="A155" s="8"/>
      <c r="B155" s="9"/>
      <c r="C155" s="9"/>
      <c r="D155" s="9"/>
      <c r="E155" s="9"/>
      <c r="F155" s="9"/>
      <c r="G155" s="9"/>
      <c r="H155" s="19">
        <f>SUM(H148:H153)</f>
        <v>27125.33</v>
      </c>
      <c r="I155" s="19">
        <f t="shared" ref="I155:J155" si="34">SUM(I148:I153)</f>
        <v>0</v>
      </c>
      <c r="J155" s="19">
        <f t="shared" si="34"/>
        <v>27125.33</v>
      </c>
    </row>
    <row r="156" spans="1:10" x14ac:dyDescent="0.25">
      <c r="A156" s="33" t="s">
        <v>24</v>
      </c>
      <c r="B156" s="2"/>
      <c r="C156" s="2"/>
      <c r="D156" s="10"/>
      <c r="E156" s="10"/>
      <c r="F156" s="10"/>
      <c r="G156" s="2"/>
      <c r="H156" s="2"/>
      <c r="I156" s="2"/>
      <c r="J156" s="4">
        <f>H156+I156</f>
        <v>0</v>
      </c>
    </row>
    <row r="157" spans="1:10" x14ac:dyDescent="0.25">
      <c r="A157" s="33"/>
      <c r="B157" s="2"/>
      <c r="C157" s="2"/>
      <c r="D157" s="10"/>
      <c r="E157" s="10"/>
      <c r="F157" s="10"/>
      <c r="G157" s="2"/>
      <c r="H157" s="2"/>
      <c r="I157" s="2"/>
      <c r="J157" s="4">
        <f t="shared" ref="J157:J161" si="35">H157+I157</f>
        <v>0</v>
      </c>
    </row>
    <row r="158" spans="1:10" x14ac:dyDescent="0.25">
      <c r="A158" s="33"/>
      <c r="B158" s="2"/>
      <c r="C158" s="2"/>
      <c r="D158" s="10"/>
      <c r="E158" s="10"/>
      <c r="F158" s="10"/>
      <c r="G158" s="2"/>
      <c r="H158" s="2"/>
      <c r="I158" s="2"/>
      <c r="J158" s="4">
        <f t="shared" si="35"/>
        <v>0</v>
      </c>
    </row>
    <row r="159" spans="1:10" x14ac:dyDescent="0.25">
      <c r="A159" s="33"/>
      <c r="B159" s="2"/>
      <c r="C159" s="2"/>
      <c r="D159" s="10"/>
      <c r="E159" s="10"/>
      <c r="F159" s="10"/>
      <c r="G159" s="2"/>
      <c r="H159" s="2"/>
      <c r="I159" s="2"/>
      <c r="J159" s="4">
        <f t="shared" si="35"/>
        <v>0</v>
      </c>
    </row>
    <row r="160" spans="1:10" x14ac:dyDescent="0.25">
      <c r="A160" s="33"/>
      <c r="B160" s="2"/>
      <c r="C160" s="2"/>
      <c r="D160" s="10"/>
      <c r="E160" s="10"/>
      <c r="F160" s="10"/>
      <c r="G160" s="2"/>
      <c r="H160" s="2"/>
      <c r="I160" s="2"/>
      <c r="J160" s="4">
        <f t="shared" si="35"/>
        <v>0</v>
      </c>
    </row>
    <row r="161" spans="1:10" x14ac:dyDescent="0.25">
      <c r="A161" s="33"/>
      <c r="B161" s="2"/>
      <c r="C161" s="2"/>
      <c r="D161" s="10"/>
      <c r="E161" s="10"/>
      <c r="F161" s="10"/>
      <c r="G161" s="2"/>
      <c r="H161" s="2"/>
      <c r="I161" s="2"/>
      <c r="J161" s="4">
        <f t="shared" si="35"/>
        <v>0</v>
      </c>
    </row>
    <row r="162" spans="1:10" x14ac:dyDescent="0.25">
      <c r="A162" s="33"/>
      <c r="B162" s="31" t="s">
        <v>34</v>
      </c>
      <c r="C162" s="32"/>
      <c r="D162" s="32"/>
      <c r="E162" s="32"/>
      <c r="F162" s="32"/>
      <c r="G162" s="32"/>
      <c r="H162" s="32"/>
      <c r="I162" s="32"/>
      <c r="J162" s="32"/>
    </row>
    <row r="163" spans="1:10" x14ac:dyDescent="0.25">
      <c r="A163" s="8"/>
      <c r="B163" s="9"/>
      <c r="C163" s="9"/>
      <c r="D163" s="9"/>
      <c r="E163" s="9"/>
      <c r="F163" s="9"/>
      <c r="G163" s="9"/>
      <c r="H163" s="19">
        <f>SUM(H156:H161)</f>
        <v>0</v>
      </c>
      <c r="I163" s="19">
        <f t="shared" ref="I163:J163" si="36">SUM(I156:I161)</f>
        <v>0</v>
      </c>
      <c r="J163" s="19">
        <f t="shared" si="36"/>
        <v>0</v>
      </c>
    </row>
    <row r="164" spans="1:10" x14ac:dyDescent="0.25">
      <c r="A164" s="33" t="s">
        <v>25</v>
      </c>
      <c r="B164" s="2"/>
      <c r="C164" s="2"/>
      <c r="D164" s="10" t="str">
        <f>_xlfn.IFNA(VLOOKUP($B164,'CareCompass Perf Network 032017'!$A$2:$AI$1502,18,FALSE),"")</f>
        <v/>
      </c>
      <c r="E164" s="10" t="str">
        <f>_xlfn.IFNA(VLOOKUP($B164,'CareCompass Perf Network 032017'!$A$2:$AI$1502,13,FALSE),"")</f>
        <v/>
      </c>
      <c r="F164" s="10" t="str">
        <f>_xlfn.IFNA(VLOOKUP($B164,'CareCompass Perf Network 032017'!$A$2:$AI$1502,12,FALSE),"")</f>
        <v/>
      </c>
      <c r="G164" s="2"/>
      <c r="H164" s="2"/>
      <c r="I164" s="2"/>
      <c r="J164" s="4">
        <f>H164+I164</f>
        <v>0</v>
      </c>
    </row>
    <row r="165" spans="1:10" x14ac:dyDescent="0.25">
      <c r="A165" s="33"/>
      <c r="B165" s="2"/>
      <c r="C165" s="2"/>
      <c r="D165" s="10" t="str">
        <f>_xlfn.IFNA(VLOOKUP($B165,'CareCompass Perf Network 032017'!$A$2:$AI$1502,18,FALSE),"")</f>
        <v/>
      </c>
      <c r="E165" s="10" t="str">
        <f>_xlfn.IFNA(VLOOKUP($B165,'CareCompass Perf Network 032017'!$A$2:$AI$1502,13,FALSE),"")</f>
        <v/>
      </c>
      <c r="F165" s="10" t="str">
        <f>_xlfn.IFNA(VLOOKUP($B165,'CareCompass Perf Network 032017'!$A$2:$AI$1502,12,FALSE),"")</f>
        <v/>
      </c>
      <c r="G165" s="2"/>
      <c r="H165" s="2"/>
      <c r="I165" s="2"/>
      <c r="J165" s="4">
        <f t="shared" ref="J165:J169" si="37">H165+I165</f>
        <v>0</v>
      </c>
    </row>
    <row r="166" spans="1:10" x14ac:dyDescent="0.25">
      <c r="A166" s="33"/>
      <c r="B166" s="2"/>
      <c r="C166" s="2"/>
      <c r="D166" s="10" t="str">
        <f>_xlfn.IFNA(VLOOKUP($B166,'CareCompass Perf Network 032017'!$A$2:$AI$1502,18,FALSE),"")</f>
        <v/>
      </c>
      <c r="E166" s="10" t="str">
        <f>_xlfn.IFNA(VLOOKUP($B166,'CareCompass Perf Network 032017'!$A$2:$AI$1502,13,FALSE),"")</f>
        <v/>
      </c>
      <c r="F166" s="10" t="str">
        <f>_xlfn.IFNA(VLOOKUP($B166,'CareCompass Perf Network 032017'!$A$2:$AI$1502,12,FALSE),"")</f>
        <v/>
      </c>
      <c r="G166" s="2"/>
      <c r="H166" s="2"/>
      <c r="I166" s="2"/>
      <c r="J166" s="4">
        <f t="shared" si="37"/>
        <v>0</v>
      </c>
    </row>
    <row r="167" spans="1:10" x14ac:dyDescent="0.25">
      <c r="A167" s="33"/>
      <c r="B167" s="2"/>
      <c r="C167" s="2"/>
      <c r="D167" s="10" t="str">
        <f>_xlfn.IFNA(VLOOKUP($B167,'CareCompass Perf Network 032017'!$A$2:$AI$1502,18,FALSE),"")</f>
        <v/>
      </c>
      <c r="E167" s="10" t="str">
        <f>_xlfn.IFNA(VLOOKUP($B167,'CareCompass Perf Network 032017'!$A$2:$AI$1502,13,FALSE),"")</f>
        <v/>
      </c>
      <c r="F167" s="10" t="str">
        <f>_xlfn.IFNA(VLOOKUP($B167,'CareCompass Perf Network 032017'!$A$2:$AI$1502,12,FALSE),"")</f>
        <v/>
      </c>
      <c r="G167" s="2"/>
      <c r="H167" s="2"/>
      <c r="I167" s="2"/>
      <c r="J167" s="4">
        <f t="shared" si="37"/>
        <v>0</v>
      </c>
    </row>
    <row r="168" spans="1:10" x14ac:dyDescent="0.25">
      <c r="A168" s="33"/>
      <c r="B168" s="2"/>
      <c r="C168" s="2"/>
      <c r="D168" s="10" t="str">
        <f>_xlfn.IFNA(VLOOKUP($B168,'CareCompass Perf Network 032017'!$A$2:$AI$1502,18,FALSE),"")</f>
        <v/>
      </c>
      <c r="E168" s="10" t="str">
        <f>_xlfn.IFNA(VLOOKUP($B168,'CareCompass Perf Network 032017'!$A$2:$AI$1502,13,FALSE),"")</f>
        <v/>
      </c>
      <c r="F168" s="10" t="str">
        <f>_xlfn.IFNA(VLOOKUP($B168,'CareCompass Perf Network 032017'!$A$2:$AI$1502,12,FALSE),"")</f>
        <v/>
      </c>
      <c r="G168" s="2"/>
      <c r="H168" s="2"/>
      <c r="I168" s="2"/>
      <c r="J168" s="4">
        <f t="shared" si="37"/>
        <v>0</v>
      </c>
    </row>
    <row r="169" spans="1:10" x14ac:dyDescent="0.25">
      <c r="A169" s="33"/>
      <c r="B169" s="2"/>
      <c r="C169" s="2"/>
      <c r="D169" s="10" t="str">
        <f>_xlfn.IFNA(VLOOKUP($B169,'CareCompass Perf Network 032017'!$A$2:$AI$1502,18,FALSE),"")</f>
        <v/>
      </c>
      <c r="E169" s="10" t="str">
        <f>_xlfn.IFNA(VLOOKUP($B169,'CareCompass Perf Network 032017'!$A$2:$AI$1502,13,FALSE),"")</f>
        <v/>
      </c>
      <c r="F169" s="10" t="str">
        <f>_xlfn.IFNA(VLOOKUP($B169,'CareCompass Perf Network 032017'!$A$2:$AI$1502,12,FALSE),"")</f>
        <v/>
      </c>
      <c r="G169" s="2"/>
      <c r="H169" s="2"/>
      <c r="I169" s="2"/>
      <c r="J169" s="4">
        <f t="shared" si="37"/>
        <v>0</v>
      </c>
    </row>
    <row r="170" spans="1:10" x14ac:dyDescent="0.25">
      <c r="A170" s="33"/>
      <c r="B170" s="31" t="s">
        <v>34</v>
      </c>
      <c r="C170" s="32"/>
      <c r="D170" s="32"/>
      <c r="E170" s="32"/>
      <c r="F170" s="32"/>
      <c r="G170" s="32"/>
      <c r="H170" s="32"/>
      <c r="I170" s="32"/>
      <c r="J170" s="32"/>
    </row>
    <row r="171" spans="1:10" x14ac:dyDescent="0.25">
      <c r="A171" s="8"/>
      <c r="B171" s="9"/>
      <c r="C171" s="9"/>
      <c r="D171" s="9"/>
      <c r="E171" s="9"/>
      <c r="F171" s="9"/>
      <c r="G171" s="9"/>
      <c r="H171" s="19">
        <f>SUM(H164:H169)</f>
        <v>0</v>
      </c>
      <c r="I171" s="19">
        <f t="shared" ref="I171:J171" si="38">SUM(I164:I169)</f>
        <v>0</v>
      </c>
      <c r="J171" s="19">
        <f t="shared" si="38"/>
        <v>0</v>
      </c>
    </row>
    <row r="172" spans="1:10" x14ac:dyDescent="0.25">
      <c r="A172" s="33" t="s">
        <v>25</v>
      </c>
      <c r="B172" s="2"/>
      <c r="C172" s="2"/>
      <c r="D172" s="10" t="str">
        <f>_xlfn.IFNA(VLOOKUP($B172,'CareCompass Perf Network 032017'!$A$2:$AI$1502,18,FALSE),"")</f>
        <v/>
      </c>
      <c r="E172" s="10" t="str">
        <f>_xlfn.IFNA(VLOOKUP($B172,'CareCompass Perf Network 032017'!$A$2:$AI$1502,13,FALSE),"")</f>
        <v/>
      </c>
      <c r="F172" s="10" t="str">
        <f>_xlfn.IFNA(VLOOKUP($B172,'CareCompass Perf Network 032017'!$A$2:$AI$1502,12,FALSE),"")</f>
        <v/>
      </c>
      <c r="G172" s="2"/>
      <c r="H172" s="2"/>
      <c r="I172" s="2"/>
      <c r="J172" s="4">
        <f>H172+I172</f>
        <v>0</v>
      </c>
    </row>
    <row r="173" spans="1:10" x14ac:dyDescent="0.25">
      <c r="A173" s="33"/>
      <c r="B173" s="2"/>
      <c r="C173" s="2"/>
      <c r="D173" s="10" t="str">
        <f>_xlfn.IFNA(VLOOKUP($B173,'CareCompass Perf Network 032017'!$A$2:$AI$1502,18,FALSE),"")</f>
        <v/>
      </c>
      <c r="E173" s="10" t="str">
        <f>_xlfn.IFNA(VLOOKUP($B173,'CareCompass Perf Network 032017'!$A$2:$AI$1502,13,FALSE),"")</f>
        <v/>
      </c>
      <c r="F173" s="10" t="str">
        <f>_xlfn.IFNA(VLOOKUP($B173,'CareCompass Perf Network 032017'!$A$2:$AI$1502,12,FALSE),"")</f>
        <v/>
      </c>
      <c r="G173" s="2"/>
      <c r="H173" s="2"/>
      <c r="I173" s="2"/>
      <c r="J173" s="4">
        <f t="shared" ref="J173:J177" si="39">H173+I173</f>
        <v>0</v>
      </c>
    </row>
    <row r="174" spans="1:10" x14ac:dyDescent="0.25">
      <c r="A174" s="33"/>
      <c r="B174" s="2"/>
      <c r="C174" s="2"/>
      <c r="D174" s="10" t="str">
        <f>_xlfn.IFNA(VLOOKUP($B174,'CareCompass Perf Network 032017'!$A$2:$AI$1502,18,FALSE),"")</f>
        <v/>
      </c>
      <c r="E174" s="10" t="str">
        <f>_xlfn.IFNA(VLOOKUP($B174,'CareCompass Perf Network 032017'!$A$2:$AI$1502,13,FALSE),"")</f>
        <v/>
      </c>
      <c r="F174" s="10" t="str">
        <f>_xlfn.IFNA(VLOOKUP($B174,'CareCompass Perf Network 032017'!$A$2:$AI$1502,12,FALSE),"")</f>
        <v/>
      </c>
      <c r="G174" s="2"/>
      <c r="H174" s="2"/>
      <c r="I174" s="2"/>
      <c r="J174" s="4">
        <f t="shared" si="39"/>
        <v>0</v>
      </c>
    </row>
    <row r="175" spans="1:10" x14ac:dyDescent="0.25">
      <c r="A175" s="33"/>
      <c r="B175" s="2"/>
      <c r="C175" s="2"/>
      <c r="D175" s="10" t="str">
        <f>_xlfn.IFNA(VLOOKUP($B175,'CareCompass Perf Network 032017'!$A$2:$AI$1502,18,FALSE),"")</f>
        <v/>
      </c>
      <c r="E175" s="10" t="str">
        <f>_xlfn.IFNA(VLOOKUP($B175,'CareCompass Perf Network 032017'!$A$2:$AI$1502,13,FALSE),"")</f>
        <v/>
      </c>
      <c r="F175" s="10" t="str">
        <f>_xlfn.IFNA(VLOOKUP($B175,'CareCompass Perf Network 032017'!$A$2:$AI$1502,12,FALSE),"")</f>
        <v/>
      </c>
      <c r="G175" s="2"/>
      <c r="H175" s="2"/>
      <c r="I175" s="2"/>
      <c r="J175" s="4">
        <f t="shared" si="39"/>
        <v>0</v>
      </c>
    </row>
    <row r="176" spans="1:10" x14ac:dyDescent="0.25">
      <c r="A176" s="33"/>
      <c r="B176" s="2"/>
      <c r="C176" s="2"/>
      <c r="D176" s="10" t="str">
        <f>_xlfn.IFNA(VLOOKUP($B176,'CareCompass Perf Network 032017'!$A$2:$AI$1502,18,FALSE),"")</f>
        <v/>
      </c>
      <c r="E176" s="10" t="str">
        <f>_xlfn.IFNA(VLOOKUP($B176,'CareCompass Perf Network 032017'!$A$2:$AI$1502,13,FALSE),"")</f>
        <v/>
      </c>
      <c r="F176" s="10" t="str">
        <f>_xlfn.IFNA(VLOOKUP($B176,'CareCompass Perf Network 032017'!$A$2:$AI$1502,12,FALSE),"")</f>
        <v/>
      </c>
      <c r="G176" s="2"/>
      <c r="H176" s="2"/>
      <c r="I176" s="2"/>
      <c r="J176" s="4">
        <f t="shared" si="39"/>
        <v>0</v>
      </c>
    </row>
    <row r="177" spans="1:10" x14ac:dyDescent="0.25">
      <c r="A177" s="33"/>
      <c r="B177" s="2"/>
      <c r="C177" s="2"/>
      <c r="D177" s="10" t="str">
        <f>_xlfn.IFNA(VLOOKUP($B177,'CareCompass Perf Network 032017'!$A$2:$AI$1502,18,FALSE),"")</f>
        <v/>
      </c>
      <c r="E177" s="10" t="str">
        <f>_xlfn.IFNA(VLOOKUP($B177,'CareCompass Perf Network 032017'!$A$2:$AI$1502,13,FALSE),"")</f>
        <v/>
      </c>
      <c r="F177" s="10" t="str">
        <f>_xlfn.IFNA(VLOOKUP($B177,'CareCompass Perf Network 032017'!$A$2:$AI$1502,12,FALSE),"")</f>
        <v/>
      </c>
      <c r="G177" s="2"/>
      <c r="H177" s="2"/>
      <c r="I177" s="2"/>
      <c r="J177" s="4">
        <f t="shared" si="39"/>
        <v>0</v>
      </c>
    </row>
    <row r="178" spans="1:10" x14ac:dyDescent="0.25">
      <c r="A178" s="33"/>
      <c r="B178" s="31" t="s">
        <v>34</v>
      </c>
      <c r="C178" s="32"/>
      <c r="D178" s="32"/>
      <c r="E178" s="32"/>
      <c r="F178" s="32"/>
      <c r="G178" s="32"/>
      <c r="H178" s="32"/>
      <c r="I178" s="32"/>
      <c r="J178" s="32"/>
    </row>
    <row r="179" spans="1:10" x14ac:dyDescent="0.25">
      <c r="A179" s="8"/>
      <c r="B179" s="9"/>
      <c r="C179" s="9"/>
      <c r="D179" s="9"/>
      <c r="E179" s="9"/>
      <c r="F179" s="9"/>
      <c r="G179" s="9"/>
      <c r="H179" s="19">
        <f>SUM(H172:H177)</f>
        <v>0</v>
      </c>
      <c r="I179" s="19">
        <f t="shared" ref="I179:J179" si="40">SUM(I172:I177)</f>
        <v>0</v>
      </c>
      <c r="J179" s="19">
        <f t="shared" si="40"/>
        <v>0</v>
      </c>
    </row>
    <row r="180" spans="1:10" x14ac:dyDescent="0.25">
      <c r="A180" s="33" t="s">
        <v>25</v>
      </c>
      <c r="B180" s="2"/>
      <c r="C180" s="2"/>
      <c r="D180" s="10" t="str">
        <f>_xlfn.IFNA(VLOOKUP($B180,'CareCompass Perf Network 032017'!$A$2:$AI$1502,18,FALSE),"")</f>
        <v/>
      </c>
      <c r="E180" s="10" t="str">
        <f>_xlfn.IFNA(VLOOKUP($B180,'CareCompass Perf Network 032017'!$A$2:$AI$1502,13,FALSE),"")</f>
        <v/>
      </c>
      <c r="F180" s="10" t="str">
        <f>_xlfn.IFNA(VLOOKUP($B180,'CareCompass Perf Network 032017'!$A$2:$AI$1502,12,FALSE),"")</f>
        <v/>
      </c>
      <c r="G180" s="2"/>
      <c r="H180" s="2"/>
      <c r="I180" s="2"/>
      <c r="J180" s="4">
        <f>H180+I180</f>
        <v>0</v>
      </c>
    </row>
    <row r="181" spans="1:10" x14ac:dyDescent="0.25">
      <c r="A181" s="33"/>
      <c r="B181" s="2"/>
      <c r="C181" s="2"/>
      <c r="D181" s="10" t="str">
        <f>_xlfn.IFNA(VLOOKUP($B181,'CareCompass Perf Network 032017'!$A$2:$AI$1502,18,FALSE),"")</f>
        <v/>
      </c>
      <c r="E181" s="10" t="str">
        <f>_xlfn.IFNA(VLOOKUP($B181,'CareCompass Perf Network 032017'!$A$2:$AI$1502,13,FALSE),"")</f>
        <v/>
      </c>
      <c r="F181" s="10" t="str">
        <f>_xlfn.IFNA(VLOOKUP($B181,'CareCompass Perf Network 032017'!$A$2:$AI$1502,12,FALSE),"")</f>
        <v/>
      </c>
      <c r="G181" s="2"/>
      <c r="H181" s="2"/>
      <c r="I181" s="2"/>
      <c r="J181" s="4">
        <f t="shared" ref="J181:J185" si="41">H181+I181</f>
        <v>0</v>
      </c>
    </row>
    <row r="182" spans="1:10" x14ac:dyDescent="0.25">
      <c r="A182" s="33"/>
      <c r="B182" s="2"/>
      <c r="C182" s="2"/>
      <c r="D182" s="10" t="str">
        <f>_xlfn.IFNA(VLOOKUP($B182,'CareCompass Perf Network 032017'!$A$2:$AI$1502,18,FALSE),"")</f>
        <v/>
      </c>
      <c r="E182" s="10" t="str">
        <f>_xlfn.IFNA(VLOOKUP($B182,'CareCompass Perf Network 032017'!$A$2:$AI$1502,13,FALSE),"")</f>
        <v/>
      </c>
      <c r="F182" s="10" t="str">
        <f>_xlfn.IFNA(VLOOKUP($B182,'CareCompass Perf Network 032017'!$A$2:$AI$1502,12,FALSE),"")</f>
        <v/>
      </c>
      <c r="G182" s="2"/>
      <c r="H182" s="2"/>
      <c r="I182" s="2"/>
      <c r="J182" s="4">
        <f t="shared" si="41"/>
        <v>0</v>
      </c>
    </row>
    <row r="183" spans="1:10" x14ac:dyDescent="0.25">
      <c r="A183" s="33"/>
      <c r="B183" s="2"/>
      <c r="C183" s="2"/>
      <c r="D183" s="10" t="str">
        <f>_xlfn.IFNA(VLOOKUP($B183,'CareCompass Perf Network 032017'!$A$2:$AI$1502,18,FALSE),"")</f>
        <v/>
      </c>
      <c r="E183" s="10" t="str">
        <f>_xlfn.IFNA(VLOOKUP($B183,'CareCompass Perf Network 032017'!$A$2:$AI$1502,13,FALSE),"")</f>
        <v/>
      </c>
      <c r="F183" s="10" t="str">
        <f>_xlfn.IFNA(VLOOKUP($B183,'CareCompass Perf Network 032017'!$A$2:$AI$1502,12,FALSE),"")</f>
        <v/>
      </c>
      <c r="G183" s="2"/>
      <c r="H183" s="2"/>
      <c r="I183" s="2"/>
      <c r="J183" s="4">
        <f t="shared" si="41"/>
        <v>0</v>
      </c>
    </row>
    <row r="184" spans="1:10" x14ac:dyDescent="0.25">
      <c r="A184" s="33"/>
      <c r="B184" s="2"/>
      <c r="C184" s="2"/>
      <c r="D184" s="10" t="str">
        <f>_xlfn.IFNA(VLOOKUP($B184,'CareCompass Perf Network 032017'!$A$2:$AI$1502,18,FALSE),"")</f>
        <v/>
      </c>
      <c r="E184" s="10" t="str">
        <f>_xlfn.IFNA(VLOOKUP($B184,'CareCompass Perf Network 032017'!$A$2:$AI$1502,13,FALSE),"")</f>
        <v/>
      </c>
      <c r="F184" s="10" t="str">
        <f>_xlfn.IFNA(VLOOKUP($B184,'CareCompass Perf Network 032017'!$A$2:$AI$1502,12,FALSE),"")</f>
        <v/>
      </c>
      <c r="G184" s="2"/>
      <c r="H184" s="2"/>
      <c r="I184" s="2"/>
      <c r="J184" s="4">
        <f t="shared" si="41"/>
        <v>0</v>
      </c>
    </row>
    <row r="185" spans="1:10" x14ac:dyDescent="0.25">
      <c r="A185" s="33"/>
      <c r="B185" s="2"/>
      <c r="C185" s="2"/>
      <c r="D185" s="10" t="str">
        <f>_xlfn.IFNA(VLOOKUP($B185,'CareCompass Perf Network 032017'!$A$2:$AI$1502,18,FALSE),"")</f>
        <v/>
      </c>
      <c r="E185" s="10" t="str">
        <f>_xlfn.IFNA(VLOOKUP($B185,'CareCompass Perf Network 032017'!$A$2:$AI$1502,13,FALSE),"")</f>
        <v/>
      </c>
      <c r="F185" s="10" t="str">
        <f>_xlfn.IFNA(VLOOKUP($B185,'CareCompass Perf Network 032017'!$A$2:$AI$1502,12,FALSE),"")</f>
        <v/>
      </c>
      <c r="G185" s="2"/>
      <c r="H185" s="2"/>
      <c r="I185" s="2"/>
      <c r="J185" s="4">
        <f t="shared" si="41"/>
        <v>0</v>
      </c>
    </row>
    <row r="186" spans="1:10" x14ac:dyDescent="0.25">
      <c r="A186" s="33"/>
      <c r="B186" s="31" t="s">
        <v>34</v>
      </c>
      <c r="C186" s="32"/>
      <c r="D186" s="32"/>
      <c r="E186" s="32"/>
      <c r="F186" s="32"/>
      <c r="G186" s="32"/>
      <c r="H186" s="32"/>
      <c r="I186" s="32"/>
      <c r="J186" s="32"/>
    </row>
    <row r="187" spans="1:10" x14ac:dyDescent="0.25">
      <c r="A187" s="8"/>
      <c r="B187" s="9"/>
      <c r="C187" s="9"/>
      <c r="D187" s="9"/>
      <c r="E187" s="9"/>
      <c r="F187" s="9"/>
      <c r="G187" s="9"/>
      <c r="H187" s="19">
        <f>SUM(H180:H185)</f>
        <v>0</v>
      </c>
      <c r="I187" s="19">
        <f t="shared" ref="I187:J187" si="42">SUM(I180:I185)</f>
        <v>0</v>
      </c>
      <c r="J187" s="19">
        <f t="shared" si="42"/>
        <v>0</v>
      </c>
    </row>
  </sheetData>
  <sheetProtection algorithmName="SHA-512" hashValue="wf/zBGTnyR0QHjGdTAUFHb3s+BwsdWz3Wg1ME+vx/d2/GMqUmvGor55JNRAUhcx4mIVTpwugG4gcDqr0Sq8O4w==" saltValue="AN/ceeNfVWH/uEiWdPd3tA==" spinCount="100000" sheet="1" objects="1" scenarios="1"/>
  <sortState ref="B117:J129">
    <sortCondition ref="D117:D129"/>
  </sortState>
  <mergeCells count="38">
    <mergeCell ref="A79:A89"/>
    <mergeCell ref="A91:A97"/>
    <mergeCell ref="A99:A115"/>
    <mergeCell ref="A117:A130"/>
    <mergeCell ref="A5:A15"/>
    <mergeCell ref="A17:A23"/>
    <mergeCell ref="A25:A34"/>
    <mergeCell ref="A36:A43"/>
    <mergeCell ref="A45:A53"/>
    <mergeCell ref="B115:J115"/>
    <mergeCell ref="A180:A186"/>
    <mergeCell ref="B3:F3"/>
    <mergeCell ref="H3:J3"/>
    <mergeCell ref="B15:J15"/>
    <mergeCell ref="B23:J23"/>
    <mergeCell ref="B34:J34"/>
    <mergeCell ref="B43:J43"/>
    <mergeCell ref="A132:A138"/>
    <mergeCell ref="A140:A146"/>
    <mergeCell ref="A148:A154"/>
    <mergeCell ref="A156:A162"/>
    <mergeCell ref="A164:A170"/>
    <mergeCell ref="A172:A178"/>
    <mergeCell ref="A55:A65"/>
    <mergeCell ref="A67:A77"/>
    <mergeCell ref="B53:J53"/>
    <mergeCell ref="B65:J65"/>
    <mergeCell ref="B77:J77"/>
    <mergeCell ref="B89:J89"/>
    <mergeCell ref="B97:J97"/>
    <mergeCell ref="B186:J186"/>
    <mergeCell ref="B130:J130"/>
    <mergeCell ref="B138:J138"/>
    <mergeCell ref="B146:J146"/>
    <mergeCell ref="B154:J154"/>
    <mergeCell ref="B162:J162"/>
    <mergeCell ref="B178:J178"/>
    <mergeCell ref="B170:J17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"/>
  <sheetViews>
    <sheetView zoomScaleNormal="100" workbookViewId="0">
      <selection activeCell="A2" sqref="A2"/>
    </sheetView>
  </sheetViews>
  <sheetFormatPr defaultRowHeight="15" x14ac:dyDescent="0.25"/>
  <cols>
    <col min="1" max="1" width="11" style="2" customWidth="1"/>
    <col min="2" max="2" width="23.140625" style="2" bestFit="1" customWidth="1"/>
    <col min="3" max="3" width="23.140625" style="2" customWidth="1"/>
    <col min="4" max="4" width="2.7109375" style="17" customWidth="1"/>
    <col min="5" max="7" width="14.85546875" style="2" bestFit="1" customWidth="1"/>
    <col min="8" max="8" width="23.5703125" style="2" customWidth="1"/>
    <col min="9" max="9" width="2.7109375" style="17" customWidth="1"/>
    <col min="10" max="10" width="23" style="2" customWidth="1"/>
    <col min="11" max="11" width="2.7109375" style="18" hidden="1" customWidth="1"/>
    <col min="12" max="12" width="11.85546875" hidden="1" customWidth="1"/>
    <col min="13" max="13" width="12.85546875" hidden="1" customWidth="1"/>
    <col min="14" max="14" width="12.7109375" hidden="1" customWidth="1"/>
    <col min="15" max="15" width="12.85546875" hidden="1" customWidth="1"/>
    <col min="16" max="16" width="11.85546875" hidden="1" customWidth="1"/>
    <col min="17" max="17" width="12.28515625" hidden="1" customWidth="1"/>
    <col min="18" max="18" width="11.85546875" hidden="1" customWidth="1"/>
    <col min="19" max="19" width="12.85546875" hidden="1" customWidth="1"/>
    <col min="20" max="20" width="11.85546875" hidden="1" customWidth="1"/>
    <col min="21" max="21" width="12.28515625" hidden="1" customWidth="1"/>
    <col min="23" max="23" width="28.42578125" bestFit="1" customWidth="1"/>
    <col min="24" max="24" width="17.85546875" bestFit="1" customWidth="1"/>
    <col min="25" max="25" width="23.5703125" bestFit="1" customWidth="1"/>
  </cols>
  <sheetData>
    <row r="1" spans="1:21" x14ac:dyDescent="0.25">
      <c r="A1" s="35" t="s">
        <v>35</v>
      </c>
      <c r="B1" s="36"/>
      <c r="C1" s="37"/>
      <c r="D1" s="12"/>
      <c r="E1" s="38" t="s">
        <v>36</v>
      </c>
      <c r="F1" s="38"/>
      <c r="G1" s="38"/>
      <c r="H1" s="38"/>
      <c r="I1" s="12"/>
      <c r="J1" s="21" t="s">
        <v>37</v>
      </c>
      <c r="K1" s="13"/>
      <c r="L1" s="38" t="s">
        <v>38</v>
      </c>
      <c r="M1" s="38"/>
      <c r="N1" s="38"/>
      <c r="O1" s="38"/>
      <c r="P1" s="38"/>
      <c r="Q1" s="38"/>
      <c r="R1" s="38"/>
      <c r="S1" s="38"/>
      <c r="T1" s="38"/>
      <c r="U1" s="38"/>
    </row>
    <row r="2" spans="1:21" ht="30" x14ac:dyDescent="0.25">
      <c r="A2" s="14" t="s">
        <v>39</v>
      </c>
      <c r="B2" s="14" t="s">
        <v>31</v>
      </c>
      <c r="C2" s="14" t="s">
        <v>40</v>
      </c>
      <c r="D2" s="15"/>
      <c r="E2" s="14" t="s">
        <v>1</v>
      </c>
      <c r="F2" s="14" t="s">
        <v>29</v>
      </c>
      <c r="G2" s="14" t="s">
        <v>30</v>
      </c>
      <c r="H2" s="14" t="s">
        <v>31</v>
      </c>
      <c r="I2" s="15"/>
      <c r="J2" s="14" t="s">
        <v>41</v>
      </c>
      <c r="K2" s="16"/>
      <c r="L2" s="14" t="s">
        <v>42</v>
      </c>
      <c r="M2" s="14" t="s">
        <v>43</v>
      </c>
      <c r="N2" s="14" t="s">
        <v>44</v>
      </c>
      <c r="O2" s="14" t="s">
        <v>45</v>
      </c>
      <c r="P2" s="14" t="s">
        <v>46</v>
      </c>
      <c r="Q2" s="14" t="s">
        <v>47</v>
      </c>
      <c r="R2" s="14" t="s">
        <v>48</v>
      </c>
      <c r="S2" s="14" t="s">
        <v>49</v>
      </c>
      <c r="T2" s="14" t="s">
        <v>50</v>
      </c>
      <c r="U2" s="14" t="s">
        <v>51</v>
      </c>
    </row>
  </sheetData>
  <mergeCells count="3">
    <mergeCell ref="A1:C1"/>
    <mergeCell ref="E1:H1"/>
    <mergeCell ref="L1:U1"/>
  </mergeCells>
  <pageMargins left="0.7" right="0.7" top="0.75" bottom="0.75" header="0.3" footer="0.3"/>
  <pageSetup scale="63" orientation="landscape" r:id="rId1"/>
  <colBreaks count="1" manualBreakCount="1">
    <brk id="11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'C:\Users\jweber\Desktop\PAOP 2017\[PPS 2nd Tier Funds Flow Reporting Template.xlsx]Sheet2'!#REF!</xm:f>
          </x14:formula1>
          <xm:sqref>E3:E1048576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T7" sqref="T7"/>
    </sheetView>
  </sheetViews>
  <sheetFormatPr defaultRowHeight="15" x14ac:dyDescent="0.25"/>
  <cols>
    <col min="1" max="1" width="22" customWidth="1"/>
    <col min="2" max="2" width="10" customWidth="1"/>
    <col min="3" max="20" width="12" customWidth="1"/>
  </cols>
  <sheetData>
    <row r="1" spans="1:20" x14ac:dyDescent="0.25">
      <c r="A1" s="1" t="s">
        <v>52</v>
      </c>
    </row>
    <row r="3" spans="1:20" x14ac:dyDescent="0.25">
      <c r="A3" s="40" t="s">
        <v>53</v>
      </c>
      <c r="B3" s="41"/>
      <c r="C3" s="44" t="s">
        <v>54</v>
      </c>
      <c r="D3" s="45"/>
      <c r="E3" s="44" t="s">
        <v>55</v>
      </c>
      <c r="F3" s="45"/>
      <c r="G3" s="44" t="s">
        <v>56</v>
      </c>
      <c r="H3" s="45"/>
      <c r="I3" s="44" t="s">
        <v>57</v>
      </c>
      <c r="J3" s="45"/>
      <c r="K3" s="44" t="s">
        <v>58</v>
      </c>
      <c r="L3" s="45"/>
      <c r="M3" s="44" t="s">
        <v>59</v>
      </c>
      <c r="N3" s="45"/>
      <c r="O3" s="44" t="s">
        <v>60</v>
      </c>
      <c r="P3" s="45"/>
      <c r="Q3" s="44" t="s">
        <v>61</v>
      </c>
      <c r="R3" s="45"/>
      <c r="S3" s="44" t="s">
        <v>62</v>
      </c>
      <c r="T3" s="45"/>
    </row>
    <row r="4" spans="1:20" x14ac:dyDescent="0.25">
      <c r="A4" s="42"/>
      <c r="B4" s="43"/>
      <c r="C4" s="20" t="s">
        <v>63</v>
      </c>
      <c r="D4" s="20" t="s">
        <v>64</v>
      </c>
      <c r="E4" s="20" t="s">
        <v>63</v>
      </c>
      <c r="F4" s="20" t="s">
        <v>64</v>
      </c>
      <c r="G4" s="20" t="s">
        <v>63</v>
      </c>
      <c r="H4" s="20" t="s">
        <v>64</v>
      </c>
      <c r="I4" s="20" t="s">
        <v>63</v>
      </c>
      <c r="J4" s="20" t="s">
        <v>64</v>
      </c>
      <c r="K4" s="20" t="s">
        <v>63</v>
      </c>
      <c r="L4" s="20" t="s">
        <v>64</v>
      </c>
      <c r="M4" s="20" t="s">
        <v>63</v>
      </c>
      <c r="N4" s="20" t="s">
        <v>64</v>
      </c>
      <c r="O4" s="20" t="s">
        <v>63</v>
      </c>
      <c r="P4" s="20" t="s">
        <v>64</v>
      </c>
      <c r="Q4" s="20" t="s">
        <v>63</v>
      </c>
      <c r="R4" s="20" t="s">
        <v>64</v>
      </c>
      <c r="S4" s="20" t="s">
        <v>63</v>
      </c>
      <c r="T4" s="20" t="s">
        <v>64</v>
      </c>
    </row>
    <row r="5" spans="1:20" x14ac:dyDescent="0.25">
      <c r="A5" s="39" t="s">
        <v>9</v>
      </c>
      <c r="B5" s="3" t="s">
        <v>26</v>
      </c>
      <c r="C5" s="2">
        <v>285</v>
      </c>
      <c r="D5" s="2">
        <v>226</v>
      </c>
      <c r="E5" s="2">
        <v>58</v>
      </c>
      <c r="F5" s="2">
        <v>223</v>
      </c>
      <c r="G5" s="2">
        <v>0</v>
      </c>
      <c r="H5" s="2">
        <v>0</v>
      </c>
      <c r="I5" s="2">
        <v>0</v>
      </c>
      <c r="J5" s="2">
        <v>104</v>
      </c>
      <c r="K5" s="2">
        <v>0</v>
      </c>
      <c r="L5" s="2">
        <v>117</v>
      </c>
      <c r="M5" s="2">
        <v>163</v>
      </c>
      <c r="N5" s="2">
        <v>21</v>
      </c>
      <c r="O5" s="2">
        <v>0</v>
      </c>
      <c r="P5" s="2">
        <v>0</v>
      </c>
      <c r="Q5" s="2">
        <v>228</v>
      </c>
      <c r="R5" s="2">
        <v>65</v>
      </c>
      <c r="S5" s="2">
        <v>81</v>
      </c>
      <c r="T5" s="2">
        <v>101</v>
      </c>
    </row>
    <row r="6" spans="1:20" x14ac:dyDescent="0.25">
      <c r="A6" s="39"/>
      <c r="B6" s="3" t="s">
        <v>32</v>
      </c>
      <c r="C6" s="2">
        <v>48</v>
      </c>
      <c r="D6" s="2">
        <v>42</v>
      </c>
      <c r="E6" s="2">
        <v>48</v>
      </c>
      <c r="F6" s="2">
        <v>40</v>
      </c>
      <c r="G6" s="2">
        <v>0</v>
      </c>
      <c r="H6" s="2">
        <v>0</v>
      </c>
      <c r="I6" s="2">
        <v>0</v>
      </c>
      <c r="J6" s="2">
        <v>24</v>
      </c>
      <c r="K6" s="2">
        <v>48</v>
      </c>
      <c r="L6" s="2">
        <v>30</v>
      </c>
      <c r="M6" s="2">
        <v>48</v>
      </c>
      <c r="N6" s="2">
        <v>9</v>
      </c>
      <c r="O6" s="2">
        <v>0</v>
      </c>
      <c r="P6" s="2">
        <v>0</v>
      </c>
      <c r="Q6" s="2">
        <v>64</v>
      </c>
      <c r="R6" s="2">
        <v>7</v>
      </c>
      <c r="S6" s="2">
        <v>21</v>
      </c>
      <c r="T6" s="2">
        <v>15</v>
      </c>
    </row>
    <row r="7" spans="1:20" x14ac:dyDescent="0.25">
      <c r="A7" s="39" t="s">
        <v>10</v>
      </c>
      <c r="B7" s="3" t="s">
        <v>26</v>
      </c>
      <c r="C7" s="2">
        <v>479</v>
      </c>
      <c r="D7" s="2">
        <v>311</v>
      </c>
      <c r="E7" s="2">
        <v>66</v>
      </c>
      <c r="F7" s="2">
        <v>311</v>
      </c>
      <c r="G7" s="2">
        <v>0</v>
      </c>
      <c r="H7" s="2">
        <v>0</v>
      </c>
      <c r="I7" s="2">
        <v>0</v>
      </c>
      <c r="J7" s="2">
        <v>120</v>
      </c>
      <c r="K7" s="2">
        <v>0</v>
      </c>
      <c r="L7" s="2">
        <v>142</v>
      </c>
      <c r="M7" s="2">
        <v>0</v>
      </c>
      <c r="N7" s="2">
        <v>2</v>
      </c>
      <c r="O7" s="2">
        <v>0</v>
      </c>
      <c r="P7" s="2">
        <v>0</v>
      </c>
      <c r="Q7" s="2">
        <v>22</v>
      </c>
      <c r="R7" s="2">
        <v>7</v>
      </c>
      <c r="S7" s="2">
        <v>0</v>
      </c>
      <c r="T7" s="2">
        <v>0</v>
      </c>
    </row>
    <row r="8" spans="1:20" x14ac:dyDescent="0.25">
      <c r="A8" s="39"/>
      <c r="B8" s="3" t="s">
        <v>32</v>
      </c>
      <c r="C8" s="2">
        <v>43</v>
      </c>
      <c r="D8" s="2">
        <v>15</v>
      </c>
      <c r="E8" s="2">
        <v>43</v>
      </c>
      <c r="F8" s="2">
        <v>15</v>
      </c>
      <c r="G8" s="2">
        <v>0</v>
      </c>
      <c r="H8" s="2">
        <v>0</v>
      </c>
      <c r="I8" s="2">
        <v>0</v>
      </c>
      <c r="J8" s="2">
        <v>6</v>
      </c>
      <c r="K8" s="2">
        <v>43</v>
      </c>
      <c r="L8" s="2">
        <v>12</v>
      </c>
      <c r="M8" s="2">
        <v>0</v>
      </c>
      <c r="N8" s="2">
        <v>1</v>
      </c>
      <c r="O8" s="2">
        <v>0</v>
      </c>
      <c r="P8" s="2">
        <v>0</v>
      </c>
      <c r="Q8" s="2">
        <v>5</v>
      </c>
      <c r="R8" s="2">
        <v>1</v>
      </c>
      <c r="S8" s="2">
        <v>0</v>
      </c>
      <c r="T8" s="2">
        <v>0</v>
      </c>
    </row>
    <row r="9" spans="1:20" x14ac:dyDescent="0.25">
      <c r="A9" s="39" t="s">
        <v>65</v>
      </c>
      <c r="B9" s="3" t="s">
        <v>26</v>
      </c>
      <c r="C9" s="2">
        <v>7</v>
      </c>
      <c r="D9" s="2">
        <v>16</v>
      </c>
      <c r="E9" s="2">
        <v>5</v>
      </c>
      <c r="F9" s="2">
        <v>15</v>
      </c>
      <c r="G9" s="2">
        <v>0</v>
      </c>
      <c r="H9" s="2">
        <v>5</v>
      </c>
      <c r="I9" s="2">
        <v>0</v>
      </c>
      <c r="J9" s="2">
        <v>5</v>
      </c>
      <c r="K9" s="2">
        <v>0</v>
      </c>
      <c r="L9" s="2">
        <v>10</v>
      </c>
      <c r="M9" s="2">
        <v>0</v>
      </c>
      <c r="N9" s="2">
        <v>4</v>
      </c>
      <c r="O9" s="2">
        <v>0</v>
      </c>
      <c r="P9" s="2">
        <v>2</v>
      </c>
      <c r="Q9" s="2">
        <v>0</v>
      </c>
      <c r="R9" s="2">
        <v>4</v>
      </c>
      <c r="S9" s="2">
        <v>0</v>
      </c>
      <c r="T9" s="2">
        <v>3</v>
      </c>
    </row>
    <row r="10" spans="1:20" x14ac:dyDescent="0.25">
      <c r="A10" s="39"/>
      <c r="B10" s="3" t="s">
        <v>32</v>
      </c>
      <c r="C10" s="2">
        <v>7</v>
      </c>
      <c r="D10" s="2">
        <v>16</v>
      </c>
      <c r="E10" s="2">
        <v>7</v>
      </c>
      <c r="F10" s="2">
        <v>15</v>
      </c>
      <c r="G10" s="2">
        <v>7</v>
      </c>
      <c r="H10" s="2">
        <v>5</v>
      </c>
      <c r="I10" s="2">
        <v>0</v>
      </c>
      <c r="J10" s="2">
        <v>5</v>
      </c>
      <c r="K10" s="2">
        <v>7</v>
      </c>
      <c r="L10" s="2">
        <v>10</v>
      </c>
      <c r="M10" s="2">
        <v>0</v>
      </c>
      <c r="N10" s="2">
        <v>4</v>
      </c>
      <c r="O10" s="2">
        <v>2</v>
      </c>
      <c r="P10" s="2">
        <v>2</v>
      </c>
      <c r="Q10" s="2">
        <v>0</v>
      </c>
      <c r="R10" s="2">
        <v>4</v>
      </c>
      <c r="S10" s="2">
        <v>0</v>
      </c>
      <c r="T10" s="2">
        <v>3</v>
      </c>
    </row>
    <row r="11" spans="1:20" x14ac:dyDescent="0.25">
      <c r="A11" s="39" t="s">
        <v>13</v>
      </c>
      <c r="B11" s="3" t="s">
        <v>26</v>
      </c>
      <c r="C11" s="2">
        <v>23</v>
      </c>
      <c r="D11" s="2">
        <v>19</v>
      </c>
      <c r="E11" s="2">
        <v>0</v>
      </c>
      <c r="F11" s="2">
        <v>15</v>
      </c>
      <c r="G11" s="2">
        <v>0</v>
      </c>
      <c r="H11" s="2">
        <v>5</v>
      </c>
      <c r="I11" s="2">
        <v>0</v>
      </c>
      <c r="J11" s="2">
        <v>6</v>
      </c>
      <c r="K11" s="2">
        <v>0</v>
      </c>
      <c r="L11" s="2">
        <v>13</v>
      </c>
      <c r="M11" s="2">
        <v>0</v>
      </c>
      <c r="N11" s="2">
        <v>5</v>
      </c>
      <c r="O11" s="2">
        <v>0</v>
      </c>
      <c r="P11" s="2">
        <v>2</v>
      </c>
      <c r="Q11" s="2">
        <v>10</v>
      </c>
      <c r="R11" s="2">
        <v>4</v>
      </c>
      <c r="S11" s="2">
        <v>0</v>
      </c>
      <c r="T11" s="2">
        <v>3</v>
      </c>
    </row>
    <row r="12" spans="1:20" x14ac:dyDescent="0.25">
      <c r="A12" s="39"/>
      <c r="B12" s="3" t="s">
        <v>32</v>
      </c>
      <c r="C12" s="2">
        <v>24</v>
      </c>
      <c r="D12" s="2">
        <v>19</v>
      </c>
      <c r="E12" s="2">
        <v>0</v>
      </c>
      <c r="F12" s="2">
        <v>15</v>
      </c>
      <c r="G12" s="2">
        <v>0</v>
      </c>
      <c r="H12" s="2">
        <v>5</v>
      </c>
      <c r="I12" s="2">
        <v>0</v>
      </c>
      <c r="J12" s="2">
        <v>6</v>
      </c>
      <c r="K12" s="2">
        <v>24</v>
      </c>
      <c r="L12" s="2">
        <v>13</v>
      </c>
      <c r="M12" s="2">
        <v>0</v>
      </c>
      <c r="N12" s="2">
        <v>5</v>
      </c>
      <c r="O12" s="2">
        <v>0</v>
      </c>
      <c r="P12" s="2">
        <v>2</v>
      </c>
      <c r="Q12" s="2">
        <v>14</v>
      </c>
      <c r="R12" s="2">
        <v>4</v>
      </c>
      <c r="S12" s="2">
        <v>0</v>
      </c>
      <c r="T12" s="2">
        <v>3</v>
      </c>
    </row>
    <row r="13" spans="1:20" x14ac:dyDescent="0.25">
      <c r="A13" s="39" t="s">
        <v>66</v>
      </c>
      <c r="B13" s="3" t="s">
        <v>26</v>
      </c>
      <c r="C13" s="2">
        <v>12</v>
      </c>
      <c r="D13" s="2">
        <v>13</v>
      </c>
      <c r="E13" s="2">
        <v>7</v>
      </c>
      <c r="F13" s="2">
        <v>5</v>
      </c>
      <c r="G13" s="2">
        <v>0</v>
      </c>
      <c r="H13" s="2">
        <v>0</v>
      </c>
      <c r="I13" s="2">
        <v>0</v>
      </c>
      <c r="J13" s="2">
        <v>8</v>
      </c>
      <c r="K13" s="2">
        <v>0</v>
      </c>
      <c r="L13" s="2">
        <v>8</v>
      </c>
      <c r="M13" s="2">
        <v>0</v>
      </c>
      <c r="N13" s="2">
        <v>2</v>
      </c>
      <c r="O13" s="2">
        <v>0</v>
      </c>
      <c r="P13" s="2">
        <v>4</v>
      </c>
      <c r="Q13" s="2">
        <v>12</v>
      </c>
      <c r="R13" s="2">
        <v>0</v>
      </c>
      <c r="S13" s="2">
        <v>0</v>
      </c>
      <c r="T13" s="2">
        <v>2</v>
      </c>
    </row>
    <row r="14" spans="1:20" x14ac:dyDescent="0.25">
      <c r="A14" s="39"/>
      <c r="B14" s="3" t="s">
        <v>32</v>
      </c>
      <c r="C14" s="2">
        <v>7</v>
      </c>
      <c r="D14" s="2">
        <v>10</v>
      </c>
      <c r="E14" s="2">
        <v>7</v>
      </c>
      <c r="F14" s="2">
        <v>5</v>
      </c>
      <c r="G14" s="2">
        <v>0</v>
      </c>
      <c r="H14" s="2">
        <v>0</v>
      </c>
      <c r="I14" s="2">
        <v>0</v>
      </c>
      <c r="J14" s="2">
        <v>5</v>
      </c>
      <c r="K14" s="2">
        <v>0</v>
      </c>
      <c r="L14" s="2">
        <v>5</v>
      </c>
      <c r="M14" s="2">
        <v>0</v>
      </c>
      <c r="N14" s="2">
        <v>2</v>
      </c>
      <c r="O14" s="2">
        <v>3</v>
      </c>
      <c r="P14" s="2">
        <v>4</v>
      </c>
      <c r="Q14" s="2">
        <v>7</v>
      </c>
      <c r="R14" s="2">
        <v>0</v>
      </c>
      <c r="S14" s="2">
        <v>0</v>
      </c>
      <c r="T14" s="2">
        <v>2</v>
      </c>
    </row>
    <row r="15" spans="1:20" x14ac:dyDescent="0.25">
      <c r="A15" s="39" t="s">
        <v>14</v>
      </c>
      <c r="B15" s="3" t="s">
        <v>26</v>
      </c>
      <c r="C15" s="2">
        <v>63</v>
      </c>
      <c r="D15" s="2">
        <v>35</v>
      </c>
      <c r="E15" s="2">
        <v>0</v>
      </c>
      <c r="F15" s="2">
        <v>25</v>
      </c>
      <c r="G15" s="2">
        <v>0</v>
      </c>
      <c r="H15" s="2">
        <v>4</v>
      </c>
      <c r="I15" s="2">
        <v>0</v>
      </c>
      <c r="J15" s="2">
        <v>13</v>
      </c>
      <c r="K15" s="2">
        <v>0</v>
      </c>
      <c r="L15" s="2">
        <v>21</v>
      </c>
      <c r="M15" s="2">
        <v>37</v>
      </c>
      <c r="N15" s="2">
        <v>10</v>
      </c>
      <c r="O15" s="2">
        <v>0</v>
      </c>
      <c r="P15" s="2">
        <v>4</v>
      </c>
      <c r="Q15" s="2">
        <v>0</v>
      </c>
      <c r="R15" s="2">
        <v>4</v>
      </c>
      <c r="S15" s="2">
        <v>0</v>
      </c>
      <c r="T15" s="2">
        <v>4</v>
      </c>
    </row>
    <row r="16" spans="1:20" x14ac:dyDescent="0.25">
      <c r="A16" s="39"/>
      <c r="B16" s="3" t="s">
        <v>32</v>
      </c>
      <c r="C16" s="2">
        <v>28</v>
      </c>
      <c r="D16" s="2">
        <v>26</v>
      </c>
      <c r="E16" s="2">
        <v>0</v>
      </c>
      <c r="F16" s="2">
        <v>16</v>
      </c>
      <c r="G16" s="2">
        <v>0</v>
      </c>
      <c r="H16" s="2">
        <v>4</v>
      </c>
      <c r="I16" s="2">
        <v>0</v>
      </c>
      <c r="J16" s="2">
        <v>8</v>
      </c>
      <c r="K16" s="2">
        <v>0</v>
      </c>
      <c r="L16" s="2">
        <v>16</v>
      </c>
      <c r="M16" s="2">
        <v>16</v>
      </c>
      <c r="N16" s="2">
        <v>9</v>
      </c>
      <c r="O16" s="2">
        <v>7</v>
      </c>
      <c r="P16" s="2">
        <v>4</v>
      </c>
      <c r="Q16" s="2">
        <v>0</v>
      </c>
      <c r="R16" s="2">
        <v>2</v>
      </c>
      <c r="S16" s="2">
        <v>0</v>
      </c>
      <c r="T16" s="2">
        <v>2</v>
      </c>
    </row>
    <row r="17" spans="1:20" x14ac:dyDescent="0.25">
      <c r="A17" s="39" t="s">
        <v>15</v>
      </c>
      <c r="B17" s="3" t="s">
        <v>26</v>
      </c>
      <c r="C17" s="2">
        <v>14</v>
      </c>
      <c r="D17" s="2">
        <v>18</v>
      </c>
      <c r="E17" s="2">
        <v>0</v>
      </c>
      <c r="F17" s="2">
        <v>8</v>
      </c>
      <c r="G17" s="2">
        <v>0</v>
      </c>
      <c r="H17" s="2">
        <v>0</v>
      </c>
      <c r="I17" s="2">
        <v>0</v>
      </c>
      <c r="J17" s="2">
        <v>6</v>
      </c>
      <c r="K17" s="2">
        <v>0</v>
      </c>
      <c r="L17" s="2">
        <v>13</v>
      </c>
      <c r="M17" s="2">
        <v>0</v>
      </c>
      <c r="N17" s="2">
        <v>11</v>
      </c>
      <c r="O17" s="2">
        <v>0</v>
      </c>
      <c r="P17" s="2">
        <v>2</v>
      </c>
      <c r="Q17" s="2">
        <v>0</v>
      </c>
      <c r="R17" s="2">
        <v>3</v>
      </c>
      <c r="S17" s="2">
        <v>0</v>
      </c>
      <c r="T17" s="2">
        <v>2</v>
      </c>
    </row>
    <row r="18" spans="1:20" x14ac:dyDescent="0.25">
      <c r="A18" s="39"/>
      <c r="B18" s="3" t="s">
        <v>32</v>
      </c>
      <c r="C18" s="2">
        <v>13</v>
      </c>
      <c r="D18" s="2">
        <v>18</v>
      </c>
      <c r="E18" s="2">
        <v>0</v>
      </c>
      <c r="F18" s="2">
        <v>8</v>
      </c>
      <c r="G18" s="2">
        <v>0</v>
      </c>
      <c r="H18" s="2">
        <v>0</v>
      </c>
      <c r="I18" s="2">
        <v>0</v>
      </c>
      <c r="J18" s="2">
        <v>6</v>
      </c>
      <c r="K18" s="2">
        <v>0</v>
      </c>
      <c r="L18" s="2">
        <v>13</v>
      </c>
      <c r="M18" s="2">
        <v>0</v>
      </c>
      <c r="N18" s="2">
        <v>11</v>
      </c>
      <c r="O18" s="2">
        <v>7</v>
      </c>
      <c r="P18" s="2">
        <v>2</v>
      </c>
      <c r="Q18" s="2">
        <v>0</v>
      </c>
      <c r="R18" s="2">
        <v>3</v>
      </c>
      <c r="S18" s="2">
        <v>0</v>
      </c>
      <c r="T18" s="2">
        <v>2</v>
      </c>
    </row>
    <row r="19" spans="1:20" x14ac:dyDescent="0.25">
      <c r="A19" s="39" t="s">
        <v>19</v>
      </c>
      <c r="B19" s="3" t="s">
        <v>26</v>
      </c>
      <c r="C19" s="2">
        <v>20</v>
      </c>
      <c r="D19" s="2">
        <v>14</v>
      </c>
      <c r="E19" s="2">
        <v>0</v>
      </c>
      <c r="F19" s="2">
        <v>1</v>
      </c>
      <c r="G19" s="2">
        <v>0</v>
      </c>
      <c r="H19" s="2">
        <v>14</v>
      </c>
      <c r="I19" s="2">
        <v>0</v>
      </c>
      <c r="J19" s="2">
        <v>1</v>
      </c>
      <c r="K19" s="2">
        <v>0</v>
      </c>
      <c r="L19" s="2">
        <v>3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</row>
    <row r="20" spans="1:20" x14ac:dyDescent="0.25">
      <c r="A20" s="39"/>
      <c r="B20" s="3" t="s">
        <v>32</v>
      </c>
      <c r="C20" s="2">
        <v>18</v>
      </c>
      <c r="D20" s="2">
        <v>14</v>
      </c>
      <c r="E20" s="2">
        <v>0</v>
      </c>
      <c r="F20" s="2">
        <v>1</v>
      </c>
      <c r="G20" s="2">
        <v>19</v>
      </c>
      <c r="H20" s="2">
        <v>14</v>
      </c>
      <c r="I20" s="2">
        <v>0</v>
      </c>
      <c r="J20" s="2">
        <v>1</v>
      </c>
      <c r="K20" s="2">
        <v>0</v>
      </c>
      <c r="L20" s="2">
        <v>3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</row>
    <row r="21" spans="1:20" x14ac:dyDescent="0.25">
      <c r="A21" s="39" t="s">
        <v>20</v>
      </c>
      <c r="B21" s="3" t="s">
        <v>26</v>
      </c>
      <c r="C21" s="2">
        <v>0</v>
      </c>
      <c r="D21" s="2">
        <v>7</v>
      </c>
      <c r="E21" s="2">
        <v>0</v>
      </c>
      <c r="F21" s="2">
        <v>6</v>
      </c>
      <c r="G21" s="2">
        <v>0</v>
      </c>
      <c r="H21" s="2">
        <v>0</v>
      </c>
      <c r="I21" s="2">
        <v>0</v>
      </c>
      <c r="J21" s="2">
        <v>4</v>
      </c>
      <c r="K21" s="2">
        <v>0</v>
      </c>
      <c r="L21" s="2">
        <v>5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4</v>
      </c>
      <c r="S21" s="2">
        <v>0</v>
      </c>
      <c r="T21" s="2">
        <v>0</v>
      </c>
    </row>
    <row r="22" spans="1:20" x14ac:dyDescent="0.25">
      <c r="A22" s="39"/>
      <c r="B22" s="3" t="s">
        <v>32</v>
      </c>
      <c r="C22" s="2">
        <v>0</v>
      </c>
      <c r="D22" s="2">
        <v>4</v>
      </c>
      <c r="E22" s="2">
        <v>0</v>
      </c>
      <c r="F22" s="2">
        <v>3</v>
      </c>
      <c r="G22" s="2">
        <v>0</v>
      </c>
      <c r="H22" s="2">
        <v>0</v>
      </c>
      <c r="I22" s="2">
        <v>0</v>
      </c>
      <c r="J22" s="2">
        <v>1</v>
      </c>
      <c r="K22" s="2">
        <v>0</v>
      </c>
      <c r="L22" s="2">
        <v>2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1</v>
      </c>
      <c r="S22" s="2">
        <v>0</v>
      </c>
      <c r="T22" s="2">
        <v>0</v>
      </c>
    </row>
    <row r="23" spans="1:20" x14ac:dyDescent="0.25">
      <c r="A23" s="39" t="s">
        <v>21</v>
      </c>
      <c r="B23" s="3" t="s">
        <v>26</v>
      </c>
      <c r="C23" s="2">
        <v>4</v>
      </c>
      <c r="D23" s="2">
        <v>7</v>
      </c>
      <c r="E23" s="2">
        <v>0</v>
      </c>
      <c r="F23" s="2">
        <v>4</v>
      </c>
      <c r="G23" s="2">
        <v>0</v>
      </c>
      <c r="H23" s="2">
        <v>0</v>
      </c>
      <c r="I23" s="2">
        <v>0</v>
      </c>
      <c r="J23" s="2">
        <v>4</v>
      </c>
      <c r="K23" s="2">
        <v>0</v>
      </c>
      <c r="L23" s="2">
        <v>2</v>
      </c>
      <c r="M23" s="2">
        <v>0</v>
      </c>
      <c r="N23" s="2">
        <v>2</v>
      </c>
      <c r="O23" s="2">
        <v>0</v>
      </c>
      <c r="P23" s="2">
        <v>0</v>
      </c>
      <c r="Q23" s="2">
        <v>0</v>
      </c>
      <c r="R23" s="2">
        <v>2</v>
      </c>
      <c r="S23" s="11">
        <v>4</v>
      </c>
      <c r="T23" s="2">
        <v>5</v>
      </c>
    </row>
    <row r="24" spans="1:20" x14ac:dyDescent="0.25">
      <c r="A24" s="39"/>
      <c r="B24" s="3" t="s">
        <v>32</v>
      </c>
      <c r="C24" s="2">
        <v>0</v>
      </c>
      <c r="D24" s="2">
        <v>2</v>
      </c>
      <c r="E24" s="2">
        <v>0</v>
      </c>
      <c r="F24" s="2">
        <v>2</v>
      </c>
      <c r="G24" s="2">
        <v>0</v>
      </c>
      <c r="H24" s="2">
        <v>0</v>
      </c>
      <c r="I24" s="2">
        <v>0</v>
      </c>
      <c r="J24" s="2">
        <v>2</v>
      </c>
      <c r="K24" s="2">
        <v>0</v>
      </c>
      <c r="L24" s="2">
        <v>2</v>
      </c>
      <c r="M24" s="2">
        <v>0</v>
      </c>
      <c r="N24" s="2">
        <v>2</v>
      </c>
      <c r="O24" s="2">
        <v>0</v>
      </c>
      <c r="P24" s="2">
        <v>0</v>
      </c>
      <c r="Q24" s="2">
        <v>0</v>
      </c>
      <c r="R24" s="2">
        <v>2</v>
      </c>
      <c r="S24" s="2">
        <v>0</v>
      </c>
      <c r="T24" s="2">
        <v>0</v>
      </c>
    </row>
    <row r="25" spans="1:20" x14ac:dyDescent="0.25">
      <c r="A25" s="39" t="s">
        <v>67</v>
      </c>
      <c r="B25" s="3" t="s">
        <v>26</v>
      </c>
      <c r="C25" s="2">
        <v>26</v>
      </c>
      <c r="D25" s="2">
        <v>24</v>
      </c>
      <c r="E25" s="2">
        <v>0</v>
      </c>
      <c r="F25" s="2">
        <v>6</v>
      </c>
      <c r="G25" s="2">
        <v>0</v>
      </c>
      <c r="H25" s="2">
        <v>0</v>
      </c>
      <c r="I25" s="2">
        <v>0</v>
      </c>
      <c r="J25" s="2">
        <v>14</v>
      </c>
      <c r="K25" s="2">
        <v>0</v>
      </c>
      <c r="L25" s="2">
        <v>13</v>
      </c>
      <c r="M25" s="2">
        <v>0</v>
      </c>
      <c r="N25" s="2">
        <v>1</v>
      </c>
      <c r="O25" s="2">
        <v>0</v>
      </c>
      <c r="P25" s="2">
        <v>1</v>
      </c>
      <c r="Q25" s="2">
        <v>20</v>
      </c>
      <c r="R25" s="2">
        <v>0</v>
      </c>
      <c r="S25" s="2">
        <v>0</v>
      </c>
      <c r="T25" s="2">
        <v>3</v>
      </c>
    </row>
    <row r="26" spans="1:20" x14ac:dyDescent="0.25">
      <c r="A26" s="39"/>
      <c r="B26" s="3" t="s">
        <v>32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</row>
    <row r="27" spans="1:20" x14ac:dyDescent="0.25">
      <c r="A27" s="39" t="s">
        <v>68</v>
      </c>
      <c r="B27" s="3" t="s">
        <v>26</v>
      </c>
      <c r="C27" s="2">
        <v>375</v>
      </c>
      <c r="D27" s="2">
        <v>483</v>
      </c>
      <c r="E27" s="2">
        <v>95</v>
      </c>
      <c r="F27" s="2">
        <v>439</v>
      </c>
      <c r="G27" s="2">
        <v>0</v>
      </c>
      <c r="H27" s="2">
        <v>2</v>
      </c>
      <c r="I27" s="2">
        <v>0</v>
      </c>
      <c r="J27" s="2">
        <v>189</v>
      </c>
      <c r="K27" s="2">
        <v>0</v>
      </c>
      <c r="L27" s="2">
        <v>223</v>
      </c>
      <c r="M27" s="2">
        <v>0</v>
      </c>
      <c r="N27" s="2">
        <v>35</v>
      </c>
      <c r="O27" s="2">
        <v>0</v>
      </c>
      <c r="P27" s="2">
        <v>4</v>
      </c>
      <c r="Q27" s="2">
        <v>31</v>
      </c>
      <c r="R27" s="2">
        <v>76</v>
      </c>
      <c r="S27" s="2">
        <v>0</v>
      </c>
      <c r="T27" s="2">
        <v>54</v>
      </c>
    </row>
    <row r="28" spans="1:20" x14ac:dyDescent="0.25">
      <c r="A28" s="39"/>
      <c r="B28" s="3" t="s">
        <v>32</v>
      </c>
      <c r="C28" s="2">
        <v>95</v>
      </c>
      <c r="D28" s="2">
        <v>104</v>
      </c>
      <c r="E28" s="2">
        <v>95</v>
      </c>
      <c r="F28" s="2">
        <v>69</v>
      </c>
      <c r="G28" s="2">
        <v>0</v>
      </c>
      <c r="H28" s="2">
        <v>19</v>
      </c>
      <c r="I28" s="2">
        <v>0</v>
      </c>
      <c r="J28" s="2">
        <v>43</v>
      </c>
      <c r="K28" s="2">
        <v>95</v>
      </c>
      <c r="L28" s="2">
        <v>65</v>
      </c>
      <c r="M28" s="2">
        <v>0</v>
      </c>
      <c r="N28" s="2">
        <v>21</v>
      </c>
      <c r="O28" s="2">
        <v>0</v>
      </c>
      <c r="P28" s="2">
        <v>4</v>
      </c>
      <c r="Q28" s="2">
        <v>31</v>
      </c>
      <c r="R28" s="2">
        <v>12</v>
      </c>
      <c r="S28" s="2">
        <v>0</v>
      </c>
      <c r="T28" s="2">
        <v>6</v>
      </c>
    </row>
    <row r="30" spans="1:20" x14ac:dyDescent="0.25">
      <c r="A30" s="1" t="s">
        <v>69</v>
      </c>
      <c r="I30" s="11"/>
      <c r="J30" s="11"/>
    </row>
    <row r="31" spans="1:20" x14ac:dyDescent="0.25">
      <c r="A31" s="1" t="s">
        <v>70</v>
      </c>
    </row>
    <row r="32" spans="1:20" x14ac:dyDescent="0.25">
      <c r="A32" s="1" t="s">
        <v>71</v>
      </c>
    </row>
  </sheetData>
  <mergeCells count="22">
    <mergeCell ref="O3:P3"/>
    <mergeCell ref="Q3:R3"/>
    <mergeCell ref="S3:T3"/>
    <mergeCell ref="A5:A6"/>
    <mergeCell ref="A7:A8"/>
    <mergeCell ref="C3:D3"/>
    <mergeCell ref="E3:F3"/>
    <mergeCell ref="G3:H3"/>
    <mergeCell ref="I3:J3"/>
    <mergeCell ref="K3:L3"/>
    <mergeCell ref="M3:N3"/>
    <mergeCell ref="A23:A24"/>
    <mergeCell ref="A25:A26"/>
    <mergeCell ref="A27:A28"/>
    <mergeCell ref="A3:B4"/>
    <mergeCell ref="A11:A12"/>
    <mergeCell ref="A13:A14"/>
    <mergeCell ref="A15:A16"/>
    <mergeCell ref="A17:A18"/>
    <mergeCell ref="A19:A20"/>
    <mergeCell ref="A21:A22"/>
    <mergeCell ref="A9:A1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6"/>
  <sheetViews>
    <sheetView workbookViewId="0">
      <selection activeCell="J7" sqref="J7"/>
    </sheetView>
  </sheetViews>
  <sheetFormatPr defaultRowHeight="15" x14ac:dyDescent="0.25"/>
  <cols>
    <col min="1" max="1" width="13.140625" bestFit="1" customWidth="1"/>
    <col min="2" max="2" width="22.85546875" bestFit="1" customWidth="1"/>
    <col min="3" max="3" width="24" bestFit="1" customWidth="1"/>
    <col min="4" max="4" width="24.5703125" bestFit="1" customWidth="1"/>
    <col min="5" max="5" width="22.7109375" bestFit="1" customWidth="1"/>
    <col min="6" max="6" width="23" bestFit="1" customWidth="1"/>
    <col min="7" max="7" width="22.85546875" bestFit="1" customWidth="1"/>
    <col min="8" max="8" width="23.42578125" bestFit="1" customWidth="1"/>
    <col min="9" max="9" width="23" bestFit="1" customWidth="1"/>
    <col min="10" max="10" width="22.85546875" bestFit="1" customWidth="1"/>
    <col min="11" max="11" width="24" bestFit="1" customWidth="1"/>
    <col min="12" max="12" width="23.5703125" bestFit="1" customWidth="1"/>
  </cols>
  <sheetData>
    <row r="3" spans="1:12" x14ac:dyDescent="0.25">
      <c r="A3" s="25" t="s">
        <v>7233</v>
      </c>
      <c r="B3" t="s">
        <v>7236</v>
      </c>
      <c r="C3" t="s">
        <v>7237</v>
      </c>
      <c r="D3" t="s">
        <v>7238</v>
      </c>
      <c r="E3" t="s">
        <v>7239</v>
      </c>
      <c r="F3" t="s">
        <v>7240</v>
      </c>
      <c r="G3" t="s">
        <v>7241</v>
      </c>
      <c r="H3" t="s">
        <v>7242</v>
      </c>
      <c r="I3" t="s">
        <v>7243</v>
      </c>
      <c r="J3" t="s">
        <v>7244</v>
      </c>
      <c r="K3" t="s">
        <v>7245</v>
      </c>
      <c r="L3" t="s">
        <v>7246</v>
      </c>
    </row>
    <row r="4" spans="1:12" x14ac:dyDescent="0.25">
      <c r="A4" s="26">
        <v>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x14ac:dyDescent="0.25">
      <c r="A5" s="27" t="s">
        <v>108</v>
      </c>
      <c r="B5" s="28">
        <v>184</v>
      </c>
      <c r="C5" s="28">
        <v>183</v>
      </c>
      <c r="D5" s="28">
        <v>0</v>
      </c>
      <c r="E5" s="28">
        <v>80</v>
      </c>
      <c r="F5" s="28">
        <v>87</v>
      </c>
      <c r="G5" s="28">
        <v>12</v>
      </c>
      <c r="H5" s="28">
        <v>0</v>
      </c>
      <c r="I5" s="28">
        <v>58</v>
      </c>
      <c r="J5" s="28">
        <v>86</v>
      </c>
      <c r="K5" s="28">
        <v>46</v>
      </c>
      <c r="L5" s="28">
        <v>14</v>
      </c>
    </row>
    <row r="6" spans="1:12" x14ac:dyDescent="0.25">
      <c r="A6" s="27" t="s">
        <v>139</v>
      </c>
      <c r="B6" s="28">
        <v>42</v>
      </c>
      <c r="C6" s="28">
        <v>40</v>
      </c>
      <c r="D6" s="28">
        <v>0</v>
      </c>
      <c r="E6" s="28">
        <v>24</v>
      </c>
      <c r="F6" s="28">
        <v>30</v>
      </c>
      <c r="G6" s="28">
        <v>9</v>
      </c>
      <c r="H6" s="28">
        <v>0</v>
      </c>
      <c r="I6" s="28">
        <v>7</v>
      </c>
      <c r="J6" s="28">
        <v>15</v>
      </c>
      <c r="K6" s="28">
        <v>4</v>
      </c>
      <c r="L6" s="28">
        <v>4</v>
      </c>
    </row>
    <row r="7" spans="1:12" x14ac:dyDescent="0.25">
      <c r="A7" s="26" t="s">
        <v>7235</v>
      </c>
      <c r="B7" s="28">
        <v>226</v>
      </c>
      <c r="C7" s="28">
        <v>223</v>
      </c>
      <c r="D7" s="28">
        <v>0</v>
      </c>
      <c r="E7" s="28">
        <v>104</v>
      </c>
      <c r="F7" s="28">
        <v>117</v>
      </c>
      <c r="G7" s="28">
        <v>21</v>
      </c>
      <c r="H7" s="28">
        <v>0</v>
      </c>
      <c r="I7" s="28">
        <v>65</v>
      </c>
      <c r="J7" s="28">
        <v>101</v>
      </c>
      <c r="K7" s="28">
        <v>50</v>
      </c>
      <c r="L7" s="28">
        <v>18</v>
      </c>
    </row>
    <row r="8" spans="1:12" x14ac:dyDescent="0.25">
      <c r="A8" s="26" t="s">
        <v>7255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x14ac:dyDescent="0.25">
      <c r="A9" s="27" t="s">
        <v>108</v>
      </c>
      <c r="B9" s="28">
        <v>329</v>
      </c>
      <c r="C9" s="28">
        <v>297</v>
      </c>
      <c r="D9" s="28">
        <v>3</v>
      </c>
      <c r="E9" s="28">
        <v>132</v>
      </c>
      <c r="F9" s="28">
        <v>143</v>
      </c>
      <c r="G9" s="28">
        <v>4</v>
      </c>
      <c r="H9" s="28">
        <v>2</v>
      </c>
      <c r="I9" s="28">
        <v>11</v>
      </c>
      <c r="J9" s="28">
        <v>16</v>
      </c>
      <c r="K9" s="28">
        <v>67</v>
      </c>
      <c r="L9" s="28">
        <v>15</v>
      </c>
    </row>
    <row r="10" spans="1:12" x14ac:dyDescent="0.25">
      <c r="A10" s="27" t="s">
        <v>139</v>
      </c>
      <c r="B10" s="28">
        <v>74</v>
      </c>
      <c r="C10" s="28">
        <v>35</v>
      </c>
      <c r="D10" s="28">
        <v>22</v>
      </c>
      <c r="E10" s="28">
        <v>23</v>
      </c>
      <c r="F10" s="28">
        <v>42</v>
      </c>
      <c r="G10" s="28">
        <v>13</v>
      </c>
      <c r="H10" s="28">
        <v>4</v>
      </c>
      <c r="I10" s="28">
        <v>6</v>
      </c>
      <c r="J10" s="28">
        <v>3</v>
      </c>
      <c r="K10" s="28">
        <v>3</v>
      </c>
      <c r="L10" s="28">
        <v>6</v>
      </c>
    </row>
    <row r="11" spans="1:12" x14ac:dyDescent="0.25">
      <c r="A11" s="26" t="s">
        <v>7256</v>
      </c>
      <c r="B11" s="28">
        <v>403</v>
      </c>
      <c r="C11" s="28">
        <v>332</v>
      </c>
      <c r="D11" s="28">
        <v>25</v>
      </c>
      <c r="E11" s="28">
        <v>155</v>
      </c>
      <c r="F11" s="28">
        <v>185</v>
      </c>
      <c r="G11" s="28">
        <v>17</v>
      </c>
      <c r="H11" s="28">
        <v>6</v>
      </c>
      <c r="I11" s="28">
        <v>17</v>
      </c>
      <c r="J11" s="28">
        <v>19</v>
      </c>
      <c r="K11" s="28">
        <v>70</v>
      </c>
      <c r="L11" s="28">
        <v>21</v>
      </c>
    </row>
    <row r="12" spans="1:12" x14ac:dyDescent="0.25">
      <c r="A12" s="26" t="s">
        <v>7254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</row>
    <row r="13" spans="1:12" x14ac:dyDescent="0.25">
      <c r="A13" s="27" t="s">
        <v>108</v>
      </c>
      <c r="B13" s="28">
        <v>1</v>
      </c>
      <c r="C13" s="28">
        <v>1</v>
      </c>
      <c r="D13" s="28">
        <v>0</v>
      </c>
      <c r="E13" s="28">
        <v>1</v>
      </c>
      <c r="F13" s="28">
        <v>1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</row>
    <row r="14" spans="1:12" x14ac:dyDescent="0.25">
      <c r="A14" s="27" t="s">
        <v>7254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</row>
    <row r="15" spans="1:12" x14ac:dyDescent="0.25">
      <c r="A15" s="26" t="s">
        <v>7257</v>
      </c>
      <c r="B15" s="28">
        <v>1</v>
      </c>
      <c r="C15" s="28">
        <v>1</v>
      </c>
      <c r="D15" s="28">
        <v>0</v>
      </c>
      <c r="E15" s="28">
        <v>1</v>
      </c>
      <c r="F15" s="28">
        <v>1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</row>
    <row r="16" spans="1:12" x14ac:dyDescent="0.25">
      <c r="A16" s="26" t="s">
        <v>7234</v>
      </c>
      <c r="B16" s="28">
        <v>630</v>
      </c>
      <c r="C16" s="28">
        <v>556</v>
      </c>
      <c r="D16" s="28">
        <v>25</v>
      </c>
      <c r="E16" s="28">
        <v>260</v>
      </c>
      <c r="F16" s="28">
        <v>303</v>
      </c>
      <c r="G16" s="28">
        <v>38</v>
      </c>
      <c r="H16" s="28">
        <v>6</v>
      </c>
      <c r="I16" s="28">
        <v>82</v>
      </c>
      <c r="J16" s="28">
        <v>120</v>
      </c>
      <c r="K16" s="28">
        <v>120</v>
      </c>
      <c r="L16" s="28">
        <v>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502"/>
  <sheetViews>
    <sheetView zoomScale="70" zoomScaleNormal="70" workbookViewId="0">
      <pane ySplit="1" topLeftCell="A2" activePane="bottomLeft" state="frozen"/>
      <selection activeCell="W1" sqref="W1"/>
      <selection pane="bottomLeft" activeCell="AM39" sqref="AM39"/>
    </sheetView>
  </sheetViews>
  <sheetFormatPr defaultRowHeight="15" x14ac:dyDescent="0.25"/>
  <cols>
    <col min="1" max="1" width="11" bestFit="1" customWidth="1"/>
    <col min="3" max="3" width="50" customWidth="1"/>
    <col min="4" max="4" width="12" customWidth="1"/>
    <col min="5" max="5" width="40.42578125" customWidth="1"/>
    <col min="6" max="6" width="13.85546875" hidden="1" customWidth="1"/>
    <col min="7" max="7" width="48" hidden="1" customWidth="1"/>
    <col min="8" max="11" width="9.140625" hidden="1" customWidth="1"/>
    <col min="12" max="12" width="107.140625" hidden="1" customWidth="1"/>
    <col min="13" max="35" width="9.140625" hidden="1" customWidth="1"/>
    <col min="36" max="36" width="0" hidden="1" customWidth="1"/>
    <col min="37" max="37" width="31" hidden="1" customWidth="1"/>
    <col min="38" max="38" width="12" bestFit="1" customWidth="1"/>
    <col min="39" max="39" width="18.28515625" bestFit="1" customWidth="1"/>
    <col min="40" max="40" width="19.5703125" bestFit="1" customWidth="1"/>
    <col min="41" max="41" width="20.140625" bestFit="1" customWidth="1"/>
    <col min="42" max="42" width="18.140625" bestFit="1" customWidth="1"/>
    <col min="43" max="43" width="18.42578125" bestFit="1" customWidth="1"/>
    <col min="44" max="44" width="18.28515625" bestFit="1" customWidth="1"/>
    <col min="45" max="45" width="18.85546875" bestFit="1" customWidth="1"/>
    <col min="46" max="46" width="18.42578125" bestFit="1" customWidth="1"/>
    <col min="47" max="47" width="18.28515625" bestFit="1" customWidth="1"/>
    <col min="48" max="48" width="19.5703125" bestFit="1" customWidth="1"/>
    <col min="49" max="49" width="19" bestFit="1" customWidth="1"/>
    <col min="50" max="50" width="29.28515625" style="24" bestFit="1" customWidth="1"/>
    <col min="51" max="51" width="33.85546875" style="24" bestFit="1" customWidth="1"/>
    <col min="52" max="52" width="12.85546875" style="24" bestFit="1" customWidth="1"/>
    <col min="53" max="53" width="10.42578125" style="24" bestFit="1" customWidth="1"/>
    <col min="54" max="54" width="31.28515625" style="24" bestFit="1" customWidth="1"/>
    <col min="55" max="55" width="13.7109375" style="24" bestFit="1" customWidth="1"/>
    <col min="56" max="56" width="16.140625" style="24" bestFit="1" customWidth="1"/>
    <col min="57" max="57" width="13.7109375" style="24" bestFit="1" customWidth="1"/>
    <col min="58" max="58" width="9.5703125" style="24" bestFit="1" customWidth="1"/>
    <col min="59" max="59" width="8" style="24" bestFit="1" customWidth="1"/>
    <col min="60" max="60" width="30.28515625" style="24" bestFit="1" customWidth="1"/>
    <col min="61" max="61" width="9" style="24" bestFit="1" customWidth="1"/>
    <col min="63" max="63" width="13.7109375" bestFit="1" customWidth="1"/>
    <col min="65" max="65" width="9.5703125" bestFit="1" customWidth="1"/>
    <col min="67" max="67" width="8" bestFit="1" customWidth="1"/>
    <col min="69" max="69" width="30.28515625" bestFit="1" customWidth="1"/>
    <col min="71" max="71" width="9" bestFit="1" customWidth="1"/>
  </cols>
  <sheetData>
    <row r="1" spans="1:62" x14ac:dyDescent="0.25">
      <c r="A1" t="s">
        <v>72</v>
      </c>
      <c r="B1" t="s">
        <v>30</v>
      </c>
      <c r="C1" t="s">
        <v>73</v>
      </c>
      <c r="D1" t="s">
        <v>74</v>
      </c>
      <c r="E1" t="s">
        <v>75</v>
      </c>
      <c r="F1" t="s">
        <v>76</v>
      </c>
      <c r="G1" t="s">
        <v>77</v>
      </c>
      <c r="H1" t="s">
        <v>78</v>
      </c>
      <c r="I1" t="s">
        <v>79</v>
      </c>
      <c r="J1" t="s">
        <v>80</v>
      </c>
      <c r="K1" t="s">
        <v>81</v>
      </c>
      <c r="L1" t="s">
        <v>82</v>
      </c>
      <c r="M1" t="s">
        <v>32</v>
      </c>
      <c r="N1" t="s">
        <v>83</v>
      </c>
      <c r="O1" t="s">
        <v>84</v>
      </c>
      <c r="P1" t="s">
        <v>85</v>
      </c>
      <c r="Q1" t="s">
        <v>86</v>
      </c>
      <c r="R1" t="s">
        <v>87</v>
      </c>
      <c r="S1" t="s">
        <v>88</v>
      </c>
      <c r="T1" t="s">
        <v>89</v>
      </c>
      <c r="U1" t="s">
        <v>90</v>
      </c>
      <c r="V1" t="s">
        <v>91</v>
      </c>
      <c r="W1" t="s">
        <v>92</v>
      </c>
      <c r="X1" t="s">
        <v>93</v>
      </c>
      <c r="Y1" t="s">
        <v>94</v>
      </c>
      <c r="Z1" t="s">
        <v>95</v>
      </c>
      <c r="AA1" t="s">
        <v>96</v>
      </c>
      <c r="AB1" t="s">
        <v>97</v>
      </c>
      <c r="AC1" t="s">
        <v>98</v>
      </c>
      <c r="AD1" t="s">
        <v>99</v>
      </c>
      <c r="AE1" t="s">
        <v>100</v>
      </c>
      <c r="AF1" t="s">
        <v>101</v>
      </c>
      <c r="AG1" t="s">
        <v>102</v>
      </c>
      <c r="AH1" t="s">
        <v>103</v>
      </c>
      <c r="AI1" t="s">
        <v>104</v>
      </c>
      <c r="AJ1" t="s">
        <v>7247</v>
      </c>
      <c r="AK1" t="s">
        <v>73</v>
      </c>
      <c r="AL1" t="s">
        <v>74</v>
      </c>
      <c r="AM1" t="s">
        <v>7222</v>
      </c>
      <c r="AN1" t="s">
        <v>7223</v>
      </c>
      <c r="AO1" t="s">
        <v>7224</v>
      </c>
      <c r="AP1" t="s">
        <v>7225</v>
      </c>
      <c r="AQ1" t="s">
        <v>7226</v>
      </c>
      <c r="AR1" t="s">
        <v>7227</v>
      </c>
      <c r="AS1" t="s">
        <v>7228</v>
      </c>
      <c r="AT1" t="s">
        <v>7229</v>
      </c>
      <c r="AU1" t="s">
        <v>7230</v>
      </c>
      <c r="AV1" t="s">
        <v>7231</v>
      </c>
      <c r="AW1" t="s">
        <v>7232</v>
      </c>
      <c r="AX1" s="24" t="s">
        <v>9</v>
      </c>
      <c r="AY1" s="24" t="s">
        <v>10</v>
      </c>
      <c r="AZ1" s="24" t="s">
        <v>65</v>
      </c>
      <c r="BA1" s="24" t="s">
        <v>13</v>
      </c>
      <c r="BB1" s="24" t="s">
        <v>66</v>
      </c>
      <c r="BC1" s="24" t="s">
        <v>14</v>
      </c>
      <c r="BD1" s="24" t="s">
        <v>15</v>
      </c>
      <c r="BE1" s="24" t="s">
        <v>19</v>
      </c>
      <c r="BF1" s="24" t="s">
        <v>20</v>
      </c>
      <c r="BG1" s="24" t="s">
        <v>21</v>
      </c>
      <c r="BH1" s="24" t="s">
        <v>67</v>
      </c>
      <c r="BI1" s="24" t="s">
        <v>68</v>
      </c>
      <c r="BJ1" s="24" t="s">
        <v>133</v>
      </c>
    </row>
    <row r="2" spans="1:62" ht="15" customHeight="1" x14ac:dyDescent="0.25">
      <c r="A2" t="str">
        <f>"1467418939"</f>
        <v>1467418939</v>
      </c>
      <c r="B2" t="str">
        <f>"02356187"</f>
        <v>02356187</v>
      </c>
      <c r="C2" t="s">
        <v>5453</v>
      </c>
      <c r="D2" t="s">
        <v>5454</v>
      </c>
      <c r="E2" t="s">
        <v>5455</v>
      </c>
      <c r="G2" t="s">
        <v>5453</v>
      </c>
      <c r="H2" t="s">
        <v>403</v>
      </c>
      <c r="J2" t="s">
        <v>5456</v>
      </c>
      <c r="L2" t="s">
        <v>138</v>
      </c>
      <c r="M2" t="s">
        <v>108</v>
      </c>
      <c r="R2" t="s">
        <v>5457</v>
      </c>
      <c r="W2" t="s">
        <v>5455</v>
      </c>
      <c r="X2" t="s">
        <v>406</v>
      </c>
      <c r="Y2" t="s">
        <v>129</v>
      </c>
      <c r="Z2" t="s">
        <v>111</v>
      </c>
      <c r="AA2" t="str">
        <f>"13790-2107"</f>
        <v>13790-2107</v>
      </c>
      <c r="AB2" t="s">
        <v>123</v>
      </c>
      <c r="AC2" t="s">
        <v>113</v>
      </c>
      <c r="AD2" t="s">
        <v>108</v>
      </c>
      <c r="AE2" t="s">
        <v>114</v>
      </c>
      <c r="AF2" t="s">
        <v>115</v>
      </c>
      <c r="AG2" t="s">
        <v>116</v>
      </c>
      <c r="AK2" t="str">
        <f t="shared" ref="AK2:AK64" si="0">IF(AM2="No",C2,"")</f>
        <v/>
      </c>
      <c r="AL2" t="s">
        <v>5454</v>
      </c>
      <c r="AM2">
        <v>1</v>
      </c>
      <c r="AN2">
        <v>1</v>
      </c>
      <c r="AO2">
        <v>0</v>
      </c>
      <c r="AP2">
        <v>1</v>
      </c>
      <c r="AQ2">
        <v>1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Y2" s="24">
        <f>IF(ISERROR(FIND(AY$1,$L2,1)),"",1)</f>
        <v>1</v>
      </c>
      <c r="AZ2" s="24" t="str">
        <f t="shared" ref="AZ2:BJ17" si="1">IF(ISERROR(FIND(AZ$1,$L2,1)),"",1)</f>
        <v/>
      </c>
      <c r="BA2" s="24" t="str">
        <f t="shared" si="1"/>
        <v/>
      </c>
      <c r="BB2" s="24" t="str">
        <f t="shared" si="1"/>
        <v/>
      </c>
      <c r="BC2" s="24" t="str">
        <f t="shared" si="1"/>
        <v/>
      </c>
      <c r="BD2" s="24" t="str">
        <f t="shared" si="1"/>
        <v/>
      </c>
      <c r="BE2" s="24" t="str">
        <f t="shared" si="1"/>
        <v/>
      </c>
      <c r="BF2" s="24" t="str">
        <f t="shared" si="1"/>
        <v/>
      </c>
      <c r="BG2" s="24" t="str">
        <f t="shared" si="1"/>
        <v/>
      </c>
      <c r="BH2" s="24" t="str">
        <f>IF(ISERROR(FIND("CBO",$L2,1)),"",1)</f>
        <v/>
      </c>
      <c r="BI2" s="24">
        <f t="shared" si="1"/>
        <v>1</v>
      </c>
      <c r="BJ2" s="24" t="str">
        <f t="shared" si="1"/>
        <v/>
      </c>
    </row>
    <row r="3" spans="1:62" ht="15" customHeight="1" x14ac:dyDescent="0.25">
      <c r="A3" t="str">
        <f>"1568463347"</f>
        <v>1568463347</v>
      </c>
      <c r="B3" t="str">
        <f>"02489554"</f>
        <v>02489554</v>
      </c>
      <c r="C3" t="s">
        <v>885</v>
      </c>
      <c r="D3" t="s">
        <v>886</v>
      </c>
      <c r="E3" t="s">
        <v>887</v>
      </c>
      <c r="L3" t="s">
        <v>138</v>
      </c>
      <c r="M3" t="s">
        <v>108</v>
      </c>
      <c r="R3" t="s">
        <v>885</v>
      </c>
      <c r="W3" t="s">
        <v>888</v>
      </c>
      <c r="X3" t="s">
        <v>889</v>
      </c>
      <c r="Y3" t="s">
        <v>129</v>
      </c>
      <c r="Z3" t="s">
        <v>111</v>
      </c>
      <c r="AA3" t="str">
        <f>"13790-2176"</f>
        <v>13790-2176</v>
      </c>
      <c r="AB3" t="s">
        <v>123</v>
      </c>
      <c r="AC3" t="s">
        <v>113</v>
      </c>
      <c r="AD3" t="s">
        <v>108</v>
      </c>
      <c r="AE3" t="s">
        <v>114</v>
      </c>
      <c r="AF3" t="s">
        <v>115</v>
      </c>
      <c r="AG3" t="s">
        <v>116</v>
      </c>
      <c r="AK3" t="str">
        <f t="shared" si="0"/>
        <v/>
      </c>
      <c r="AL3" t="s">
        <v>886</v>
      </c>
      <c r="AM3">
        <v>1</v>
      </c>
      <c r="AN3">
        <v>1</v>
      </c>
      <c r="AO3">
        <v>0</v>
      </c>
      <c r="AP3">
        <v>1</v>
      </c>
      <c r="AQ3">
        <v>1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 s="24" t="str">
        <f t="shared" ref="AX3:AY17" si="2">IF(ISERROR(FIND(AX$1,$L3,1)),"",1)</f>
        <v/>
      </c>
      <c r="AY3" s="24">
        <f t="shared" si="2"/>
        <v>1</v>
      </c>
      <c r="AZ3" s="24" t="str">
        <f t="shared" si="1"/>
        <v/>
      </c>
      <c r="BA3" s="24" t="str">
        <f t="shared" si="1"/>
        <v/>
      </c>
      <c r="BB3" s="24" t="str">
        <f t="shared" si="1"/>
        <v/>
      </c>
      <c r="BC3" s="24" t="str">
        <f t="shared" si="1"/>
        <v/>
      </c>
      <c r="BD3" s="24" t="str">
        <f t="shared" si="1"/>
        <v/>
      </c>
      <c r="BE3" s="24" t="str">
        <f t="shared" si="1"/>
        <v/>
      </c>
      <c r="BF3" s="24" t="str">
        <f t="shared" si="1"/>
        <v/>
      </c>
      <c r="BG3" s="24" t="str">
        <f t="shared" si="1"/>
        <v/>
      </c>
      <c r="BH3" s="24" t="str">
        <f t="shared" ref="BH3:BH66" si="3">IF(ISERROR(FIND("CBO",$L3,1)),"",1)</f>
        <v/>
      </c>
      <c r="BI3" s="24">
        <f t="shared" si="1"/>
        <v>1</v>
      </c>
      <c r="BJ3" s="24" t="str">
        <f t="shared" si="1"/>
        <v/>
      </c>
    </row>
    <row r="4" spans="1:62" ht="15" customHeight="1" x14ac:dyDescent="0.25">
      <c r="A4" t="str">
        <f>"1881062339"</f>
        <v>1881062339</v>
      </c>
      <c r="B4" t="str">
        <f>"04326454"</f>
        <v>04326454</v>
      </c>
      <c r="C4" t="s">
        <v>6462</v>
      </c>
      <c r="D4" t="s">
        <v>6463</v>
      </c>
      <c r="E4" t="s">
        <v>6464</v>
      </c>
      <c r="G4" t="s">
        <v>6330</v>
      </c>
      <c r="H4" t="s">
        <v>6331</v>
      </c>
      <c r="J4" t="s">
        <v>6332</v>
      </c>
      <c r="L4" t="s">
        <v>138</v>
      </c>
      <c r="M4" t="s">
        <v>108</v>
      </c>
      <c r="R4" t="s">
        <v>6465</v>
      </c>
      <c r="W4" t="s">
        <v>6464</v>
      </c>
      <c r="X4" t="s">
        <v>881</v>
      </c>
      <c r="Y4" t="s">
        <v>321</v>
      </c>
      <c r="Z4" t="s">
        <v>111</v>
      </c>
      <c r="AA4" t="str">
        <f>"13760-5430"</f>
        <v>13760-5430</v>
      </c>
      <c r="AB4" t="s">
        <v>123</v>
      </c>
      <c r="AC4" t="s">
        <v>113</v>
      </c>
      <c r="AD4" t="s">
        <v>108</v>
      </c>
      <c r="AE4" t="s">
        <v>114</v>
      </c>
      <c r="AF4" t="s">
        <v>115</v>
      </c>
      <c r="AG4" t="s">
        <v>116</v>
      </c>
      <c r="AJ4" t="s">
        <v>7248</v>
      </c>
      <c r="AK4" t="str">
        <f t="shared" si="0"/>
        <v>Abha Banerjee</v>
      </c>
      <c r="AL4" t="s">
        <v>6463</v>
      </c>
      <c r="AM4" t="s">
        <v>108</v>
      </c>
      <c r="AN4" t="s">
        <v>108</v>
      </c>
      <c r="AO4" t="s">
        <v>108</v>
      </c>
      <c r="AP4" t="s">
        <v>108</v>
      </c>
      <c r="AQ4" t="s">
        <v>108</v>
      </c>
      <c r="AR4" t="s">
        <v>108</v>
      </c>
      <c r="AS4" t="s">
        <v>108</v>
      </c>
      <c r="AT4" t="s">
        <v>108</v>
      </c>
      <c r="AU4">
        <v>0</v>
      </c>
      <c r="AV4" t="s">
        <v>108</v>
      </c>
      <c r="AW4" t="s">
        <v>108</v>
      </c>
      <c r="AX4" s="24" t="str">
        <f t="shared" si="2"/>
        <v/>
      </c>
      <c r="AY4" s="24">
        <f t="shared" si="2"/>
        <v>1</v>
      </c>
      <c r="AZ4" s="24" t="str">
        <f t="shared" si="1"/>
        <v/>
      </c>
      <c r="BA4" s="24" t="str">
        <f t="shared" si="1"/>
        <v/>
      </c>
      <c r="BB4" s="24" t="str">
        <f t="shared" si="1"/>
        <v/>
      </c>
      <c r="BC4" s="24" t="str">
        <f t="shared" si="1"/>
        <v/>
      </c>
      <c r="BD4" s="24" t="str">
        <f t="shared" si="1"/>
        <v/>
      </c>
      <c r="BE4" s="24" t="str">
        <f t="shared" si="1"/>
        <v/>
      </c>
      <c r="BF4" s="24" t="str">
        <f t="shared" si="1"/>
        <v/>
      </c>
      <c r="BG4" s="24" t="str">
        <f t="shared" si="1"/>
        <v/>
      </c>
      <c r="BH4" s="24" t="str">
        <f t="shared" si="3"/>
        <v/>
      </c>
      <c r="BI4" s="24">
        <f t="shared" si="1"/>
        <v>1</v>
      </c>
      <c r="BJ4" s="24" t="str">
        <f t="shared" si="1"/>
        <v/>
      </c>
    </row>
    <row r="5" spans="1:62" x14ac:dyDescent="0.25">
      <c r="A5" t="str">
        <f>"1861617425"</f>
        <v>1861617425</v>
      </c>
      <c r="B5" t="str">
        <f>"03555864"</f>
        <v>03555864</v>
      </c>
      <c r="C5" t="s">
        <v>5203</v>
      </c>
      <c r="D5" t="s">
        <v>5204</v>
      </c>
      <c r="E5" t="s">
        <v>5205</v>
      </c>
      <c r="G5" t="s">
        <v>4447</v>
      </c>
      <c r="H5" t="s">
        <v>4448</v>
      </c>
      <c r="J5" t="s">
        <v>4449</v>
      </c>
      <c r="L5" t="s">
        <v>5206</v>
      </c>
      <c r="M5" t="s">
        <v>108</v>
      </c>
      <c r="R5" t="s">
        <v>5203</v>
      </c>
      <c r="W5" t="s">
        <v>5205</v>
      </c>
      <c r="X5" t="s">
        <v>2139</v>
      </c>
      <c r="Y5" t="s">
        <v>122</v>
      </c>
      <c r="Z5" t="s">
        <v>111</v>
      </c>
      <c r="AA5" t="str">
        <f>"13815-1654"</f>
        <v>13815-1654</v>
      </c>
      <c r="AB5" t="s">
        <v>385</v>
      </c>
      <c r="AC5" t="s">
        <v>113</v>
      </c>
      <c r="AD5" t="s">
        <v>108</v>
      </c>
      <c r="AE5" t="s">
        <v>114</v>
      </c>
      <c r="AF5" t="s">
        <v>124</v>
      </c>
      <c r="AG5" t="s">
        <v>116</v>
      </c>
      <c r="AK5" t="str">
        <f t="shared" si="0"/>
        <v/>
      </c>
      <c r="AL5" t="s">
        <v>5204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 s="24" t="str">
        <f t="shared" si="2"/>
        <v/>
      </c>
      <c r="AY5" s="24">
        <f t="shared" si="2"/>
        <v>1</v>
      </c>
      <c r="AZ5" s="24" t="str">
        <f t="shared" si="1"/>
        <v/>
      </c>
      <c r="BA5" s="24">
        <f t="shared" si="1"/>
        <v>1</v>
      </c>
      <c r="BB5" s="24" t="str">
        <f t="shared" si="1"/>
        <v/>
      </c>
      <c r="BC5" s="24" t="str">
        <f t="shared" si="1"/>
        <v/>
      </c>
      <c r="BD5" s="24" t="str">
        <f t="shared" si="1"/>
        <v/>
      </c>
      <c r="BE5" s="24" t="str">
        <f t="shared" si="1"/>
        <v/>
      </c>
      <c r="BF5" s="24" t="str">
        <f t="shared" si="1"/>
        <v/>
      </c>
      <c r="BG5" s="24" t="str">
        <f t="shared" si="1"/>
        <v/>
      </c>
      <c r="BH5" s="24" t="str">
        <f t="shared" si="3"/>
        <v/>
      </c>
      <c r="BI5" s="24">
        <f t="shared" si="1"/>
        <v>1</v>
      </c>
      <c r="BJ5" s="24" t="str">
        <f t="shared" si="1"/>
        <v/>
      </c>
    </row>
    <row r="6" spans="1:62" ht="15" customHeight="1" x14ac:dyDescent="0.25">
      <c r="A6" t="str">
        <f>"1427185248"</f>
        <v>1427185248</v>
      </c>
      <c r="B6" t="str">
        <f>"00949817"</f>
        <v>00949817</v>
      </c>
      <c r="C6" t="s">
        <v>4862</v>
      </c>
      <c r="D6" t="s">
        <v>4863</v>
      </c>
      <c r="E6" t="s">
        <v>4864</v>
      </c>
      <c r="G6" t="s">
        <v>4865</v>
      </c>
      <c r="H6" t="s">
        <v>4866</v>
      </c>
      <c r="J6" t="s">
        <v>4867</v>
      </c>
      <c r="L6" t="s">
        <v>1382</v>
      </c>
      <c r="M6" t="s">
        <v>139</v>
      </c>
      <c r="R6" t="s">
        <v>4868</v>
      </c>
      <c r="W6" t="s">
        <v>4864</v>
      </c>
      <c r="X6" t="s">
        <v>4869</v>
      </c>
      <c r="Y6" t="s">
        <v>321</v>
      </c>
      <c r="Z6" t="s">
        <v>111</v>
      </c>
      <c r="AA6" t="str">
        <f>"13760-2735"</f>
        <v>13760-2735</v>
      </c>
      <c r="AB6" t="s">
        <v>312</v>
      </c>
      <c r="AC6" t="s">
        <v>113</v>
      </c>
      <c r="AD6" t="s">
        <v>108</v>
      </c>
      <c r="AE6" t="s">
        <v>114</v>
      </c>
      <c r="AF6" t="s">
        <v>115</v>
      </c>
      <c r="AG6" t="s">
        <v>116</v>
      </c>
      <c r="AK6" t="str">
        <f t="shared" si="0"/>
        <v/>
      </c>
      <c r="AL6" t="s">
        <v>4863</v>
      </c>
      <c r="AM6">
        <v>1</v>
      </c>
      <c r="AN6">
        <v>0</v>
      </c>
      <c r="AO6">
        <v>1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 s="24" t="str">
        <f t="shared" si="2"/>
        <v/>
      </c>
      <c r="AY6" s="24" t="str">
        <f t="shared" si="2"/>
        <v/>
      </c>
      <c r="AZ6" s="24" t="str">
        <f t="shared" si="1"/>
        <v/>
      </c>
      <c r="BA6" s="24" t="str">
        <f t="shared" si="1"/>
        <v/>
      </c>
      <c r="BB6" s="24" t="str">
        <f t="shared" si="1"/>
        <v/>
      </c>
      <c r="BC6" s="24" t="str">
        <f t="shared" si="1"/>
        <v/>
      </c>
      <c r="BD6" s="24" t="str">
        <f t="shared" si="1"/>
        <v/>
      </c>
      <c r="BE6" s="24">
        <f t="shared" si="1"/>
        <v>1</v>
      </c>
      <c r="BF6" s="24" t="str">
        <f t="shared" si="1"/>
        <v/>
      </c>
      <c r="BG6" s="24" t="str">
        <f t="shared" si="1"/>
        <v/>
      </c>
      <c r="BH6" s="24" t="str">
        <f t="shared" si="3"/>
        <v/>
      </c>
      <c r="BI6" s="24">
        <f t="shared" si="1"/>
        <v>1</v>
      </c>
      <c r="BJ6" s="24" t="str">
        <f t="shared" si="1"/>
        <v/>
      </c>
    </row>
    <row r="7" spans="1:62" ht="15" customHeight="1" x14ac:dyDescent="0.25">
      <c r="A7" t="str">
        <f>"1619004439"</f>
        <v>1619004439</v>
      </c>
      <c r="B7" t="str">
        <f>"00705362"</f>
        <v>00705362</v>
      </c>
      <c r="C7" t="s">
        <v>4870</v>
      </c>
      <c r="D7" t="s">
        <v>4871</v>
      </c>
      <c r="E7" t="s">
        <v>4872</v>
      </c>
      <c r="G7" t="s">
        <v>4873</v>
      </c>
      <c r="H7" t="s">
        <v>4874</v>
      </c>
      <c r="J7" t="s">
        <v>4875</v>
      </c>
      <c r="L7" t="s">
        <v>19</v>
      </c>
      <c r="M7" t="s">
        <v>139</v>
      </c>
      <c r="R7" t="s">
        <v>4876</v>
      </c>
      <c r="W7" t="s">
        <v>4872</v>
      </c>
      <c r="X7" t="s">
        <v>4877</v>
      </c>
      <c r="Y7" t="s">
        <v>2400</v>
      </c>
      <c r="Z7" t="s">
        <v>111</v>
      </c>
      <c r="AA7" t="str">
        <f>"14870-9208"</f>
        <v>14870-9208</v>
      </c>
      <c r="AB7" t="s">
        <v>312</v>
      </c>
      <c r="AC7" t="s">
        <v>113</v>
      </c>
      <c r="AD7" t="s">
        <v>108</v>
      </c>
      <c r="AE7" t="s">
        <v>114</v>
      </c>
      <c r="AF7" t="s">
        <v>149</v>
      </c>
      <c r="AG7" t="s">
        <v>116</v>
      </c>
      <c r="AK7" t="str">
        <f t="shared" si="0"/>
        <v/>
      </c>
      <c r="AL7" t="s">
        <v>4871</v>
      </c>
      <c r="AM7">
        <v>1</v>
      </c>
      <c r="AN7">
        <v>0</v>
      </c>
      <c r="AO7">
        <v>1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 s="24" t="str">
        <f t="shared" si="2"/>
        <v/>
      </c>
      <c r="AY7" s="24" t="str">
        <f t="shared" si="2"/>
        <v/>
      </c>
      <c r="AZ7" s="24" t="str">
        <f t="shared" si="1"/>
        <v/>
      </c>
      <c r="BA7" s="24" t="str">
        <f t="shared" si="1"/>
        <v/>
      </c>
      <c r="BB7" s="24" t="str">
        <f t="shared" si="1"/>
        <v/>
      </c>
      <c r="BC7" s="24" t="str">
        <f t="shared" si="1"/>
        <v/>
      </c>
      <c r="BD7" s="24" t="str">
        <f t="shared" si="1"/>
        <v/>
      </c>
      <c r="BE7" s="24">
        <f t="shared" si="1"/>
        <v>1</v>
      </c>
      <c r="BF7" s="24" t="str">
        <f t="shared" si="1"/>
        <v/>
      </c>
      <c r="BG7" s="24" t="str">
        <f t="shared" si="1"/>
        <v/>
      </c>
      <c r="BH7" s="24" t="str">
        <f t="shared" si="3"/>
        <v/>
      </c>
      <c r="BI7" s="24" t="str">
        <f t="shared" si="1"/>
        <v/>
      </c>
      <c r="BJ7" s="24" t="str">
        <f t="shared" si="1"/>
        <v/>
      </c>
    </row>
    <row r="8" spans="1:62" ht="15" customHeight="1" x14ac:dyDescent="0.25">
      <c r="A8" t="str">
        <f>"1336244920"</f>
        <v>1336244920</v>
      </c>
      <c r="B8" t="str">
        <f>"01804897"</f>
        <v>01804897</v>
      </c>
      <c r="C8" t="s">
        <v>1755</v>
      </c>
      <c r="D8" t="s">
        <v>1756</v>
      </c>
      <c r="E8" t="s">
        <v>1757</v>
      </c>
      <c r="G8" t="s">
        <v>815</v>
      </c>
      <c r="H8" t="s">
        <v>816</v>
      </c>
      <c r="J8" t="s">
        <v>817</v>
      </c>
      <c r="L8" t="s">
        <v>120</v>
      </c>
      <c r="M8" t="s">
        <v>108</v>
      </c>
      <c r="R8" t="s">
        <v>1755</v>
      </c>
      <c r="W8" t="s">
        <v>1757</v>
      </c>
      <c r="Y8" t="s">
        <v>110</v>
      </c>
      <c r="Z8" t="s">
        <v>111</v>
      </c>
      <c r="AA8" t="str">
        <f>"13905-4176"</f>
        <v>13905-4176</v>
      </c>
      <c r="AB8" t="s">
        <v>123</v>
      </c>
      <c r="AC8" t="s">
        <v>113</v>
      </c>
      <c r="AD8" t="s">
        <v>108</v>
      </c>
      <c r="AE8" t="s">
        <v>114</v>
      </c>
      <c r="AF8" t="s">
        <v>115</v>
      </c>
      <c r="AG8" t="s">
        <v>116</v>
      </c>
      <c r="AK8" t="str">
        <f t="shared" si="0"/>
        <v/>
      </c>
      <c r="AL8" t="s">
        <v>1756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 s="24">
        <f t="shared" si="2"/>
        <v>1</v>
      </c>
      <c r="AY8" s="24" t="str">
        <f t="shared" si="2"/>
        <v/>
      </c>
      <c r="AZ8" s="24" t="str">
        <f t="shared" si="1"/>
        <v/>
      </c>
      <c r="BA8" s="24" t="str">
        <f t="shared" si="1"/>
        <v/>
      </c>
      <c r="BB8" s="24" t="str">
        <f t="shared" si="1"/>
        <v/>
      </c>
      <c r="BC8" s="24" t="str">
        <f t="shared" si="1"/>
        <v/>
      </c>
      <c r="BD8" s="24" t="str">
        <f t="shared" si="1"/>
        <v/>
      </c>
      <c r="BE8" s="24" t="str">
        <f t="shared" si="1"/>
        <v/>
      </c>
      <c r="BF8" s="24" t="str">
        <f t="shared" si="1"/>
        <v/>
      </c>
      <c r="BG8" s="24" t="str">
        <f t="shared" si="1"/>
        <v/>
      </c>
      <c r="BH8" s="24" t="str">
        <f t="shared" si="3"/>
        <v/>
      </c>
      <c r="BI8" s="24">
        <f t="shared" si="1"/>
        <v>1</v>
      </c>
      <c r="BJ8" s="24" t="str">
        <f t="shared" si="1"/>
        <v/>
      </c>
    </row>
    <row r="9" spans="1:62" ht="15" customHeight="1" x14ac:dyDescent="0.25">
      <c r="A9" t="str">
        <f>"1992084636"</f>
        <v>1992084636</v>
      </c>
      <c r="C9" t="s">
        <v>5217</v>
      </c>
      <c r="G9" t="s">
        <v>5218</v>
      </c>
      <c r="H9" t="s">
        <v>5219</v>
      </c>
      <c r="J9" t="s">
        <v>5220</v>
      </c>
      <c r="K9" t="s">
        <v>1274</v>
      </c>
      <c r="L9" t="s">
        <v>133</v>
      </c>
      <c r="M9" t="s">
        <v>108</v>
      </c>
      <c r="R9" t="s">
        <v>5217</v>
      </c>
      <c r="S9" t="s">
        <v>5221</v>
      </c>
      <c r="T9" t="s">
        <v>1272</v>
      </c>
      <c r="U9" t="s">
        <v>111</v>
      </c>
      <c r="V9" t="str">
        <f>"130217014"</f>
        <v>130217014</v>
      </c>
      <c r="AC9" t="s">
        <v>113</v>
      </c>
      <c r="AD9" t="s">
        <v>108</v>
      </c>
      <c r="AE9" t="s">
        <v>775</v>
      </c>
      <c r="AF9" t="s">
        <v>115</v>
      </c>
      <c r="AG9" t="s">
        <v>116</v>
      </c>
      <c r="AK9" t="str">
        <f t="shared" si="0"/>
        <v/>
      </c>
      <c r="AL9" t="s">
        <v>5217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 s="24" t="str">
        <f t="shared" si="2"/>
        <v/>
      </c>
      <c r="AY9" s="24" t="str">
        <f t="shared" si="2"/>
        <v/>
      </c>
      <c r="AZ9" s="24" t="str">
        <f t="shared" si="1"/>
        <v/>
      </c>
      <c r="BA9" s="24" t="str">
        <f t="shared" si="1"/>
        <v/>
      </c>
      <c r="BB9" s="24" t="str">
        <f t="shared" si="1"/>
        <v/>
      </c>
      <c r="BC9" s="24" t="str">
        <f t="shared" si="1"/>
        <v/>
      </c>
      <c r="BD9" s="24" t="str">
        <f t="shared" si="1"/>
        <v/>
      </c>
      <c r="BE9" s="24" t="str">
        <f t="shared" si="1"/>
        <v/>
      </c>
      <c r="BF9" s="24" t="str">
        <f t="shared" si="1"/>
        <v/>
      </c>
      <c r="BG9" s="24" t="str">
        <f t="shared" si="1"/>
        <v/>
      </c>
      <c r="BH9" s="24" t="str">
        <f t="shared" si="3"/>
        <v/>
      </c>
      <c r="BI9" s="24" t="str">
        <f t="shared" si="1"/>
        <v/>
      </c>
      <c r="BJ9" s="24">
        <f t="shared" si="1"/>
        <v>1</v>
      </c>
    </row>
    <row r="10" spans="1:62" ht="15" customHeight="1" x14ac:dyDescent="0.25">
      <c r="C10" t="s">
        <v>2812</v>
      </c>
      <c r="G10" t="s">
        <v>2813</v>
      </c>
      <c r="H10" t="s">
        <v>2814</v>
      </c>
      <c r="J10" t="s">
        <v>2815</v>
      </c>
      <c r="K10" t="s">
        <v>780</v>
      </c>
      <c r="L10" t="s">
        <v>781</v>
      </c>
      <c r="M10" t="s">
        <v>108</v>
      </c>
      <c r="N10" t="s">
        <v>2816</v>
      </c>
      <c r="O10" t="s">
        <v>1606</v>
      </c>
      <c r="P10" t="s">
        <v>111</v>
      </c>
      <c r="Q10" t="str">
        <f>"13045"</f>
        <v>13045</v>
      </c>
      <c r="AC10" t="s">
        <v>113</v>
      </c>
      <c r="AD10" t="s">
        <v>108</v>
      </c>
      <c r="AE10" t="s">
        <v>784</v>
      </c>
      <c r="AF10" t="s">
        <v>142</v>
      </c>
      <c r="AG10" t="s">
        <v>116</v>
      </c>
      <c r="AK10" t="str">
        <f t="shared" si="0"/>
        <v/>
      </c>
      <c r="AL10" t="s">
        <v>2812</v>
      </c>
      <c r="AM10">
        <v>1</v>
      </c>
      <c r="AN10">
        <v>1</v>
      </c>
      <c r="AO10">
        <v>0</v>
      </c>
      <c r="AP10">
        <v>1</v>
      </c>
      <c r="AQ10">
        <v>1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 s="24" t="str">
        <f t="shared" si="2"/>
        <v/>
      </c>
      <c r="AY10" s="24" t="str">
        <f t="shared" si="2"/>
        <v/>
      </c>
      <c r="AZ10" s="24" t="str">
        <f t="shared" si="1"/>
        <v/>
      </c>
      <c r="BA10" s="24" t="str">
        <f t="shared" si="1"/>
        <v/>
      </c>
      <c r="BB10" s="24" t="str">
        <f t="shared" si="1"/>
        <v/>
      </c>
      <c r="BC10" s="24" t="str">
        <f t="shared" si="1"/>
        <v/>
      </c>
      <c r="BD10" s="24" t="str">
        <f t="shared" si="1"/>
        <v/>
      </c>
      <c r="BE10" s="24" t="str">
        <f t="shared" si="1"/>
        <v/>
      </c>
      <c r="BF10" s="24" t="str">
        <f t="shared" si="1"/>
        <v/>
      </c>
      <c r="BG10" s="24" t="str">
        <f t="shared" si="1"/>
        <v/>
      </c>
      <c r="BH10" s="24">
        <f t="shared" si="3"/>
        <v>1</v>
      </c>
      <c r="BI10" s="24" t="str">
        <f t="shared" si="1"/>
        <v/>
      </c>
      <c r="BJ10" s="24" t="str">
        <f t="shared" si="1"/>
        <v/>
      </c>
    </row>
    <row r="11" spans="1:62" ht="15" customHeight="1" x14ac:dyDescent="0.25">
      <c r="A11" t="str">
        <f>"1023014974"</f>
        <v>1023014974</v>
      </c>
      <c r="B11" t="str">
        <f>"01332970"</f>
        <v>01332970</v>
      </c>
      <c r="C11" t="s">
        <v>544</v>
      </c>
      <c r="D11" t="s">
        <v>545</v>
      </c>
      <c r="E11" t="s">
        <v>546</v>
      </c>
      <c r="G11" t="s">
        <v>547</v>
      </c>
      <c r="H11" t="s">
        <v>548</v>
      </c>
      <c r="J11" t="s">
        <v>549</v>
      </c>
      <c r="L11" t="s">
        <v>120</v>
      </c>
      <c r="M11" t="s">
        <v>108</v>
      </c>
      <c r="R11" t="s">
        <v>550</v>
      </c>
      <c r="W11" t="s">
        <v>546</v>
      </c>
      <c r="X11" t="s">
        <v>551</v>
      </c>
      <c r="Y11" t="s">
        <v>293</v>
      </c>
      <c r="Z11" t="s">
        <v>111</v>
      </c>
      <c r="AA11" t="str">
        <f>"14850-1342"</f>
        <v>14850-1342</v>
      </c>
      <c r="AB11" t="s">
        <v>123</v>
      </c>
      <c r="AC11" t="s">
        <v>113</v>
      </c>
      <c r="AD11" t="s">
        <v>108</v>
      </c>
      <c r="AE11" t="s">
        <v>114</v>
      </c>
      <c r="AF11" t="s">
        <v>142</v>
      </c>
      <c r="AG11" t="s">
        <v>116</v>
      </c>
      <c r="AK11" t="str">
        <f t="shared" si="0"/>
        <v/>
      </c>
      <c r="AL11" t="s">
        <v>545</v>
      </c>
      <c r="AM11">
        <v>1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 s="24">
        <f t="shared" si="2"/>
        <v>1</v>
      </c>
      <c r="AY11" s="24" t="str">
        <f t="shared" si="2"/>
        <v/>
      </c>
      <c r="AZ11" s="24" t="str">
        <f t="shared" si="1"/>
        <v/>
      </c>
      <c r="BA11" s="24" t="str">
        <f t="shared" si="1"/>
        <v/>
      </c>
      <c r="BB11" s="24" t="str">
        <f t="shared" si="1"/>
        <v/>
      </c>
      <c r="BC11" s="24" t="str">
        <f t="shared" si="1"/>
        <v/>
      </c>
      <c r="BD11" s="24" t="str">
        <f t="shared" si="1"/>
        <v/>
      </c>
      <c r="BE11" s="24" t="str">
        <f t="shared" si="1"/>
        <v/>
      </c>
      <c r="BF11" s="24" t="str">
        <f t="shared" si="1"/>
        <v/>
      </c>
      <c r="BG11" s="24" t="str">
        <f t="shared" si="1"/>
        <v/>
      </c>
      <c r="BH11" s="24" t="str">
        <f t="shared" si="3"/>
        <v/>
      </c>
      <c r="BI11" s="24">
        <f t="shared" si="1"/>
        <v>1</v>
      </c>
      <c r="BJ11" s="24" t="str">
        <f t="shared" si="1"/>
        <v/>
      </c>
    </row>
    <row r="12" spans="1:62" ht="15" customHeight="1" x14ac:dyDescent="0.25">
      <c r="A12" t="str">
        <f>"1154357002"</f>
        <v>1154357002</v>
      </c>
      <c r="B12" t="str">
        <f>"02985431"</f>
        <v>02985431</v>
      </c>
      <c r="C12" t="s">
        <v>2327</v>
      </c>
      <c r="D12" t="s">
        <v>2328</v>
      </c>
      <c r="E12" t="s">
        <v>2329</v>
      </c>
      <c r="G12" t="s">
        <v>2327</v>
      </c>
      <c r="H12" t="s">
        <v>440</v>
      </c>
      <c r="J12" t="s">
        <v>2330</v>
      </c>
      <c r="L12" t="s">
        <v>6868</v>
      </c>
      <c r="M12" t="s">
        <v>108</v>
      </c>
      <c r="R12" t="s">
        <v>2331</v>
      </c>
      <c r="W12" t="s">
        <v>2332</v>
      </c>
      <c r="X12" t="s">
        <v>2333</v>
      </c>
      <c r="Y12" t="s">
        <v>2334</v>
      </c>
      <c r="Z12" t="s">
        <v>182</v>
      </c>
      <c r="AA12" t="str">
        <f>"18847-2771"</f>
        <v>18847-2771</v>
      </c>
      <c r="AB12" t="s">
        <v>123</v>
      </c>
      <c r="AC12" t="s">
        <v>113</v>
      </c>
      <c r="AD12" t="s">
        <v>108</v>
      </c>
      <c r="AE12" t="s">
        <v>114</v>
      </c>
      <c r="AF12" t="s">
        <v>115</v>
      </c>
      <c r="AG12" t="s">
        <v>116</v>
      </c>
      <c r="AK12" t="str">
        <f t="shared" si="0"/>
        <v/>
      </c>
      <c r="AL12" t="s">
        <v>2328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 s="24">
        <f t="shared" si="2"/>
        <v>1</v>
      </c>
      <c r="AY12" s="24">
        <f t="shared" si="2"/>
        <v>1</v>
      </c>
      <c r="AZ12" s="24" t="str">
        <f t="shared" si="1"/>
        <v/>
      </c>
      <c r="BA12" s="24" t="str">
        <f t="shared" si="1"/>
        <v/>
      </c>
      <c r="BB12" s="24" t="str">
        <f t="shared" si="1"/>
        <v/>
      </c>
      <c r="BC12" s="24" t="str">
        <f t="shared" si="1"/>
        <v/>
      </c>
      <c r="BD12" s="24" t="str">
        <f t="shared" si="1"/>
        <v/>
      </c>
      <c r="BE12" s="24" t="str">
        <f t="shared" si="1"/>
        <v/>
      </c>
      <c r="BF12" s="24" t="str">
        <f t="shared" si="1"/>
        <v/>
      </c>
      <c r="BG12" s="24" t="str">
        <f t="shared" si="1"/>
        <v/>
      </c>
      <c r="BH12" s="24" t="str">
        <f t="shared" si="3"/>
        <v/>
      </c>
      <c r="BI12" s="24" t="str">
        <f t="shared" si="1"/>
        <v/>
      </c>
      <c r="BJ12" s="24" t="str">
        <f t="shared" si="1"/>
        <v/>
      </c>
    </row>
    <row r="13" spans="1:62" ht="15" customHeight="1" x14ac:dyDescent="0.25">
      <c r="A13" t="str">
        <f>"1962589572"</f>
        <v>1962589572</v>
      </c>
      <c r="B13" t="str">
        <f>"02396101"</f>
        <v>02396101</v>
      </c>
      <c r="C13" t="s">
        <v>4630</v>
      </c>
      <c r="D13" t="s">
        <v>4631</v>
      </c>
      <c r="E13" t="s">
        <v>4632</v>
      </c>
      <c r="G13" t="s">
        <v>2412</v>
      </c>
      <c r="H13" t="s">
        <v>2413</v>
      </c>
      <c r="I13">
        <v>2359</v>
      </c>
      <c r="J13" t="s">
        <v>4633</v>
      </c>
      <c r="L13" t="s">
        <v>138</v>
      </c>
      <c r="M13" t="s">
        <v>108</v>
      </c>
      <c r="R13" t="s">
        <v>4634</v>
      </c>
      <c r="W13" t="s">
        <v>4632</v>
      </c>
      <c r="X13" t="s">
        <v>4635</v>
      </c>
      <c r="Y13" t="s">
        <v>927</v>
      </c>
      <c r="Z13" t="s">
        <v>111</v>
      </c>
      <c r="AA13" t="str">
        <f>"14905-2296"</f>
        <v>14905-2296</v>
      </c>
      <c r="AB13" t="s">
        <v>123</v>
      </c>
      <c r="AC13" t="s">
        <v>113</v>
      </c>
      <c r="AD13" t="s">
        <v>108</v>
      </c>
      <c r="AE13" t="s">
        <v>114</v>
      </c>
      <c r="AF13" t="s">
        <v>149</v>
      </c>
      <c r="AG13" t="s">
        <v>116</v>
      </c>
      <c r="AK13" t="str">
        <f t="shared" si="0"/>
        <v/>
      </c>
      <c r="AL13" t="s">
        <v>4631</v>
      </c>
      <c r="AM13">
        <v>1</v>
      </c>
      <c r="AN13">
        <v>1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 s="24" t="str">
        <f t="shared" si="2"/>
        <v/>
      </c>
      <c r="AY13" s="24">
        <f t="shared" si="2"/>
        <v>1</v>
      </c>
      <c r="AZ13" s="24" t="str">
        <f t="shared" si="1"/>
        <v/>
      </c>
      <c r="BA13" s="24" t="str">
        <f t="shared" si="1"/>
        <v/>
      </c>
      <c r="BB13" s="24" t="str">
        <f t="shared" si="1"/>
        <v/>
      </c>
      <c r="BC13" s="24" t="str">
        <f t="shared" si="1"/>
        <v/>
      </c>
      <c r="BD13" s="24" t="str">
        <f t="shared" si="1"/>
        <v/>
      </c>
      <c r="BE13" s="24" t="str">
        <f t="shared" si="1"/>
        <v/>
      </c>
      <c r="BF13" s="24" t="str">
        <f t="shared" si="1"/>
        <v/>
      </c>
      <c r="BG13" s="24" t="str">
        <f t="shared" si="1"/>
        <v/>
      </c>
      <c r="BH13" s="24" t="str">
        <f t="shared" si="3"/>
        <v/>
      </c>
      <c r="BI13" s="24">
        <f t="shared" si="1"/>
        <v>1</v>
      </c>
      <c r="BJ13" s="24" t="str">
        <f t="shared" si="1"/>
        <v/>
      </c>
    </row>
    <row r="14" spans="1:62" ht="15" customHeight="1" x14ac:dyDescent="0.25">
      <c r="A14" t="str">
        <f>"1467658153"</f>
        <v>1467658153</v>
      </c>
      <c r="B14" t="str">
        <f>"03025734"</f>
        <v>03025734</v>
      </c>
      <c r="C14" t="s">
        <v>6805</v>
      </c>
      <c r="D14" t="s">
        <v>7083</v>
      </c>
      <c r="E14" t="s">
        <v>6945</v>
      </c>
      <c r="G14" t="s">
        <v>6330</v>
      </c>
      <c r="H14" t="s">
        <v>6331</v>
      </c>
      <c r="J14" t="s">
        <v>6332</v>
      </c>
      <c r="L14" t="s">
        <v>120</v>
      </c>
      <c r="M14" t="s">
        <v>108</v>
      </c>
      <c r="R14" t="s">
        <v>6805</v>
      </c>
      <c r="W14" t="s">
        <v>6945</v>
      </c>
      <c r="X14" t="s">
        <v>6946</v>
      </c>
      <c r="Y14" t="s">
        <v>6947</v>
      </c>
      <c r="Z14" t="s">
        <v>111</v>
      </c>
      <c r="AA14" t="str">
        <f>"13368-1919"</f>
        <v>13368-1919</v>
      </c>
      <c r="AB14" t="s">
        <v>123</v>
      </c>
      <c r="AC14" t="s">
        <v>113</v>
      </c>
      <c r="AD14" t="s">
        <v>108</v>
      </c>
      <c r="AE14" t="s">
        <v>114</v>
      </c>
      <c r="AF14" t="s">
        <v>115</v>
      </c>
      <c r="AG14" t="s">
        <v>116</v>
      </c>
      <c r="AJ14" t="s">
        <v>7248</v>
      </c>
      <c r="AK14" t="str">
        <f t="shared" si="0"/>
        <v>AHMAD RANA</v>
      </c>
      <c r="AL14" t="s">
        <v>7083</v>
      </c>
      <c r="AM14" t="s">
        <v>108</v>
      </c>
      <c r="AN14" t="s">
        <v>108</v>
      </c>
      <c r="AO14" t="s">
        <v>108</v>
      </c>
      <c r="AP14" t="s">
        <v>108</v>
      </c>
      <c r="AQ14" t="s">
        <v>108</v>
      </c>
      <c r="AR14" t="s">
        <v>108</v>
      </c>
      <c r="AS14" t="s">
        <v>108</v>
      </c>
      <c r="AT14" t="s">
        <v>108</v>
      </c>
      <c r="AU14">
        <v>0</v>
      </c>
      <c r="AV14" t="s">
        <v>108</v>
      </c>
      <c r="AW14" t="s">
        <v>108</v>
      </c>
      <c r="AX14" s="24">
        <f t="shared" si="2"/>
        <v>1</v>
      </c>
      <c r="AY14" s="24" t="str">
        <f t="shared" si="2"/>
        <v/>
      </c>
      <c r="AZ14" s="24" t="str">
        <f t="shared" si="1"/>
        <v/>
      </c>
      <c r="BA14" s="24" t="str">
        <f t="shared" si="1"/>
        <v/>
      </c>
      <c r="BB14" s="24" t="str">
        <f t="shared" si="1"/>
        <v/>
      </c>
      <c r="BC14" s="24" t="str">
        <f t="shared" si="1"/>
        <v/>
      </c>
      <c r="BD14" s="24" t="str">
        <f t="shared" si="1"/>
        <v/>
      </c>
      <c r="BE14" s="24" t="str">
        <f t="shared" si="1"/>
        <v/>
      </c>
      <c r="BF14" s="24" t="str">
        <f t="shared" si="1"/>
        <v/>
      </c>
      <c r="BG14" s="24" t="str">
        <f t="shared" si="1"/>
        <v/>
      </c>
      <c r="BH14" s="24" t="str">
        <f t="shared" si="3"/>
        <v/>
      </c>
      <c r="BI14" s="24">
        <f t="shared" si="1"/>
        <v>1</v>
      </c>
      <c r="BJ14" s="24" t="str">
        <f t="shared" si="1"/>
        <v/>
      </c>
    </row>
    <row r="15" spans="1:62" ht="15" customHeight="1" x14ac:dyDescent="0.25">
      <c r="A15" t="str">
        <f>"1730131426"</f>
        <v>1730131426</v>
      </c>
      <c r="B15" t="str">
        <f>"02277416"</f>
        <v>02277416</v>
      </c>
      <c r="C15" t="s">
        <v>6794</v>
      </c>
      <c r="D15" t="s">
        <v>7070</v>
      </c>
      <c r="E15" t="s">
        <v>6931</v>
      </c>
      <c r="G15" t="s">
        <v>6330</v>
      </c>
      <c r="H15" t="s">
        <v>6331</v>
      </c>
      <c r="J15" t="s">
        <v>6332</v>
      </c>
      <c r="L15" t="s">
        <v>6867</v>
      </c>
      <c r="M15" t="s">
        <v>108</v>
      </c>
      <c r="R15" t="s">
        <v>6794</v>
      </c>
      <c r="W15" t="s">
        <v>6931</v>
      </c>
      <c r="X15" t="s">
        <v>6932</v>
      </c>
      <c r="Y15" t="s">
        <v>129</v>
      </c>
      <c r="Z15" t="s">
        <v>111</v>
      </c>
      <c r="AA15" t="str">
        <f>"13790"</f>
        <v>13790</v>
      </c>
      <c r="AB15" t="s">
        <v>123</v>
      </c>
      <c r="AC15" t="s">
        <v>113</v>
      </c>
      <c r="AD15" t="s">
        <v>108</v>
      </c>
      <c r="AE15" t="s">
        <v>114</v>
      </c>
      <c r="AF15" t="s">
        <v>115</v>
      </c>
      <c r="AG15" t="s">
        <v>116</v>
      </c>
      <c r="AJ15" t="s">
        <v>7248</v>
      </c>
      <c r="AK15" t="str">
        <f t="shared" si="0"/>
        <v>AHMED OWAIS</v>
      </c>
      <c r="AL15" t="s">
        <v>7070</v>
      </c>
      <c r="AM15" t="s">
        <v>108</v>
      </c>
      <c r="AN15" t="s">
        <v>108</v>
      </c>
      <c r="AO15" t="s">
        <v>108</v>
      </c>
      <c r="AP15" t="s">
        <v>108</v>
      </c>
      <c r="AQ15" t="s">
        <v>108</v>
      </c>
      <c r="AR15" t="s">
        <v>108</v>
      </c>
      <c r="AS15" t="s">
        <v>108</v>
      </c>
      <c r="AT15" t="s">
        <v>108</v>
      </c>
      <c r="AU15">
        <v>0</v>
      </c>
      <c r="AV15" t="s">
        <v>108</v>
      </c>
      <c r="AW15" t="s">
        <v>108</v>
      </c>
      <c r="AX15" s="24">
        <f t="shared" si="2"/>
        <v>1</v>
      </c>
      <c r="AY15" s="24">
        <f t="shared" si="2"/>
        <v>1</v>
      </c>
      <c r="AZ15" s="24" t="str">
        <f t="shared" si="1"/>
        <v/>
      </c>
      <c r="BA15" s="24" t="str">
        <f t="shared" si="1"/>
        <v/>
      </c>
      <c r="BB15" s="24" t="str">
        <f t="shared" si="1"/>
        <v/>
      </c>
      <c r="BC15" s="24" t="str">
        <f t="shared" si="1"/>
        <v/>
      </c>
      <c r="BD15" s="24" t="str">
        <f t="shared" si="1"/>
        <v/>
      </c>
      <c r="BE15" s="24" t="str">
        <f t="shared" si="1"/>
        <v/>
      </c>
      <c r="BF15" s="24" t="str">
        <f t="shared" si="1"/>
        <v/>
      </c>
      <c r="BG15" s="24" t="str">
        <f t="shared" si="1"/>
        <v/>
      </c>
      <c r="BH15" s="24" t="str">
        <f t="shared" si="3"/>
        <v/>
      </c>
      <c r="BI15" s="24">
        <f t="shared" si="1"/>
        <v>1</v>
      </c>
      <c r="BJ15" s="24" t="str">
        <f t="shared" si="1"/>
        <v/>
      </c>
    </row>
    <row r="16" spans="1:62" ht="15" customHeight="1" x14ac:dyDescent="0.25">
      <c r="A16" t="str">
        <f>"1699871103"</f>
        <v>1699871103</v>
      </c>
      <c r="B16" t="str">
        <f>"01051330"</f>
        <v>01051330</v>
      </c>
      <c r="C16" t="s">
        <v>6757</v>
      </c>
      <c r="D16" t="s">
        <v>7026</v>
      </c>
      <c r="E16" t="s">
        <v>6879</v>
      </c>
      <c r="G16" t="s">
        <v>815</v>
      </c>
      <c r="H16" t="s">
        <v>816</v>
      </c>
      <c r="J16" t="s">
        <v>817</v>
      </c>
      <c r="L16" t="s">
        <v>120</v>
      </c>
      <c r="M16" t="s">
        <v>108</v>
      </c>
      <c r="R16" t="s">
        <v>6757</v>
      </c>
      <c r="W16" t="s">
        <v>6879</v>
      </c>
      <c r="X16" t="s">
        <v>834</v>
      </c>
      <c r="Y16" t="s">
        <v>321</v>
      </c>
      <c r="Z16" t="s">
        <v>111</v>
      </c>
      <c r="AA16" t="str">
        <f>"13760"</f>
        <v>13760</v>
      </c>
      <c r="AB16" t="s">
        <v>123</v>
      </c>
      <c r="AC16" t="s">
        <v>113</v>
      </c>
      <c r="AD16" t="s">
        <v>108</v>
      </c>
      <c r="AE16" t="s">
        <v>114</v>
      </c>
      <c r="AF16" t="s">
        <v>115</v>
      </c>
      <c r="AG16" t="s">
        <v>116</v>
      </c>
      <c r="AJ16" t="s">
        <v>7249</v>
      </c>
      <c r="AK16" t="str">
        <f t="shared" si="0"/>
        <v>AHMED SHOAIB DR.</v>
      </c>
      <c r="AL16" t="s">
        <v>7026</v>
      </c>
      <c r="AM16" t="s">
        <v>108</v>
      </c>
      <c r="AN16" t="s">
        <v>108</v>
      </c>
      <c r="AO16" t="s">
        <v>108</v>
      </c>
      <c r="AP16" t="s">
        <v>108</v>
      </c>
      <c r="AQ16" t="s">
        <v>108</v>
      </c>
      <c r="AR16" t="s">
        <v>108</v>
      </c>
      <c r="AS16" t="s">
        <v>108</v>
      </c>
      <c r="AT16" t="s">
        <v>108</v>
      </c>
      <c r="AU16">
        <v>1</v>
      </c>
      <c r="AV16" t="s">
        <v>108</v>
      </c>
      <c r="AW16" t="s">
        <v>108</v>
      </c>
      <c r="AX16" s="24">
        <f t="shared" si="2"/>
        <v>1</v>
      </c>
      <c r="AY16" s="24" t="str">
        <f t="shared" si="2"/>
        <v/>
      </c>
      <c r="AZ16" s="24" t="str">
        <f t="shared" si="1"/>
        <v/>
      </c>
      <c r="BA16" s="24" t="str">
        <f t="shared" si="1"/>
        <v/>
      </c>
      <c r="BB16" s="24" t="str">
        <f t="shared" si="1"/>
        <v/>
      </c>
      <c r="BC16" s="24" t="str">
        <f t="shared" si="1"/>
        <v/>
      </c>
      <c r="BD16" s="24" t="str">
        <f t="shared" si="1"/>
        <v/>
      </c>
      <c r="BE16" s="24" t="str">
        <f t="shared" si="1"/>
        <v/>
      </c>
      <c r="BF16" s="24" t="str">
        <f t="shared" si="1"/>
        <v/>
      </c>
      <c r="BG16" s="24" t="str">
        <f t="shared" si="1"/>
        <v/>
      </c>
      <c r="BH16" s="24" t="str">
        <f t="shared" si="3"/>
        <v/>
      </c>
      <c r="BI16" s="24">
        <f t="shared" si="1"/>
        <v>1</v>
      </c>
      <c r="BJ16" s="24" t="str">
        <f t="shared" si="1"/>
        <v/>
      </c>
    </row>
    <row r="17" spans="1:62" ht="15" customHeight="1" x14ac:dyDescent="0.25">
      <c r="A17" t="str">
        <f>"1679574149"</f>
        <v>1679574149</v>
      </c>
      <c r="B17" t="str">
        <f>"00301208"</f>
        <v>00301208</v>
      </c>
      <c r="C17" t="s">
        <v>1927</v>
      </c>
      <c r="D17" t="s">
        <v>1928</v>
      </c>
      <c r="E17" t="s">
        <v>1929</v>
      </c>
      <c r="L17" t="s">
        <v>138</v>
      </c>
      <c r="M17" t="s">
        <v>108</v>
      </c>
      <c r="R17" t="s">
        <v>1927</v>
      </c>
      <c r="W17" t="s">
        <v>1930</v>
      </c>
      <c r="X17" t="s">
        <v>1931</v>
      </c>
      <c r="Y17" t="s">
        <v>110</v>
      </c>
      <c r="Z17" t="s">
        <v>111</v>
      </c>
      <c r="AA17" t="str">
        <f>"13901-1293"</f>
        <v>13901-1293</v>
      </c>
      <c r="AB17" t="s">
        <v>123</v>
      </c>
      <c r="AC17" t="s">
        <v>113</v>
      </c>
      <c r="AD17" t="s">
        <v>108</v>
      </c>
      <c r="AE17" t="s">
        <v>114</v>
      </c>
      <c r="AF17" t="s">
        <v>115</v>
      </c>
      <c r="AG17" t="s">
        <v>116</v>
      </c>
      <c r="AK17" t="str">
        <f t="shared" si="0"/>
        <v/>
      </c>
      <c r="AL17" t="s">
        <v>1928</v>
      </c>
      <c r="AM17">
        <v>1</v>
      </c>
      <c r="AN17">
        <v>1</v>
      </c>
      <c r="AO17">
        <v>0</v>
      </c>
      <c r="AP17">
        <v>1</v>
      </c>
      <c r="AQ17">
        <v>1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 s="24" t="str">
        <f t="shared" si="2"/>
        <v/>
      </c>
      <c r="AY17" s="24">
        <f t="shared" si="2"/>
        <v>1</v>
      </c>
      <c r="AZ17" s="24" t="str">
        <f t="shared" si="1"/>
        <v/>
      </c>
      <c r="BA17" s="24" t="str">
        <f t="shared" si="1"/>
        <v/>
      </c>
      <c r="BB17" s="24" t="str">
        <f t="shared" si="1"/>
        <v/>
      </c>
      <c r="BC17" s="24" t="str">
        <f t="shared" si="1"/>
        <v/>
      </c>
      <c r="BD17" s="24" t="str">
        <f t="shared" si="1"/>
        <v/>
      </c>
      <c r="BE17" s="24" t="str">
        <f t="shared" si="1"/>
        <v/>
      </c>
      <c r="BF17" s="24" t="str">
        <f t="shared" si="1"/>
        <v/>
      </c>
      <c r="BG17" s="24" t="str">
        <f t="shared" si="1"/>
        <v/>
      </c>
      <c r="BH17" s="24" t="str">
        <f t="shared" si="3"/>
        <v/>
      </c>
      <c r="BI17" s="24">
        <f t="shared" si="1"/>
        <v>1</v>
      </c>
      <c r="BJ17" s="24" t="str">
        <f t="shared" si="1"/>
        <v/>
      </c>
    </row>
    <row r="18" spans="1:62" ht="15" customHeight="1" x14ac:dyDescent="0.25">
      <c r="A18" t="str">
        <f>"1285714469"</f>
        <v>1285714469</v>
      </c>
      <c r="B18" t="str">
        <f>"00898908"</f>
        <v>00898908</v>
      </c>
      <c r="C18" t="s">
        <v>4498</v>
      </c>
      <c r="D18" t="s">
        <v>4499</v>
      </c>
      <c r="E18" t="s">
        <v>4500</v>
      </c>
      <c r="G18" t="s">
        <v>4304</v>
      </c>
      <c r="H18" t="s">
        <v>4305</v>
      </c>
      <c r="J18" t="s">
        <v>4501</v>
      </c>
      <c r="L18" t="s">
        <v>120</v>
      </c>
      <c r="M18" t="s">
        <v>108</v>
      </c>
      <c r="R18" t="s">
        <v>4502</v>
      </c>
      <c r="W18" t="s">
        <v>4503</v>
      </c>
      <c r="X18" t="s">
        <v>4504</v>
      </c>
      <c r="Y18" t="s">
        <v>293</v>
      </c>
      <c r="Z18" t="s">
        <v>111</v>
      </c>
      <c r="AA18" t="str">
        <f>"14850-5489"</f>
        <v>14850-5489</v>
      </c>
      <c r="AB18" t="s">
        <v>123</v>
      </c>
      <c r="AC18" t="s">
        <v>113</v>
      </c>
      <c r="AD18" t="s">
        <v>108</v>
      </c>
      <c r="AE18" t="s">
        <v>114</v>
      </c>
      <c r="AF18" t="s">
        <v>142</v>
      </c>
      <c r="AG18" t="s">
        <v>116</v>
      </c>
      <c r="AK18" t="str">
        <f t="shared" si="0"/>
        <v/>
      </c>
      <c r="AL18" t="s">
        <v>4499</v>
      </c>
      <c r="AM18">
        <v>1</v>
      </c>
      <c r="AN18">
        <v>1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 s="24">
        <f t="shared" ref="AX18:BI39" si="4">IF(ISERROR(FIND(AX$1,$L18,1)),"",1)</f>
        <v>1</v>
      </c>
      <c r="AY18" s="24" t="str">
        <f t="shared" si="4"/>
        <v/>
      </c>
      <c r="AZ18" s="24" t="str">
        <f t="shared" si="4"/>
        <v/>
      </c>
      <c r="BA18" s="24" t="str">
        <f t="shared" si="4"/>
        <v/>
      </c>
      <c r="BB18" s="24" t="str">
        <f t="shared" si="4"/>
        <v/>
      </c>
      <c r="BC18" s="24" t="str">
        <f t="shared" si="4"/>
        <v/>
      </c>
      <c r="BD18" s="24" t="str">
        <f t="shared" si="4"/>
        <v/>
      </c>
      <c r="BE18" s="24" t="str">
        <f t="shared" si="4"/>
        <v/>
      </c>
      <c r="BF18" s="24" t="str">
        <f t="shared" si="4"/>
        <v/>
      </c>
      <c r="BG18" s="24" t="str">
        <f t="shared" si="4"/>
        <v/>
      </c>
      <c r="BH18" s="24" t="str">
        <f t="shared" si="3"/>
        <v/>
      </c>
      <c r="BI18" s="24">
        <f t="shared" si="4"/>
        <v>1</v>
      </c>
      <c r="BJ18" s="24" t="str">
        <f t="shared" ref="BJ18:BJ81" si="5">IF(ISERROR(FIND(BJ$1,$L18,1)),"",1)</f>
        <v/>
      </c>
    </row>
    <row r="19" spans="1:62" ht="15" customHeight="1" x14ac:dyDescent="0.25">
      <c r="A19" t="str">
        <f>"1306886981"</f>
        <v>1306886981</v>
      </c>
      <c r="B19" t="str">
        <f>"01034500"</f>
        <v>01034500</v>
      </c>
      <c r="C19" t="s">
        <v>6107</v>
      </c>
      <c r="D19" t="s">
        <v>6108</v>
      </c>
      <c r="E19" t="s">
        <v>6109</v>
      </c>
      <c r="G19" t="s">
        <v>815</v>
      </c>
      <c r="H19" t="s">
        <v>816</v>
      </c>
      <c r="J19" t="s">
        <v>817</v>
      </c>
      <c r="L19" t="s">
        <v>138</v>
      </c>
      <c r="M19" t="s">
        <v>108</v>
      </c>
      <c r="R19" t="s">
        <v>6110</v>
      </c>
      <c r="W19" t="s">
        <v>6109</v>
      </c>
      <c r="X19" t="s">
        <v>1895</v>
      </c>
      <c r="Y19" t="s">
        <v>129</v>
      </c>
      <c r="Z19" t="s">
        <v>111</v>
      </c>
      <c r="AA19" t="str">
        <f>"13790-3100"</f>
        <v>13790-3100</v>
      </c>
      <c r="AB19" t="s">
        <v>123</v>
      </c>
      <c r="AC19" t="s">
        <v>113</v>
      </c>
      <c r="AD19" t="s">
        <v>108</v>
      </c>
      <c r="AE19" t="s">
        <v>114</v>
      </c>
      <c r="AF19" t="s">
        <v>115</v>
      </c>
      <c r="AG19" t="s">
        <v>116</v>
      </c>
      <c r="AJ19" t="s">
        <v>7248</v>
      </c>
      <c r="AK19" t="str">
        <f t="shared" si="0"/>
        <v>Alan S. Lerman, MD</v>
      </c>
      <c r="AL19" t="s">
        <v>6108</v>
      </c>
      <c r="AM19" t="s">
        <v>108</v>
      </c>
      <c r="AN19" t="s">
        <v>108</v>
      </c>
      <c r="AO19" t="s">
        <v>108</v>
      </c>
      <c r="AP19" t="s">
        <v>108</v>
      </c>
      <c r="AQ19" t="s">
        <v>108</v>
      </c>
      <c r="AR19" t="s">
        <v>108</v>
      </c>
      <c r="AS19" t="s">
        <v>108</v>
      </c>
      <c r="AT19" t="s">
        <v>108</v>
      </c>
      <c r="AU19">
        <v>0</v>
      </c>
      <c r="AV19" t="s">
        <v>108</v>
      </c>
      <c r="AW19" t="s">
        <v>108</v>
      </c>
      <c r="AX19" s="24" t="str">
        <f t="shared" si="4"/>
        <v/>
      </c>
      <c r="AY19" s="24">
        <f t="shared" si="4"/>
        <v>1</v>
      </c>
      <c r="AZ19" s="24" t="str">
        <f t="shared" si="4"/>
        <v/>
      </c>
      <c r="BA19" s="24" t="str">
        <f t="shared" si="4"/>
        <v/>
      </c>
      <c r="BB19" s="24" t="str">
        <f t="shared" si="4"/>
        <v/>
      </c>
      <c r="BC19" s="24" t="str">
        <f t="shared" si="4"/>
        <v/>
      </c>
      <c r="BD19" s="24" t="str">
        <f t="shared" si="4"/>
        <v/>
      </c>
      <c r="BE19" s="24" t="str">
        <f t="shared" si="4"/>
        <v/>
      </c>
      <c r="BF19" s="24" t="str">
        <f t="shared" si="4"/>
        <v/>
      </c>
      <c r="BG19" s="24" t="str">
        <f t="shared" si="4"/>
        <v/>
      </c>
      <c r="BH19" s="24" t="str">
        <f t="shared" si="3"/>
        <v/>
      </c>
      <c r="BI19" s="24">
        <f t="shared" si="4"/>
        <v>1</v>
      </c>
      <c r="BJ19" s="24" t="str">
        <f t="shared" si="5"/>
        <v/>
      </c>
    </row>
    <row r="20" spans="1:62" ht="15" customHeight="1" x14ac:dyDescent="0.25">
      <c r="A20" t="str">
        <f>"1477782357"</f>
        <v>1477782357</v>
      </c>
      <c r="B20" t="str">
        <f>"03126134"</f>
        <v>03126134</v>
      </c>
      <c r="C20" t="s">
        <v>3289</v>
      </c>
      <c r="D20" t="s">
        <v>3290</v>
      </c>
      <c r="E20" t="s">
        <v>3289</v>
      </c>
      <c r="G20" t="s">
        <v>786</v>
      </c>
      <c r="H20" t="s">
        <v>787</v>
      </c>
      <c r="J20" t="s">
        <v>788</v>
      </c>
      <c r="L20" t="s">
        <v>6867</v>
      </c>
      <c r="M20" t="s">
        <v>139</v>
      </c>
      <c r="R20" t="s">
        <v>3289</v>
      </c>
      <c r="W20" t="s">
        <v>3289</v>
      </c>
      <c r="X20" t="s">
        <v>3291</v>
      </c>
      <c r="Y20" t="s">
        <v>141</v>
      </c>
      <c r="Z20" t="s">
        <v>111</v>
      </c>
      <c r="AA20" t="str">
        <f>"13224-1613"</f>
        <v>13224-1613</v>
      </c>
      <c r="AB20" t="s">
        <v>123</v>
      </c>
      <c r="AC20" t="s">
        <v>113</v>
      </c>
      <c r="AD20" t="s">
        <v>108</v>
      </c>
      <c r="AE20" t="s">
        <v>114</v>
      </c>
      <c r="AF20" t="s">
        <v>142</v>
      </c>
      <c r="AG20" t="s">
        <v>116</v>
      </c>
      <c r="AK20" t="str">
        <f t="shared" si="0"/>
        <v/>
      </c>
      <c r="AL20" t="s">
        <v>3290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 s="24">
        <f t="shared" si="4"/>
        <v>1</v>
      </c>
      <c r="AY20" s="24">
        <f t="shared" si="4"/>
        <v>1</v>
      </c>
      <c r="AZ20" s="24" t="str">
        <f t="shared" si="4"/>
        <v/>
      </c>
      <c r="BA20" s="24" t="str">
        <f t="shared" si="4"/>
        <v/>
      </c>
      <c r="BB20" s="24" t="str">
        <f t="shared" si="4"/>
        <v/>
      </c>
      <c r="BC20" s="24" t="str">
        <f t="shared" si="4"/>
        <v/>
      </c>
      <c r="BD20" s="24" t="str">
        <f t="shared" si="4"/>
        <v/>
      </c>
      <c r="BE20" s="24" t="str">
        <f t="shared" si="4"/>
        <v/>
      </c>
      <c r="BF20" s="24" t="str">
        <f t="shared" si="4"/>
        <v/>
      </c>
      <c r="BG20" s="24" t="str">
        <f t="shared" si="4"/>
        <v/>
      </c>
      <c r="BH20" s="24" t="str">
        <f t="shared" si="3"/>
        <v/>
      </c>
      <c r="BI20" s="24">
        <f t="shared" si="4"/>
        <v>1</v>
      </c>
      <c r="BJ20" s="24" t="str">
        <f t="shared" si="5"/>
        <v/>
      </c>
    </row>
    <row r="21" spans="1:62" ht="15" customHeight="1" x14ac:dyDescent="0.25">
      <c r="C21" t="s">
        <v>5792</v>
      </c>
      <c r="G21" t="s">
        <v>5793</v>
      </c>
      <c r="H21" t="s">
        <v>5794</v>
      </c>
      <c r="I21">
        <v>204</v>
      </c>
      <c r="J21" t="s">
        <v>5795</v>
      </c>
      <c r="K21" t="s">
        <v>780</v>
      </c>
      <c r="L21" t="s">
        <v>781</v>
      </c>
      <c r="M21" t="s">
        <v>108</v>
      </c>
      <c r="N21" t="s">
        <v>5796</v>
      </c>
      <c r="O21" t="s">
        <v>5797</v>
      </c>
      <c r="P21" t="s">
        <v>111</v>
      </c>
      <c r="Q21" t="str">
        <f>"13753"</f>
        <v>13753</v>
      </c>
      <c r="AC21" t="s">
        <v>113</v>
      </c>
      <c r="AD21" t="s">
        <v>108</v>
      </c>
      <c r="AE21" t="s">
        <v>784</v>
      </c>
      <c r="AF21" t="s">
        <v>124</v>
      </c>
      <c r="AG21" t="s">
        <v>116</v>
      </c>
      <c r="AK21" t="str">
        <f t="shared" si="0"/>
        <v/>
      </c>
      <c r="AL21" t="s">
        <v>5792</v>
      </c>
      <c r="AM21">
        <v>1</v>
      </c>
      <c r="AN21">
        <v>0</v>
      </c>
      <c r="AO21">
        <v>0</v>
      </c>
      <c r="AP21">
        <v>1</v>
      </c>
      <c r="AQ21">
        <v>1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 s="24" t="str">
        <f t="shared" si="4"/>
        <v/>
      </c>
      <c r="AY21" s="24" t="str">
        <f t="shared" si="4"/>
        <v/>
      </c>
      <c r="AZ21" s="24" t="str">
        <f t="shared" si="4"/>
        <v/>
      </c>
      <c r="BA21" s="24" t="str">
        <f t="shared" si="4"/>
        <v/>
      </c>
      <c r="BB21" s="24" t="str">
        <f t="shared" si="4"/>
        <v/>
      </c>
      <c r="BC21" s="24" t="str">
        <f t="shared" si="4"/>
        <v/>
      </c>
      <c r="BD21" s="24" t="str">
        <f t="shared" si="4"/>
        <v/>
      </c>
      <c r="BE21" s="24" t="str">
        <f t="shared" si="4"/>
        <v/>
      </c>
      <c r="BF21" s="24" t="str">
        <f t="shared" si="4"/>
        <v/>
      </c>
      <c r="BG21" s="24" t="str">
        <f t="shared" si="4"/>
        <v/>
      </c>
      <c r="BH21" s="24">
        <f t="shared" si="3"/>
        <v>1</v>
      </c>
      <c r="BI21" s="24" t="str">
        <f t="shared" si="4"/>
        <v/>
      </c>
      <c r="BJ21" s="24" t="str">
        <f t="shared" si="5"/>
        <v/>
      </c>
    </row>
    <row r="22" spans="1:62" ht="15" customHeight="1" x14ac:dyDescent="0.25">
      <c r="A22" t="str">
        <f>"1194744227"</f>
        <v>1194744227</v>
      </c>
      <c r="B22" t="str">
        <f>"00794101"</f>
        <v>00794101</v>
      </c>
      <c r="C22" t="s">
        <v>283</v>
      </c>
      <c r="D22" t="s">
        <v>284</v>
      </c>
      <c r="E22" t="s">
        <v>285</v>
      </c>
      <c r="G22" t="s">
        <v>286</v>
      </c>
      <c r="H22" t="s">
        <v>287</v>
      </c>
      <c r="J22" t="s">
        <v>288</v>
      </c>
      <c r="L22" t="s">
        <v>289</v>
      </c>
      <c r="M22" t="s">
        <v>139</v>
      </c>
      <c r="R22" t="s">
        <v>290</v>
      </c>
      <c r="W22" t="s">
        <v>291</v>
      </c>
      <c r="X22" t="s">
        <v>292</v>
      </c>
      <c r="Y22" t="s">
        <v>293</v>
      </c>
      <c r="Z22" t="s">
        <v>111</v>
      </c>
      <c r="AA22" t="str">
        <f>"14850-5635"</f>
        <v>14850-5635</v>
      </c>
      <c r="AB22" t="s">
        <v>282</v>
      </c>
      <c r="AC22" t="s">
        <v>113</v>
      </c>
      <c r="AD22" t="s">
        <v>108</v>
      </c>
      <c r="AE22" t="s">
        <v>114</v>
      </c>
      <c r="AF22" t="s">
        <v>142</v>
      </c>
      <c r="AG22" t="s">
        <v>116</v>
      </c>
      <c r="AK22" t="str">
        <f t="shared" si="0"/>
        <v/>
      </c>
      <c r="AL22" t="s">
        <v>284</v>
      </c>
      <c r="AM22">
        <v>1</v>
      </c>
      <c r="AN22">
        <v>0</v>
      </c>
      <c r="AO22">
        <v>0</v>
      </c>
      <c r="AP22">
        <v>0</v>
      </c>
      <c r="AQ22">
        <v>0</v>
      </c>
      <c r="AR22">
        <v>1</v>
      </c>
      <c r="AS22">
        <v>0</v>
      </c>
      <c r="AT22">
        <v>0</v>
      </c>
      <c r="AU22">
        <v>0</v>
      </c>
      <c r="AV22">
        <v>0</v>
      </c>
      <c r="AW22">
        <v>0</v>
      </c>
      <c r="AX22" s="24" t="str">
        <f t="shared" si="4"/>
        <v/>
      </c>
      <c r="AY22" s="24" t="str">
        <f t="shared" si="4"/>
        <v/>
      </c>
      <c r="AZ22" s="24" t="str">
        <f t="shared" si="4"/>
        <v/>
      </c>
      <c r="BA22" s="24" t="str">
        <f t="shared" si="4"/>
        <v/>
      </c>
      <c r="BB22" s="24" t="str">
        <f t="shared" si="4"/>
        <v/>
      </c>
      <c r="BC22" s="24" t="str">
        <f t="shared" si="4"/>
        <v/>
      </c>
      <c r="BD22" s="24">
        <f t="shared" si="4"/>
        <v>1</v>
      </c>
      <c r="BE22" s="24" t="str">
        <f t="shared" si="4"/>
        <v/>
      </c>
      <c r="BF22" s="24" t="str">
        <f t="shared" si="4"/>
        <v/>
      </c>
      <c r="BG22" s="24" t="str">
        <f t="shared" si="4"/>
        <v/>
      </c>
      <c r="BH22" s="24" t="str">
        <f t="shared" si="3"/>
        <v/>
      </c>
      <c r="BI22" s="24">
        <f t="shared" si="4"/>
        <v>1</v>
      </c>
      <c r="BJ22" s="24" t="str">
        <f t="shared" si="5"/>
        <v/>
      </c>
    </row>
    <row r="23" spans="1:62" ht="15" customHeight="1" x14ac:dyDescent="0.25">
      <c r="A23" t="str">
        <f>"1740386168"</f>
        <v>1740386168</v>
      </c>
      <c r="B23" t="str">
        <f>"02326034"</f>
        <v>02326034</v>
      </c>
      <c r="C23" t="s">
        <v>1777</v>
      </c>
      <c r="D23" t="s">
        <v>1778</v>
      </c>
      <c r="E23" t="s">
        <v>1779</v>
      </c>
      <c r="G23" t="s">
        <v>815</v>
      </c>
      <c r="H23" t="s">
        <v>816</v>
      </c>
      <c r="J23" t="s">
        <v>817</v>
      </c>
      <c r="L23" t="s">
        <v>6867</v>
      </c>
      <c r="M23" t="s">
        <v>139</v>
      </c>
      <c r="R23" t="s">
        <v>1777</v>
      </c>
      <c r="W23" t="s">
        <v>1780</v>
      </c>
      <c r="X23" t="s">
        <v>1781</v>
      </c>
      <c r="Y23" t="s">
        <v>110</v>
      </c>
      <c r="Z23" t="s">
        <v>111</v>
      </c>
      <c r="AA23" t="str">
        <f>"13904-1659"</f>
        <v>13904-1659</v>
      </c>
      <c r="AB23" t="s">
        <v>123</v>
      </c>
      <c r="AC23" t="s">
        <v>113</v>
      </c>
      <c r="AD23" t="s">
        <v>108</v>
      </c>
      <c r="AE23" t="s">
        <v>114</v>
      </c>
      <c r="AF23" t="s">
        <v>115</v>
      </c>
      <c r="AG23" t="s">
        <v>116</v>
      </c>
      <c r="AK23" t="str">
        <f t="shared" si="0"/>
        <v/>
      </c>
      <c r="AL23" t="s">
        <v>1778</v>
      </c>
      <c r="AM23">
        <v>1</v>
      </c>
      <c r="AN23">
        <v>1</v>
      </c>
      <c r="AO23">
        <v>0</v>
      </c>
      <c r="AP23">
        <v>1</v>
      </c>
      <c r="AQ23">
        <v>1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 s="24">
        <f t="shared" si="4"/>
        <v>1</v>
      </c>
      <c r="AY23" s="24">
        <f t="shared" si="4"/>
        <v>1</v>
      </c>
      <c r="AZ23" s="24" t="str">
        <f t="shared" si="4"/>
        <v/>
      </c>
      <c r="BA23" s="24" t="str">
        <f t="shared" si="4"/>
        <v/>
      </c>
      <c r="BB23" s="24" t="str">
        <f t="shared" si="4"/>
        <v/>
      </c>
      <c r="BC23" s="24" t="str">
        <f t="shared" si="4"/>
        <v/>
      </c>
      <c r="BD23" s="24" t="str">
        <f t="shared" si="4"/>
        <v/>
      </c>
      <c r="BE23" s="24" t="str">
        <f t="shared" si="4"/>
        <v/>
      </c>
      <c r="BF23" s="24" t="str">
        <f t="shared" si="4"/>
        <v/>
      </c>
      <c r="BG23" s="24" t="str">
        <f t="shared" si="4"/>
        <v/>
      </c>
      <c r="BH23" s="24" t="str">
        <f t="shared" si="3"/>
        <v/>
      </c>
      <c r="BI23" s="24">
        <f t="shared" si="4"/>
        <v>1</v>
      </c>
      <c r="BJ23" s="24" t="str">
        <f t="shared" si="5"/>
        <v/>
      </c>
    </row>
    <row r="24" spans="1:62" ht="15" customHeight="1" x14ac:dyDescent="0.25">
      <c r="A24" t="str">
        <f>"1073921961"</f>
        <v>1073921961</v>
      </c>
      <c r="B24" t="str">
        <f>"04155042"</f>
        <v>04155042</v>
      </c>
      <c r="C24" t="s">
        <v>6247</v>
      </c>
      <c r="D24" t="s">
        <v>6248</v>
      </c>
      <c r="E24" t="s">
        <v>6249</v>
      </c>
      <c r="G24" t="s">
        <v>815</v>
      </c>
      <c r="H24" t="s">
        <v>816</v>
      </c>
      <c r="J24" t="s">
        <v>817</v>
      </c>
      <c r="L24" t="s">
        <v>247</v>
      </c>
      <c r="M24" t="s">
        <v>108</v>
      </c>
      <c r="R24" t="s">
        <v>6249</v>
      </c>
      <c r="W24" t="s">
        <v>6250</v>
      </c>
      <c r="X24" t="s">
        <v>204</v>
      </c>
      <c r="Y24" t="s">
        <v>110</v>
      </c>
      <c r="Z24" t="s">
        <v>111</v>
      </c>
      <c r="AA24" t="str">
        <f>"13905-4246"</f>
        <v>13905-4246</v>
      </c>
      <c r="AB24" t="s">
        <v>123</v>
      </c>
      <c r="AC24" t="s">
        <v>113</v>
      </c>
      <c r="AD24" t="s">
        <v>108</v>
      </c>
      <c r="AE24" t="s">
        <v>114</v>
      </c>
      <c r="AF24" t="s">
        <v>115</v>
      </c>
      <c r="AG24" t="s">
        <v>116</v>
      </c>
      <c r="AJ24" t="s">
        <v>7249</v>
      </c>
      <c r="AK24" t="str">
        <f t="shared" si="0"/>
        <v>Alexandra A. Bechy, FNP</v>
      </c>
      <c r="AL24" t="s">
        <v>6248</v>
      </c>
      <c r="AM24" t="s">
        <v>108</v>
      </c>
      <c r="AN24" t="s">
        <v>108</v>
      </c>
      <c r="AO24" t="s">
        <v>108</v>
      </c>
      <c r="AP24" t="s">
        <v>108</v>
      </c>
      <c r="AQ24" t="s">
        <v>108</v>
      </c>
      <c r="AR24" t="s">
        <v>108</v>
      </c>
      <c r="AS24" t="s">
        <v>108</v>
      </c>
      <c r="AT24" t="s">
        <v>108</v>
      </c>
      <c r="AU24">
        <v>0</v>
      </c>
      <c r="AV24" t="s">
        <v>108</v>
      </c>
      <c r="AW24" t="s">
        <v>108</v>
      </c>
      <c r="AX24" s="24" t="str">
        <f t="shared" si="4"/>
        <v/>
      </c>
      <c r="AY24" s="24">
        <f t="shared" si="4"/>
        <v>1</v>
      </c>
      <c r="AZ24" s="24" t="str">
        <f t="shared" si="4"/>
        <v/>
      </c>
      <c r="BA24" s="24" t="str">
        <f t="shared" si="4"/>
        <v/>
      </c>
      <c r="BB24" s="24" t="str">
        <f t="shared" si="4"/>
        <v/>
      </c>
      <c r="BC24" s="24" t="str">
        <f t="shared" si="4"/>
        <v/>
      </c>
      <c r="BD24" s="24" t="str">
        <f t="shared" si="4"/>
        <v/>
      </c>
      <c r="BE24" s="24" t="str">
        <f t="shared" si="4"/>
        <v/>
      </c>
      <c r="BF24" s="24" t="str">
        <f t="shared" si="4"/>
        <v/>
      </c>
      <c r="BG24" s="24" t="str">
        <f t="shared" si="4"/>
        <v/>
      </c>
      <c r="BH24" s="24" t="str">
        <f t="shared" si="3"/>
        <v/>
      </c>
      <c r="BI24" s="24" t="str">
        <f t="shared" si="4"/>
        <v/>
      </c>
      <c r="BJ24" s="24" t="str">
        <f t="shared" si="5"/>
        <v/>
      </c>
    </row>
    <row r="25" spans="1:62" ht="15" customHeight="1" x14ac:dyDescent="0.25">
      <c r="A25" t="str">
        <f>"1366887531"</f>
        <v>1366887531</v>
      </c>
      <c r="B25" t="str">
        <f>"04502296"</f>
        <v>04502296</v>
      </c>
      <c r="C25" t="s">
        <v>6664</v>
      </c>
      <c r="D25" t="s">
        <v>6665</v>
      </c>
      <c r="E25" t="s">
        <v>6666</v>
      </c>
      <c r="G25" t="s">
        <v>1686</v>
      </c>
      <c r="H25" t="s">
        <v>1683</v>
      </c>
      <c r="J25" t="s">
        <v>6657</v>
      </c>
      <c r="L25" t="s">
        <v>6867</v>
      </c>
      <c r="M25" t="s">
        <v>108</v>
      </c>
      <c r="R25" t="s">
        <v>6667</v>
      </c>
      <c r="W25" t="s">
        <v>6666</v>
      </c>
      <c r="AB25" t="s">
        <v>123</v>
      </c>
      <c r="AC25" t="s">
        <v>113</v>
      </c>
      <c r="AD25" t="s">
        <v>108</v>
      </c>
      <c r="AE25" t="s">
        <v>114</v>
      </c>
      <c r="AF25" t="s">
        <v>142</v>
      </c>
      <c r="AG25" t="s">
        <v>116</v>
      </c>
      <c r="AJ25" t="s">
        <v>7250</v>
      </c>
      <c r="AK25" t="str">
        <f t="shared" si="0"/>
        <v>Alexandra Karnow, DO</v>
      </c>
      <c r="AL25" t="s">
        <v>6665</v>
      </c>
      <c r="AM25" t="s">
        <v>108</v>
      </c>
      <c r="AN25" t="s">
        <v>108</v>
      </c>
      <c r="AO25" t="s">
        <v>108</v>
      </c>
      <c r="AP25" t="s">
        <v>108</v>
      </c>
      <c r="AQ25" t="s">
        <v>108</v>
      </c>
      <c r="AR25" t="s">
        <v>108</v>
      </c>
      <c r="AS25" t="s">
        <v>108</v>
      </c>
      <c r="AT25" t="s">
        <v>108</v>
      </c>
      <c r="AU25">
        <v>0</v>
      </c>
      <c r="AV25" t="s">
        <v>108</v>
      </c>
      <c r="AW25" t="s">
        <v>108</v>
      </c>
      <c r="AX25" s="24">
        <f t="shared" si="4"/>
        <v>1</v>
      </c>
      <c r="AY25" s="24">
        <f t="shared" si="4"/>
        <v>1</v>
      </c>
      <c r="AZ25" s="24" t="str">
        <f t="shared" si="4"/>
        <v/>
      </c>
      <c r="BA25" s="24" t="str">
        <f t="shared" si="4"/>
        <v/>
      </c>
      <c r="BB25" s="24" t="str">
        <f t="shared" si="4"/>
        <v/>
      </c>
      <c r="BC25" s="24" t="str">
        <f t="shared" si="4"/>
        <v/>
      </c>
      <c r="BD25" s="24" t="str">
        <f t="shared" si="4"/>
        <v/>
      </c>
      <c r="BE25" s="24" t="str">
        <f t="shared" si="4"/>
        <v/>
      </c>
      <c r="BF25" s="24" t="str">
        <f t="shared" si="4"/>
        <v/>
      </c>
      <c r="BG25" s="24" t="str">
        <f t="shared" si="4"/>
        <v/>
      </c>
      <c r="BH25" s="24" t="str">
        <f t="shared" si="3"/>
        <v/>
      </c>
      <c r="BI25" s="24">
        <f t="shared" si="4"/>
        <v>1</v>
      </c>
      <c r="BJ25" s="24" t="str">
        <f t="shared" si="5"/>
        <v/>
      </c>
    </row>
    <row r="26" spans="1:62" ht="15" customHeight="1" x14ac:dyDescent="0.25">
      <c r="A26" t="str">
        <f>"1417221318"</f>
        <v>1417221318</v>
      </c>
      <c r="B26" t="str">
        <f>"04049074"</f>
        <v>04049074</v>
      </c>
      <c r="C26" t="s">
        <v>6087</v>
      </c>
      <c r="D26" t="s">
        <v>6088</v>
      </c>
      <c r="E26" t="s">
        <v>6089</v>
      </c>
      <c r="G26" t="s">
        <v>815</v>
      </c>
      <c r="H26" t="s">
        <v>816</v>
      </c>
      <c r="J26" t="s">
        <v>817</v>
      </c>
      <c r="L26" t="s">
        <v>138</v>
      </c>
      <c r="M26" t="s">
        <v>108</v>
      </c>
      <c r="R26" t="s">
        <v>6090</v>
      </c>
      <c r="W26" t="s">
        <v>6089</v>
      </c>
      <c r="X26" t="s">
        <v>204</v>
      </c>
      <c r="Y26" t="s">
        <v>110</v>
      </c>
      <c r="Z26" t="s">
        <v>111</v>
      </c>
      <c r="AA26" t="str">
        <f>"13905-4246"</f>
        <v>13905-4246</v>
      </c>
      <c r="AB26" t="s">
        <v>123</v>
      </c>
      <c r="AC26" t="s">
        <v>113</v>
      </c>
      <c r="AD26" t="s">
        <v>108</v>
      </c>
      <c r="AE26" t="s">
        <v>114</v>
      </c>
      <c r="AF26" t="s">
        <v>115</v>
      </c>
      <c r="AG26" t="s">
        <v>116</v>
      </c>
      <c r="AJ26" t="s">
        <v>7249</v>
      </c>
      <c r="AK26" t="str">
        <f t="shared" si="0"/>
        <v>Alexandria C. Lynch, MD, MPH</v>
      </c>
      <c r="AL26" t="s">
        <v>6088</v>
      </c>
      <c r="AM26" t="s">
        <v>108</v>
      </c>
      <c r="AN26" t="s">
        <v>108</v>
      </c>
      <c r="AO26" t="s">
        <v>108</v>
      </c>
      <c r="AP26" t="s">
        <v>108</v>
      </c>
      <c r="AQ26" t="s">
        <v>108</v>
      </c>
      <c r="AR26" t="s">
        <v>108</v>
      </c>
      <c r="AS26" t="s">
        <v>108</v>
      </c>
      <c r="AT26" t="s">
        <v>108</v>
      </c>
      <c r="AU26">
        <v>0</v>
      </c>
      <c r="AV26" t="s">
        <v>108</v>
      </c>
      <c r="AW26" t="s">
        <v>108</v>
      </c>
      <c r="AX26" s="24" t="str">
        <f t="shared" si="4"/>
        <v/>
      </c>
      <c r="AY26" s="24">
        <f t="shared" si="4"/>
        <v>1</v>
      </c>
      <c r="AZ26" s="24" t="str">
        <f t="shared" si="4"/>
        <v/>
      </c>
      <c r="BA26" s="24" t="str">
        <f t="shared" si="4"/>
        <v/>
      </c>
      <c r="BB26" s="24" t="str">
        <f t="shared" si="4"/>
        <v/>
      </c>
      <c r="BC26" s="24" t="str">
        <f t="shared" si="4"/>
        <v/>
      </c>
      <c r="BD26" s="24" t="str">
        <f t="shared" si="4"/>
        <v/>
      </c>
      <c r="BE26" s="24" t="str">
        <f t="shared" si="4"/>
        <v/>
      </c>
      <c r="BF26" s="24" t="str">
        <f t="shared" si="4"/>
        <v/>
      </c>
      <c r="BG26" s="24" t="str">
        <f t="shared" si="4"/>
        <v/>
      </c>
      <c r="BH26" s="24" t="str">
        <f t="shared" si="3"/>
        <v/>
      </c>
      <c r="BI26" s="24">
        <f t="shared" si="4"/>
        <v>1</v>
      </c>
      <c r="BJ26" s="24" t="str">
        <f t="shared" si="5"/>
        <v/>
      </c>
    </row>
    <row r="27" spans="1:62" ht="15" customHeight="1" x14ac:dyDescent="0.25">
      <c r="A27" t="str">
        <f>"1841323888"</f>
        <v>1841323888</v>
      </c>
      <c r="B27" t="str">
        <f>"01787159"</f>
        <v>01787159</v>
      </c>
      <c r="C27" t="s">
        <v>3473</v>
      </c>
      <c r="D27" t="s">
        <v>3474</v>
      </c>
      <c r="E27" t="s">
        <v>3475</v>
      </c>
      <c r="L27" t="s">
        <v>120</v>
      </c>
      <c r="M27" t="s">
        <v>108</v>
      </c>
      <c r="R27" t="s">
        <v>3473</v>
      </c>
      <c r="W27" t="s">
        <v>3475</v>
      </c>
      <c r="X27" t="s">
        <v>3476</v>
      </c>
      <c r="Y27" t="s">
        <v>335</v>
      </c>
      <c r="Z27" t="s">
        <v>111</v>
      </c>
      <c r="AA27" t="str">
        <f>"13820-2046"</f>
        <v>13820-2046</v>
      </c>
      <c r="AB27" t="s">
        <v>123</v>
      </c>
      <c r="AC27" t="s">
        <v>113</v>
      </c>
      <c r="AD27" t="s">
        <v>108</v>
      </c>
      <c r="AE27" t="s">
        <v>114</v>
      </c>
      <c r="AF27" t="s">
        <v>124</v>
      </c>
      <c r="AG27" t="s">
        <v>116</v>
      </c>
      <c r="AK27" t="str">
        <f t="shared" si="0"/>
        <v/>
      </c>
      <c r="AL27" t="s">
        <v>3474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 s="24">
        <f t="shared" si="4"/>
        <v>1</v>
      </c>
      <c r="AY27" s="24" t="str">
        <f t="shared" si="4"/>
        <v/>
      </c>
      <c r="AZ27" s="24" t="str">
        <f t="shared" si="4"/>
        <v/>
      </c>
      <c r="BA27" s="24" t="str">
        <f t="shared" si="4"/>
        <v/>
      </c>
      <c r="BB27" s="24" t="str">
        <f t="shared" si="4"/>
        <v/>
      </c>
      <c r="BC27" s="24" t="str">
        <f t="shared" si="4"/>
        <v/>
      </c>
      <c r="BD27" s="24" t="str">
        <f t="shared" si="4"/>
        <v/>
      </c>
      <c r="BE27" s="24" t="str">
        <f t="shared" si="4"/>
        <v/>
      </c>
      <c r="BF27" s="24" t="str">
        <f t="shared" si="4"/>
        <v/>
      </c>
      <c r="BG27" s="24" t="str">
        <f t="shared" si="4"/>
        <v/>
      </c>
      <c r="BH27" s="24" t="str">
        <f t="shared" si="3"/>
        <v/>
      </c>
      <c r="BI27" s="24">
        <f t="shared" si="4"/>
        <v>1</v>
      </c>
      <c r="BJ27" s="24" t="str">
        <f t="shared" si="5"/>
        <v/>
      </c>
    </row>
    <row r="28" spans="1:62" ht="15" customHeight="1" x14ac:dyDescent="0.25">
      <c r="A28" t="str">
        <f>"1417996398"</f>
        <v>1417996398</v>
      </c>
      <c r="B28" t="str">
        <f>"02643992"</f>
        <v>02643992</v>
      </c>
      <c r="C28" t="s">
        <v>5163</v>
      </c>
      <c r="D28" t="s">
        <v>5164</v>
      </c>
      <c r="E28" t="s">
        <v>5165</v>
      </c>
      <c r="L28" t="s">
        <v>138</v>
      </c>
      <c r="M28" t="s">
        <v>108</v>
      </c>
      <c r="R28" t="s">
        <v>5163</v>
      </c>
      <c r="W28" t="s">
        <v>5166</v>
      </c>
      <c r="X28" t="s">
        <v>5167</v>
      </c>
      <c r="Y28" t="s">
        <v>129</v>
      </c>
      <c r="Z28" t="s">
        <v>111</v>
      </c>
      <c r="AA28" t="str">
        <f>"13790-2120"</f>
        <v>13790-2120</v>
      </c>
      <c r="AB28" t="s">
        <v>123</v>
      </c>
      <c r="AC28" t="s">
        <v>113</v>
      </c>
      <c r="AD28" t="s">
        <v>108</v>
      </c>
      <c r="AE28" t="s">
        <v>114</v>
      </c>
      <c r="AF28" t="s">
        <v>115</v>
      </c>
      <c r="AG28" t="s">
        <v>116</v>
      </c>
      <c r="AK28" t="str">
        <f t="shared" si="0"/>
        <v/>
      </c>
      <c r="AL28" t="s">
        <v>5164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 s="24" t="str">
        <f t="shared" si="4"/>
        <v/>
      </c>
      <c r="AY28" s="24">
        <f t="shared" si="4"/>
        <v>1</v>
      </c>
      <c r="AZ28" s="24" t="str">
        <f t="shared" si="4"/>
        <v/>
      </c>
      <c r="BA28" s="24" t="str">
        <f t="shared" si="4"/>
        <v/>
      </c>
      <c r="BB28" s="24" t="str">
        <f t="shared" si="4"/>
        <v/>
      </c>
      <c r="BC28" s="24" t="str">
        <f t="shared" si="4"/>
        <v/>
      </c>
      <c r="BD28" s="24" t="str">
        <f t="shared" si="4"/>
        <v/>
      </c>
      <c r="BE28" s="24" t="str">
        <f t="shared" si="4"/>
        <v/>
      </c>
      <c r="BF28" s="24" t="str">
        <f t="shared" si="4"/>
        <v/>
      </c>
      <c r="BG28" s="24" t="str">
        <f t="shared" si="4"/>
        <v/>
      </c>
      <c r="BH28" s="24" t="str">
        <f t="shared" si="3"/>
        <v/>
      </c>
      <c r="BI28" s="24">
        <f t="shared" si="4"/>
        <v>1</v>
      </c>
      <c r="BJ28" s="24" t="str">
        <f t="shared" si="5"/>
        <v/>
      </c>
    </row>
    <row r="29" spans="1:62" ht="15" customHeight="1" x14ac:dyDescent="0.25">
      <c r="A29" t="str">
        <f>"1902865488"</f>
        <v>1902865488</v>
      </c>
      <c r="B29" t="str">
        <f>"01880964"</f>
        <v>01880964</v>
      </c>
      <c r="C29" t="s">
        <v>3865</v>
      </c>
      <c r="D29" t="s">
        <v>3866</v>
      </c>
      <c r="E29" t="s">
        <v>3867</v>
      </c>
      <c r="L29" t="s">
        <v>120</v>
      </c>
      <c r="M29" t="s">
        <v>108</v>
      </c>
      <c r="R29" t="s">
        <v>3865</v>
      </c>
      <c r="W29" t="s">
        <v>3865</v>
      </c>
      <c r="X29" t="s">
        <v>186</v>
      </c>
      <c r="Y29" t="s">
        <v>181</v>
      </c>
      <c r="Z29" t="s">
        <v>182</v>
      </c>
      <c r="AA29" t="str">
        <f>"18840"</f>
        <v>18840</v>
      </c>
      <c r="AB29" t="s">
        <v>123</v>
      </c>
      <c r="AC29" t="s">
        <v>113</v>
      </c>
      <c r="AD29" t="s">
        <v>108</v>
      </c>
      <c r="AE29" t="s">
        <v>114</v>
      </c>
      <c r="AF29" t="s">
        <v>115</v>
      </c>
      <c r="AG29" t="s">
        <v>116</v>
      </c>
      <c r="AK29" t="str">
        <f t="shared" si="0"/>
        <v/>
      </c>
      <c r="AL29" t="s">
        <v>3866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 s="24">
        <f t="shared" si="4"/>
        <v>1</v>
      </c>
      <c r="AY29" s="24" t="str">
        <f t="shared" si="4"/>
        <v/>
      </c>
      <c r="AZ29" s="24" t="str">
        <f t="shared" si="4"/>
        <v/>
      </c>
      <c r="BA29" s="24" t="str">
        <f t="shared" si="4"/>
        <v/>
      </c>
      <c r="BB29" s="24" t="str">
        <f t="shared" si="4"/>
        <v/>
      </c>
      <c r="BC29" s="24" t="str">
        <f t="shared" si="4"/>
        <v/>
      </c>
      <c r="BD29" s="24" t="str">
        <f t="shared" si="4"/>
        <v/>
      </c>
      <c r="BE29" s="24" t="str">
        <f t="shared" si="4"/>
        <v/>
      </c>
      <c r="BF29" s="24" t="str">
        <f t="shared" si="4"/>
        <v/>
      </c>
      <c r="BG29" s="24" t="str">
        <f t="shared" si="4"/>
        <v/>
      </c>
      <c r="BH29" s="24" t="str">
        <f t="shared" si="3"/>
        <v/>
      </c>
      <c r="BI29" s="24">
        <f t="shared" si="4"/>
        <v>1</v>
      </c>
      <c r="BJ29" s="24" t="str">
        <f t="shared" si="5"/>
        <v/>
      </c>
    </row>
    <row r="30" spans="1:62" ht="15" customHeight="1" x14ac:dyDescent="0.25">
      <c r="A30" t="str">
        <f>"1861800013"</f>
        <v>1861800013</v>
      </c>
      <c r="B30" t="str">
        <f>"03922254"</f>
        <v>03922254</v>
      </c>
      <c r="C30" t="s">
        <v>6458</v>
      </c>
      <c r="D30" t="s">
        <v>6459</v>
      </c>
      <c r="E30" t="s">
        <v>6460</v>
      </c>
      <c r="G30" t="s">
        <v>6330</v>
      </c>
      <c r="H30" t="s">
        <v>6331</v>
      </c>
      <c r="J30" t="s">
        <v>6332</v>
      </c>
      <c r="L30" t="s">
        <v>442</v>
      </c>
      <c r="M30" t="s">
        <v>108</v>
      </c>
      <c r="R30" t="s">
        <v>6460</v>
      </c>
      <c r="W30" t="s">
        <v>6461</v>
      </c>
      <c r="X30" t="s">
        <v>6383</v>
      </c>
      <c r="Y30" t="s">
        <v>281</v>
      </c>
      <c r="Z30" t="s">
        <v>111</v>
      </c>
      <c r="AA30" t="str">
        <f>"13827-1578"</f>
        <v>13827-1578</v>
      </c>
      <c r="AB30" t="s">
        <v>123</v>
      </c>
      <c r="AC30" t="s">
        <v>113</v>
      </c>
      <c r="AD30" t="s">
        <v>108</v>
      </c>
      <c r="AE30" t="s">
        <v>114</v>
      </c>
      <c r="AF30" t="s">
        <v>115</v>
      </c>
      <c r="AG30" t="s">
        <v>116</v>
      </c>
      <c r="AJ30" t="s">
        <v>7248</v>
      </c>
      <c r="AK30" t="str">
        <f t="shared" si="0"/>
        <v>Allison Margaret Bunnell</v>
      </c>
      <c r="AL30" t="s">
        <v>6459</v>
      </c>
      <c r="AM30" t="s">
        <v>108</v>
      </c>
      <c r="AN30" t="s">
        <v>108</v>
      </c>
      <c r="AO30" t="s">
        <v>108</v>
      </c>
      <c r="AP30" t="s">
        <v>108</v>
      </c>
      <c r="AQ30" t="s">
        <v>108</v>
      </c>
      <c r="AR30" t="s">
        <v>108</v>
      </c>
      <c r="AS30" t="s">
        <v>108</v>
      </c>
      <c r="AT30" t="s">
        <v>108</v>
      </c>
      <c r="AU30">
        <v>1</v>
      </c>
      <c r="AV30" t="s">
        <v>108</v>
      </c>
      <c r="AW30" t="s">
        <v>108</v>
      </c>
      <c r="AX30" s="24">
        <f t="shared" si="4"/>
        <v>1</v>
      </c>
      <c r="AY30" s="24" t="str">
        <f t="shared" si="4"/>
        <v/>
      </c>
      <c r="AZ30" s="24" t="str">
        <f t="shared" si="4"/>
        <v/>
      </c>
      <c r="BA30" s="24" t="str">
        <f t="shared" si="4"/>
        <v/>
      </c>
      <c r="BB30" s="24" t="str">
        <f t="shared" si="4"/>
        <v/>
      </c>
      <c r="BC30" s="24" t="str">
        <f t="shared" si="4"/>
        <v/>
      </c>
      <c r="BD30" s="24" t="str">
        <f t="shared" si="4"/>
        <v/>
      </c>
      <c r="BE30" s="24" t="str">
        <f t="shared" si="4"/>
        <v/>
      </c>
      <c r="BF30" s="24" t="str">
        <f t="shared" si="4"/>
        <v/>
      </c>
      <c r="BG30" s="24" t="str">
        <f t="shared" si="4"/>
        <v/>
      </c>
      <c r="BH30" s="24" t="str">
        <f t="shared" si="3"/>
        <v/>
      </c>
      <c r="BI30" s="24" t="str">
        <f t="shared" si="4"/>
        <v/>
      </c>
      <c r="BJ30" s="24" t="str">
        <f t="shared" si="5"/>
        <v/>
      </c>
    </row>
    <row r="31" spans="1:62" ht="15" customHeight="1" x14ac:dyDescent="0.25">
      <c r="A31" t="str">
        <f>"1497765085"</f>
        <v>1497765085</v>
      </c>
      <c r="B31" t="str">
        <f>"03202251"</f>
        <v>03202251</v>
      </c>
      <c r="C31" t="s">
        <v>806</v>
      </c>
      <c r="D31" t="s">
        <v>807</v>
      </c>
      <c r="E31" t="s">
        <v>808</v>
      </c>
      <c r="L31" t="s">
        <v>809</v>
      </c>
      <c r="M31" t="s">
        <v>108</v>
      </c>
      <c r="R31" t="s">
        <v>806</v>
      </c>
      <c r="W31" t="s">
        <v>808</v>
      </c>
      <c r="X31" t="s">
        <v>810</v>
      </c>
      <c r="Y31" t="s">
        <v>110</v>
      </c>
      <c r="Z31" t="s">
        <v>111</v>
      </c>
      <c r="AA31" t="str">
        <f>"13905-2522"</f>
        <v>13905-2522</v>
      </c>
      <c r="AB31" t="s">
        <v>811</v>
      </c>
      <c r="AC31" t="s">
        <v>113</v>
      </c>
      <c r="AD31" t="s">
        <v>108</v>
      </c>
      <c r="AE31" t="s">
        <v>114</v>
      </c>
      <c r="AF31" t="s">
        <v>115</v>
      </c>
      <c r="AG31" t="s">
        <v>116</v>
      </c>
      <c r="AK31" t="str">
        <f t="shared" si="0"/>
        <v/>
      </c>
      <c r="AL31" t="s">
        <v>807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 s="24" t="str">
        <f t="shared" si="4"/>
        <v/>
      </c>
      <c r="AY31" s="24">
        <f t="shared" si="4"/>
        <v>1</v>
      </c>
      <c r="AZ31" s="24" t="str">
        <f t="shared" si="4"/>
        <v/>
      </c>
      <c r="BA31" s="24" t="str">
        <f t="shared" si="4"/>
        <v/>
      </c>
      <c r="BB31" s="24" t="str">
        <f t="shared" si="4"/>
        <v/>
      </c>
      <c r="BC31" s="24">
        <f t="shared" si="4"/>
        <v>1</v>
      </c>
      <c r="BD31" s="24" t="str">
        <f t="shared" si="4"/>
        <v/>
      </c>
      <c r="BE31" s="24" t="str">
        <f t="shared" si="4"/>
        <v/>
      </c>
      <c r="BF31" s="24" t="str">
        <f t="shared" si="4"/>
        <v/>
      </c>
      <c r="BG31" s="24" t="str">
        <f t="shared" si="4"/>
        <v/>
      </c>
      <c r="BH31" s="24" t="str">
        <f t="shared" si="3"/>
        <v/>
      </c>
      <c r="BI31" s="24" t="str">
        <f t="shared" si="4"/>
        <v/>
      </c>
      <c r="BJ31" s="24" t="str">
        <f t="shared" si="5"/>
        <v/>
      </c>
    </row>
    <row r="32" spans="1:62" ht="15" customHeight="1" x14ac:dyDescent="0.25">
      <c r="A32" t="str">
        <f>"1497851828"</f>
        <v>1497851828</v>
      </c>
      <c r="B32" t="str">
        <f>"00627174"</f>
        <v>00627174</v>
      </c>
      <c r="C32" t="s">
        <v>1799</v>
      </c>
      <c r="D32" t="s">
        <v>1800</v>
      </c>
      <c r="E32" t="s">
        <v>1801</v>
      </c>
      <c r="G32" t="s">
        <v>815</v>
      </c>
      <c r="H32" t="s">
        <v>816</v>
      </c>
      <c r="J32" t="s">
        <v>817</v>
      </c>
      <c r="L32" t="s">
        <v>120</v>
      </c>
      <c r="M32" t="s">
        <v>108</v>
      </c>
      <c r="R32" t="s">
        <v>1799</v>
      </c>
      <c r="W32" t="s">
        <v>1801</v>
      </c>
      <c r="X32" t="s">
        <v>798</v>
      </c>
      <c r="Y32" t="s">
        <v>110</v>
      </c>
      <c r="Z32" t="s">
        <v>111</v>
      </c>
      <c r="AA32" t="str">
        <f>"13901-1293"</f>
        <v>13901-1293</v>
      </c>
      <c r="AB32" t="s">
        <v>123</v>
      </c>
      <c r="AC32" t="s">
        <v>113</v>
      </c>
      <c r="AD32" t="s">
        <v>108</v>
      </c>
      <c r="AE32" t="s">
        <v>114</v>
      </c>
      <c r="AF32" t="s">
        <v>115</v>
      </c>
      <c r="AG32" t="s">
        <v>116</v>
      </c>
      <c r="AK32" t="str">
        <f t="shared" si="0"/>
        <v/>
      </c>
      <c r="AL32" t="s">
        <v>1800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 s="24">
        <f t="shared" si="4"/>
        <v>1</v>
      </c>
      <c r="AY32" s="24" t="str">
        <f t="shared" si="4"/>
        <v/>
      </c>
      <c r="AZ32" s="24" t="str">
        <f t="shared" si="4"/>
        <v/>
      </c>
      <c r="BA32" s="24" t="str">
        <f t="shared" si="4"/>
        <v/>
      </c>
      <c r="BB32" s="24" t="str">
        <f t="shared" si="4"/>
        <v/>
      </c>
      <c r="BC32" s="24" t="str">
        <f t="shared" si="4"/>
        <v/>
      </c>
      <c r="BD32" s="24" t="str">
        <f t="shared" si="4"/>
        <v/>
      </c>
      <c r="BE32" s="24" t="str">
        <f t="shared" si="4"/>
        <v/>
      </c>
      <c r="BF32" s="24" t="str">
        <f t="shared" si="4"/>
        <v/>
      </c>
      <c r="BG32" s="24" t="str">
        <f t="shared" si="4"/>
        <v/>
      </c>
      <c r="BH32" s="24" t="str">
        <f t="shared" si="3"/>
        <v/>
      </c>
      <c r="BI32" s="24">
        <f t="shared" si="4"/>
        <v>1</v>
      </c>
      <c r="BJ32" s="24" t="str">
        <f t="shared" si="5"/>
        <v/>
      </c>
    </row>
    <row r="33" spans="1:62" ht="15" customHeight="1" x14ac:dyDescent="0.25">
      <c r="A33" t="str">
        <f>"1699092353"</f>
        <v>1699092353</v>
      </c>
      <c r="B33" t="str">
        <f>"03687198"</f>
        <v>03687198</v>
      </c>
      <c r="C33" t="s">
        <v>2165</v>
      </c>
      <c r="D33" t="s">
        <v>2166</v>
      </c>
      <c r="E33" t="s">
        <v>2167</v>
      </c>
      <c r="G33" t="s">
        <v>2165</v>
      </c>
      <c r="H33" t="s">
        <v>440</v>
      </c>
      <c r="J33" t="s">
        <v>2168</v>
      </c>
      <c r="L33" t="s">
        <v>6867</v>
      </c>
      <c r="M33" t="s">
        <v>108</v>
      </c>
      <c r="R33" t="s">
        <v>2167</v>
      </c>
      <c r="W33" t="s">
        <v>2169</v>
      </c>
      <c r="X33" t="s">
        <v>406</v>
      </c>
      <c r="Y33" t="s">
        <v>129</v>
      </c>
      <c r="Z33" t="s">
        <v>111</v>
      </c>
      <c r="AA33" t="str">
        <f>"13790-2107"</f>
        <v>13790-2107</v>
      </c>
      <c r="AB33" t="s">
        <v>123</v>
      </c>
      <c r="AC33" t="s">
        <v>113</v>
      </c>
      <c r="AD33" t="s">
        <v>108</v>
      </c>
      <c r="AE33" t="s">
        <v>114</v>
      </c>
      <c r="AF33" t="s">
        <v>115</v>
      </c>
      <c r="AG33" t="s">
        <v>116</v>
      </c>
      <c r="AK33" t="str">
        <f t="shared" si="0"/>
        <v/>
      </c>
      <c r="AL33" t="s">
        <v>2166</v>
      </c>
      <c r="AM33">
        <v>1</v>
      </c>
      <c r="AN33">
        <v>1</v>
      </c>
      <c r="AO33">
        <v>0</v>
      </c>
      <c r="AP33">
        <v>0</v>
      </c>
      <c r="AQ33">
        <v>1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 s="24">
        <f t="shared" si="4"/>
        <v>1</v>
      </c>
      <c r="AY33" s="24">
        <f t="shared" si="4"/>
        <v>1</v>
      </c>
      <c r="AZ33" s="24" t="str">
        <f t="shared" si="4"/>
        <v/>
      </c>
      <c r="BA33" s="24" t="str">
        <f t="shared" si="4"/>
        <v/>
      </c>
      <c r="BB33" s="24" t="str">
        <f t="shared" si="4"/>
        <v/>
      </c>
      <c r="BC33" s="24" t="str">
        <f t="shared" si="4"/>
        <v/>
      </c>
      <c r="BD33" s="24" t="str">
        <f t="shared" si="4"/>
        <v/>
      </c>
      <c r="BE33" s="24" t="str">
        <f t="shared" si="4"/>
        <v/>
      </c>
      <c r="BF33" s="24" t="str">
        <f t="shared" si="4"/>
        <v/>
      </c>
      <c r="BG33" s="24" t="str">
        <f t="shared" si="4"/>
        <v/>
      </c>
      <c r="BH33" s="24" t="str">
        <f t="shared" si="3"/>
        <v/>
      </c>
      <c r="BI33" s="24">
        <f t="shared" si="4"/>
        <v>1</v>
      </c>
      <c r="BJ33" s="24" t="str">
        <f t="shared" si="5"/>
        <v/>
      </c>
    </row>
    <row r="34" spans="1:62" ht="15" customHeight="1" x14ac:dyDescent="0.25">
      <c r="A34" t="str">
        <f>"1306151378"</f>
        <v>1306151378</v>
      </c>
      <c r="B34" t="str">
        <f>"03388676"</f>
        <v>03388676</v>
      </c>
      <c r="C34" t="s">
        <v>4389</v>
      </c>
      <c r="D34" t="s">
        <v>4390</v>
      </c>
      <c r="E34" t="s">
        <v>4391</v>
      </c>
      <c r="G34" t="s">
        <v>786</v>
      </c>
      <c r="H34" t="s">
        <v>787</v>
      </c>
      <c r="I34">
        <v>5027</v>
      </c>
      <c r="J34" t="s">
        <v>788</v>
      </c>
      <c r="L34" t="s">
        <v>120</v>
      </c>
      <c r="M34" t="s">
        <v>108</v>
      </c>
      <c r="R34" t="s">
        <v>4392</v>
      </c>
      <c r="W34" t="s">
        <v>4393</v>
      </c>
      <c r="X34" t="s">
        <v>4394</v>
      </c>
      <c r="Y34" t="s">
        <v>293</v>
      </c>
      <c r="Z34" t="s">
        <v>111</v>
      </c>
      <c r="AA34" t="str">
        <f>"14850-6355"</f>
        <v>14850-6355</v>
      </c>
      <c r="AB34" t="s">
        <v>385</v>
      </c>
      <c r="AC34" t="s">
        <v>113</v>
      </c>
      <c r="AD34" t="s">
        <v>108</v>
      </c>
      <c r="AE34" t="s">
        <v>114</v>
      </c>
      <c r="AF34" t="s">
        <v>142</v>
      </c>
      <c r="AG34" t="s">
        <v>116</v>
      </c>
      <c r="AK34" t="str">
        <f t="shared" si="0"/>
        <v/>
      </c>
      <c r="AL34" t="s">
        <v>4390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 s="24">
        <f t="shared" si="4"/>
        <v>1</v>
      </c>
      <c r="AY34" s="24" t="str">
        <f t="shared" si="4"/>
        <v/>
      </c>
      <c r="AZ34" s="24" t="str">
        <f t="shared" si="4"/>
        <v/>
      </c>
      <c r="BA34" s="24" t="str">
        <f t="shared" si="4"/>
        <v/>
      </c>
      <c r="BB34" s="24" t="str">
        <f t="shared" si="4"/>
        <v/>
      </c>
      <c r="BC34" s="24" t="str">
        <f t="shared" si="4"/>
        <v/>
      </c>
      <c r="BD34" s="24" t="str">
        <f t="shared" si="4"/>
        <v/>
      </c>
      <c r="BE34" s="24" t="str">
        <f t="shared" si="4"/>
        <v/>
      </c>
      <c r="BF34" s="24" t="str">
        <f t="shared" si="4"/>
        <v/>
      </c>
      <c r="BG34" s="24" t="str">
        <f t="shared" si="4"/>
        <v/>
      </c>
      <c r="BH34" s="24" t="str">
        <f t="shared" si="3"/>
        <v/>
      </c>
      <c r="BI34" s="24">
        <f t="shared" si="4"/>
        <v>1</v>
      </c>
      <c r="BJ34" s="24" t="str">
        <f t="shared" si="5"/>
        <v/>
      </c>
    </row>
    <row r="35" spans="1:62" ht="15" customHeight="1" x14ac:dyDescent="0.25">
      <c r="C35" t="s">
        <v>6721</v>
      </c>
      <c r="G35" t="s">
        <v>7178</v>
      </c>
      <c r="H35" t="s">
        <v>7179</v>
      </c>
      <c r="J35" t="s">
        <v>7180</v>
      </c>
      <c r="K35" t="s">
        <v>780</v>
      </c>
      <c r="L35" t="s">
        <v>781</v>
      </c>
      <c r="M35" t="s">
        <v>108</v>
      </c>
      <c r="AC35" t="s">
        <v>113</v>
      </c>
      <c r="AD35" t="s">
        <v>108</v>
      </c>
      <c r="AE35" t="s">
        <v>784</v>
      </c>
      <c r="AF35" t="s">
        <v>115</v>
      </c>
      <c r="AG35" t="s">
        <v>116</v>
      </c>
      <c r="AL35" t="s">
        <v>6721</v>
      </c>
      <c r="AM35">
        <v>1</v>
      </c>
      <c r="AN35" t="s">
        <v>108</v>
      </c>
      <c r="AO35" t="s">
        <v>108</v>
      </c>
      <c r="AP35">
        <v>1</v>
      </c>
      <c r="AQ35">
        <v>1</v>
      </c>
      <c r="AR35" t="s">
        <v>108</v>
      </c>
      <c r="AS35" t="s">
        <v>108</v>
      </c>
      <c r="AT35" t="s">
        <v>108</v>
      </c>
      <c r="AU35">
        <v>0</v>
      </c>
      <c r="AV35" t="s">
        <v>108</v>
      </c>
      <c r="AW35" t="s">
        <v>108</v>
      </c>
      <c r="AX35" s="24" t="str">
        <f t="shared" si="4"/>
        <v/>
      </c>
      <c r="AY35" s="24" t="str">
        <f t="shared" si="4"/>
        <v/>
      </c>
      <c r="AZ35" s="24" t="str">
        <f t="shared" si="4"/>
        <v/>
      </c>
      <c r="BA35" s="24" t="str">
        <f t="shared" si="4"/>
        <v/>
      </c>
      <c r="BB35" s="24" t="str">
        <f t="shared" si="4"/>
        <v/>
      </c>
      <c r="BC35" s="24" t="str">
        <f t="shared" si="4"/>
        <v/>
      </c>
      <c r="BD35" s="24" t="str">
        <f t="shared" si="4"/>
        <v/>
      </c>
      <c r="BE35" s="24" t="str">
        <f t="shared" si="4"/>
        <v/>
      </c>
      <c r="BF35" s="24" t="str">
        <f t="shared" si="4"/>
        <v/>
      </c>
      <c r="BG35" s="24" t="str">
        <f t="shared" si="4"/>
        <v/>
      </c>
      <c r="BH35" s="24">
        <f t="shared" si="3"/>
        <v>1</v>
      </c>
      <c r="BI35" s="24" t="str">
        <f t="shared" si="4"/>
        <v/>
      </c>
      <c r="BJ35" s="24" t="str">
        <f t="shared" si="5"/>
        <v/>
      </c>
    </row>
    <row r="36" spans="1:62" ht="15" customHeight="1" x14ac:dyDescent="0.25">
      <c r="A36" t="str">
        <f>"1891884193"</f>
        <v>1891884193</v>
      </c>
      <c r="B36" t="str">
        <f>"01514227"</f>
        <v>01514227</v>
      </c>
      <c r="C36" t="s">
        <v>3089</v>
      </c>
      <c r="D36" t="s">
        <v>3090</v>
      </c>
      <c r="E36" t="s">
        <v>3091</v>
      </c>
      <c r="G36" t="s">
        <v>3071</v>
      </c>
      <c r="H36" t="s">
        <v>3072</v>
      </c>
      <c r="J36" t="s">
        <v>3092</v>
      </c>
      <c r="L36" t="s">
        <v>120</v>
      </c>
      <c r="M36" t="s">
        <v>139</v>
      </c>
      <c r="R36" t="s">
        <v>3091</v>
      </c>
      <c r="W36" t="s">
        <v>3091</v>
      </c>
      <c r="X36" t="s">
        <v>1166</v>
      </c>
      <c r="Y36" t="s">
        <v>293</v>
      </c>
      <c r="Z36" t="s">
        <v>111</v>
      </c>
      <c r="AA36" t="str">
        <f>"14850-1397"</f>
        <v>14850-1397</v>
      </c>
      <c r="AB36" t="s">
        <v>123</v>
      </c>
      <c r="AC36" t="s">
        <v>113</v>
      </c>
      <c r="AD36" t="s">
        <v>108</v>
      </c>
      <c r="AE36" t="s">
        <v>114</v>
      </c>
      <c r="AF36" t="s">
        <v>142</v>
      </c>
      <c r="AG36" t="s">
        <v>116</v>
      </c>
      <c r="AK36" t="str">
        <f t="shared" si="0"/>
        <v/>
      </c>
      <c r="AL36" t="s">
        <v>3090</v>
      </c>
      <c r="AM36">
        <v>1</v>
      </c>
      <c r="AN36">
        <v>1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 s="24">
        <f t="shared" si="4"/>
        <v>1</v>
      </c>
      <c r="AY36" s="24" t="str">
        <f t="shared" si="4"/>
        <v/>
      </c>
      <c r="AZ36" s="24" t="str">
        <f t="shared" si="4"/>
        <v/>
      </c>
      <c r="BA36" s="24" t="str">
        <f t="shared" si="4"/>
        <v/>
      </c>
      <c r="BB36" s="24" t="str">
        <f t="shared" si="4"/>
        <v/>
      </c>
      <c r="BC36" s="24" t="str">
        <f t="shared" si="4"/>
        <v/>
      </c>
      <c r="BD36" s="24" t="str">
        <f t="shared" si="4"/>
        <v/>
      </c>
      <c r="BE36" s="24" t="str">
        <f t="shared" si="4"/>
        <v/>
      </c>
      <c r="BF36" s="24" t="str">
        <f t="shared" si="4"/>
        <v/>
      </c>
      <c r="BG36" s="24" t="str">
        <f t="shared" si="4"/>
        <v/>
      </c>
      <c r="BH36" s="24" t="str">
        <f t="shared" si="3"/>
        <v/>
      </c>
      <c r="BI36" s="24">
        <f t="shared" si="4"/>
        <v>1</v>
      </c>
      <c r="BJ36" s="24" t="str">
        <f t="shared" si="5"/>
        <v/>
      </c>
    </row>
    <row r="37" spans="1:62" ht="15" customHeight="1" x14ac:dyDescent="0.25">
      <c r="A37" t="str">
        <f>"1699799528"</f>
        <v>1699799528</v>
      </c>
      <c r="B37" t="str">
        <f>"01957762"</f>
        <v>01957762</v>
      </c>
      <c r="C37" t="s">
        <v>3584</v>
      </c>
      <c r="D37" t="s">
        <v>3585</v>
      </c>
      <c r="E37" t="s">
        <v>3586</v>
      </c>
      <c r="G37" t="s">
        <v>3566</v>
      </c>
      <c r="H37" t="s">
        <v>3567</v>
      </c>
      <c r="J37" t="s">
        <v>3587</v>
      </c>
      <c r="L37" t="s">
        <v>138</v>
      </c>
      <c r="M37" t="s">
        <v>108</v>
      </c>
      <c r="R37" t="s">
        <v>3588</v>
      </c>
      <c r="W37" t="s">
        <v>3586</v>
      </c>
      <c r="Y37" t="s">
        <v>1152</v>
      </c>
      <c r="Z37" t="s">
        <v>111</v>
      </c>
      <c r="AA37" t="str">
        <f>"13326-1394"</f>
        <v>13326-1394</v>
      </c>
      <c r="AB37" t="s">
        <v>123</v>
      </c>
      <c r="AC37" t="s">
        <v>113</v>
      </c>
      <c r="AD37" t="s">
        <v>108</v>
      </c>
      <c r="AE37" t="s">
        <v>114</v>
      </c>
      <c r="AF37" t="s">
        <v>124</v>
      </c>
      <c r="AG37" t="s">
        <v>116</v>
      </c>
      <c r="AK37" t="str">
        <f t="shared" si="0"/>
        <v/>
      </c>
      <c r="AL37" t="s">
        <v>3585</v>
      </c>
      <c r="AM37">
        <v>1</v>
      </c>
      <c r="AN37">
        <v>1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 s="24" t="str">
        <f t="shared" si="4"/>
        <v/>
      </c>
      <c r="AY37" s="24">
        <f t="shared" si="4"/>
        <v>1</v>
      </c>
      <c r="AZ37" s="24" t="str">
        <f t="shared" si="4"/>
        <v/>
      </c>
      <c r="BA37" s="24" t="str">
        <f t="shared" si="4"/>
        <v/>
      </c>
      <c r="BB37" s="24" t="str">
        <f t="shared" si="4"/>
        <v/>
      </c>
      <c r="BC37" s="24" t="str">
        <f t="shared" si="4"/>
        <v/>
      </c>
      <c r="BD37" s="24" t="str">
        <f t="shared" si="4"/>
        <v/>
      </c>
      <c r="BE37" s="24" t="str">
        <f t="shared" si="4"/>
        <v/>
      </c>
      <c r="BF37" s="24" t="str">
        <f t="shared" si="4"/>
        <v/>
      </c>
      <c r="BG37" s="24" t="str">
        <f t="shared" si="4"/>
        <v/>
      </c>
      <c r="BH37" s="24" t="str">
        <f t="shared" si="3"/>
        <v/>
      </c>
      <c r="BI37" s="24">
        <f t="shared" si="4"/>
        <v>1</v>
      </c>
      <c r="BJ37" s="24" t="str">
        <f t="shared" si="5"/>
        <v/>
      </c>
    </row>
    <row r="38" spans="1:62" ht="15" customHeight="1" x14ac:dyDescent="0.25">
      <c r="A38" t="str">
        <f>"1346656675"</f>
        <v>1346656675</v>
      </c>
      <c r="B38" t="str">
        <f>"03894740"</f>
        <v>03894740</v>
      </c>
      <c r="C38" t="s">
        <v>6661</v>
      </c>
      <c r="D38" t="s">
        <v>6662</v>
      </c>
      <c r="E38" t="s">
        <v>6663</v>
      </c>
      <c r="G38" t="s">
        <v>1686</v>
      </c>
      <c r="H38" t="s">
        <v>1683</v>
      </c>
      <c r="J38" t="s">
        <v>6657</v>
      </c>
      <c r="L38" t="s">
        <v>6867</v>
      </c>
      <c r="M38" t="s">
        <v>108</v>
      </c>
      <c r="R38" t="s">
        <v>6663</v>
      </c>
      <c r="W38" t="s">
        <v>6663</v>
      </c>
      <c r="X38" t="s">
        <v>1333</v>
      </c>
      <c r="Y38" t="s">
        <v>293</v>
      </c>
      <c r="Z38" t="s">
        <v>111</v>
      </c>
      <c r="AA38" t="str">
        <f>"14850-4219"</f>
        <v>14850-4219</v>
      </c>
      <c r="AB38" t="s">
        <v>123</v>
      </c>
      <c r="AC38" t="s">
        <v>113</v>
      </c>
      <c r="AD38" t="s">
        <v>108</v>
      </c>
      <c r="AE38" t="s">
        <v>114</v>
      </c>
      <c r="AF38" t="s">
        <v>142</v>
      </c>
      <c r="AG38" t="s">
        <v>116</v>
      </c>
      <c r="AJ38" t="s">
        <v>7250</v>
      </c>
      <c r="AK38" t="str">
        <f t="shared" si="0"/>
        <v>Amy Aittama, FNP</v>
      </c>
      <c r="AL38" t="s">
        <v>6662</v>
      </c>
      <c r="AM38" t="s">
        <v>108</v>
      </c>
      <c r="AN38" t="s">
        <v>108</v>
      </c>
      <c r="AO38" t="s">
        <v>108</v>
      </c>
      <c r="AP38" t="s">
        <v>108</v>
      </c>
      <c r="AQ38" t="s">
        <v>108</v>
      </c>
      <c r="AR38" t="s">
        <v>108</v>
      </c>
      <c r="AS38" t="s">
        <v>108</v>
      </c>
      <c r="AT38" t="s">
        <v>108</v>
      </c>
      <c r="AU38">
        <v>0</v>
      </c>
      <c r="AV38" t="s">
        <v>108</v>
      </c>
      <c r="AW38" t="s">
        <v>108</v>
      </c>
      <c r="AX38" s="24">
        <f t="shared" si="4"/>
        <v>1</v>
      </c>
      <c r="AY38" s="24">
        <f t="shared" si="4"/>
        <v>1</v>
      </c>
      <c r="AZ38" s="24" t="str">
        <f t="shared" si="4"/>
        <v/>
      </c>
      <c r="BA38" s="24" t="str">
        <f t="shared" si="4"/>
        <v/>
      </c>
      <c r="BB38" s="24" t="str">
        <f t="shared" si="4"/>
        <v/>
      </c>
      <c r="BC38" s="24" t="str">
        <f t="shared" si="4"/>
        <v/>
      </c>
      <c r="BD38" s="24" t="str">
        <f t="shared" si="4"/>
        <v/>
      </c>
      <c r="BE38" s="24" t="str">
        <f t="shared" si="4"/>
        <v/>
      </c>
      <c r="BF38" s="24" t="str">
        <f t="shared" si="4"/>
        <v/>
      </c>
      <c r="BG38" s="24" t="str">
        <f t="shared" si="4"/>
        <v/>
      </c>
      <c r="BH38" s="24" t="str">
        <f t="shared" si="3"/>
        <v/>
      </c>
      <c r="BI38" s="24">
        <f t="shared" si="4"/>
        <v>1</v>
      </c>
      <c r="BJ38" s="24" t="str">
        <f t="shared" si="5"/>
        <v/>
      </c>
    </row>
    <row r="39" spans="1:62" ht="15" customHeight="1" x14ac:dyDescent="0.25">
      <c r="A39" t="str">
        <f>"1780752634"</f>
        <v>1780752634</v>
      </c>
      <c r="B39" t="str">
        <f>"03546105"</f>
        <v>03546105</v>
      </c>
      <c r="C39" t="s">
        <v>4224</v>
      </c>
      <c r="D39" t="s">
        <v>4225</v>
      </c>
      <c r="E39" t="s">
        <v>4226</v>
      </c>
      <c r="G39" t="s">
        <v>4220</v>
      </c>
      <c r="H39" t="s">
        <v>4221</v>
      </c>
      <c r="J39" t="s">
        <v>4227</v>
      </c>
      <c r="L39" t="s">
        <v>247</v>
      </c>
      <c r="M39" t="s">
        <v>108</v>
      </c>
      <c r="R39" t="s">
        <v>4226</v>
      </c>
      <c r="W39" t="s">
        <v>4226</v>
      </c>
      <c r="X39" t="s">
        <v>4228</v>
      </c>
      <c r="Y39" t="s">
        <v>293</v>
      </c>
      <c r="Z39" t="s">
        <v>111</v>
      </c>
      <c r="AA39" t="str">
        <f>"14850-3251"</f>
        <v>14850-3251</v>
      </c>
      <c r="AB39" t="s">
        <v>123</v>
      </c>
      <c r="AC39" t="s">
        <v>113</v>
      </c>
      <c r="AD39" t="s">
        <v>108</v>
      </c>
      <c r="AE39" t="s">
        <v>114</v>
      </c>
      <c r="AF39" t="s">
        <v>142</v>
      </c>
      <c r="AG39" t="s">
        <v>116</v>
      </c>
      <c r="AK39" t="str">
        <f t="shared" si="0"/>
        <v/>
      </c>
      <c r="AL39" t="s">
        <v>4225</v>
      </c>
      <c r="AM39">
        <v>1</v>
      </c>
      <c r="AN39">
        <v>1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 s="24" t="str">
        <f t="shared" si="4"/>
        <v/>
      </c>
      <c r="AY39" s="24">
        <f t="shared" si="4"/>
        <v>1</v>
      </c>
      <c r="AZ39" s="24" t="str">
        <f t="shared" si="4"/>
        <v/>
      </c>
      <c r="BA39" s="24" t="str">
        <f t="shared" ref="AZ39:BI64" si="6">IF(ISERROR(FIND(BA$1,$L39,1)),"",1)</f>
        <v/>
      </c>
      <c r="BB39" s="24" t="str">
        <f t="shared" si="6"/>
        <v/>
      </c>
      <c r="BC39" s="24" t="str">
        <f t="shared" si="6"/>
        <v/>
      </c>
      <c r="BD39" s="24" t="str">
        <f t="shared" si="6"/>
        <v/>
      </c>
      <c r="BE39" s="24" t="str">
        <f t="shared" si="6"/>
        <v/>
      </c>
      <c r="BF39" s="24" t="str">
        <f t="shared" si="6"/>
        <v/>
      </c>
      <c r="BG39" s="24" t="str">
        <f t="shared" si="6"/>
        <v/>
      </c>
      <c r="BH39" s="24" t="str">
        <f t="shared" si="3"/>
        <v/>
      </c>
      <c r="BI39" s="24" t="str">
        <f t="shared" si="6"/>
        <v/>
      </c>
      <c r="BJ39" s="24" t="str">
        <f t="shared" si="5"/>
        <v/>
      </c>
    </row>
    <row r="40" spans="1:62" ht="15" customHeight="1" x14ac:dyDescent="0.25">
      <c r="A40" t="str">
        <f>"1760482863"</f>
        <v>1760482863</v>
      </c>
      <c r="B40" t="str">
        <f>"01415796"</f>
        <v>01415796</v>
      </c>
      <c r="C40" t="s">
        <v>2680</v>
      </c>
      <c r="D40" t="s">
        <v>2681</v>
      </c>
      <c r="E40" t="s">
        <v>2682</v>
      </c>
      <c r="L40" t="s">
        <v>138</v>
      </c>
      <c r="M40" t="s">
        <v>108</v>
      </c>
      <c r="R40" t="s">
        <v>2680</v>
      </c>
      <c r="W40" t="s">
        <v>2682</v>
      </c>
      <c r="X40" t="s">
        <v>128</v>
      </c>
      <c r="Y40" t="s">
        <v>129</v>
      </c>
      <c r="Z40" t="s">
        <v>111</v>
      </c>
      <c r="AA40" t="str">
        <f>"13790-2544"</f>
        <v>13790-2544</v>
      </c>
      <c r="AB40" t="s">
        <v>123</v>
      </c>
      <c r="AC40" t="s">
        <v>113</v>
      </c>
      <c r="AD40" t="s">
        <v>108</v>
      </c>
      <c r="AE40" t="s">
        <v>114</v>
      </c>
      <c r="AF40" t="s">
        <v>115</v>
      </c>
      <c r="AG40" t="s">
        <v>116</v>
      </c>
      <c r="AK40" t="str">
        <f t="shared" si="0"/>
        <v/>
      </c>
      <c r="AL40" t="s">
        <v>2681</v>
      </c>
      <c r="AM40">
        <v>1</v>
      </c>
      <c r="AN40">
        <v>1</v>
      </c>
      <c r="AO40">
        <v>0</v>
      </c>
      <c r="AP40">
        <v>1</v>
      </c>
      <c r="AQ40">
        <v>1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 s="24" t="str">
        <f t="shared" ref="AX40:AY103" si="7">IF(ISERROR(FIND(AX$1,$L40,1)),"",1)</f>
        <v/>
      </c>
      <c r="AY40" s="24">
        <f t="shared" si="7"/>
        <v>1</v>
      </c>
      <c r="AZ40" s="24" t="str">
        <f t="shared" si="6"/>
        <v/>
      </c>
      <c r="BA40" s="24" t="str">
        <f t="shared" si="6"/>
        <v/>
      </c>
      <c r="BB40" s="24" t="str">
        <f t="shared" si="6"/>
        <v/>
      </c>
      <c r="BC40" s="24" t="str">
        <f t="shared" si="6"/>
        <v/>
      </c>
      <c r="BD40" s="24" t="str">
        <f t="shared" si="6"/>
        <v/>
      </c>
      <c r="BE40" s="24" t="str">
        <f t="shared" si="6"/>
        <v/>
      </c>
      <c r="BF40" s="24" t="str">
        <f t="shared" si="6"/>
        <v/>
      </c>
      <c r="BG40" s="24" t="str">
        <f t="shared" si="6"/>
        <v/>
      </c>
      <c r="BH40" s="24" t="str">
        <f t="shared" si="3"/>
        <v/>
      </c>
      <c r="BI40" s="24">
        <f t="shared" si="6"/>
        <v>1</v>
      </c>
      <c r="BJ40" s="24" t="str">
        <f t="shared" si="5"/>
        <v/>
      </c>
    </row>
    <row r="41" spans="1:62" ht="15" customHeight="1" x14ac:dyDescent="0.25">
      <c r="A41" t="str">
        <f>"1497989032"</f>
        <v>1497989032</v>
      </c>
      <c r="B41" t="str">
        <f>"03535004"</f>
        <v>03535004</v>
      </c>
      <c r="C41" t="s">
        <v>5458</v>
      </c>
      <c r="D41" t="s">
        <v>5459</v>
      </c>
      <c r="E41" t="s">
        <v>5460</v>
      </c>
      <c r="G41" t="s">
        <v>5458</v>
      </c>
      <c r="H41" t="s">
        <v>403</v>
      </c>
      <c r="J41" t="s">
        <v>5461</v>
      </c>
      <c r="L41" t="s">
        <v>247</v>
      </c>
      <c r="M41" t="s">
        <v>108</v>
      </c>
      <c r="R41" t="s">
        <v>5460</v>
      </c>
      <c r="W41" t="s">
        <v>5460</v>
      </c>
      <c r="X41" t="s">
        <v>406</v>
      </c>
      <c r="Y41" t="s">
        <v>129</v>
      </c>
      <c r="Z41" t="s">
        <v>111</v>
      </c>
      <c r="AA41" t="str">
        <f>"13790-2107"</f>
        <v>13790-2107</v>
      </c>
      <c r="AB41" t="s">
        <v>123</v>
      </c>
      <c r="AC41" t="s">
        <v>113</v>
      </c>
      <c r="AD41" t="s">
        <v>108</v>
      </c>
      <c r="AE41" t="s">
        <v>114</v>
      </c>
      <c r="AF41" t="s">
        <v>115</v>
      </c>
      <c r="AG41" t="s">
        <v>116</v>
      </c>
      <c r="AK41" t="str">
        <f t="shared" si="0"/>
        <v/>
      </c>
      <c r="AL41" t="s">
        <v>5459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 s="24" t="str">
        <f t="shared" si="7"/>
        <v/>
      </c>
      <c r="AY41" s="24">
        <f t="shared" si="7"/>
        <v>1</v>
      </c>
      <c r="AZ41" s="24" t="str">
        <f t="shared" si="6"/>
        <v/>
      </c>
      <c r="BA41" s="24" t="str">
        <f t="shared" si="6"/>
        <v/>
      </c>
      <c r="BB41" s="24" t="str">
        <f t="shared" si="6"/>
        <v/>
      </c>
      <c r="BC41" s="24" t="str">
        <f t="shared" si="6"/>
        <v/>
      </c>
      <c r="BD41" s="24" t="str">
        <f t="shared" si="6"/>
        <v/>
      </c>
      <c r="BE41" s="24" t="str">
        <f t="shared" si="6"/>
        <v/>
      </c>
      <c r="BF41" s="24" t="str">
        <f t="shared" si="6"/>
        <v/>
      </c>
      <c r="BG41" s="24" t="str">
        <f t="shared" si="6"/>
        <v/>
      </c>
      <c r="BH41" s="24" t="str">
        <f t="shared" si="3"/>
        <v/>
      </c>
      <c r="BI41" s="24" t="str">
        <f t="shared" si="6"/>
        <v/>
      </c>
      <c r="BJ41" s="24" t="str">
        <f t="shared" si="5"/>
        <v/>
      </c>
    </row>
    <row r="42" spans="1:62" ht="15" customHeight="1" x14ac:dyDescent="0.25">
      <c r="A42" t="str">
        <f>"1174880017"</f>
        <v>1174880017</v>
      </c>
      <c r="B42" t="str">
        <f>"03464037"</f>
        <v>03464037</v>
      </c>
      <c r="C42" t="s">
        <v>350</v>
      </c>
      <c r="D42" t="s">
        <v>351</v>
      </c>
      <c r="E42" t="s">
        <v>352</v>
      </c>
      <c r="G42" t="s">
        <v>350</v>
      </c>
      <c r="H42" t="s">
        <v>331</v>
      </c>
      <c r="J42" t="s">
        <v>353</v>
      </c>
      <c r="L42" t="s">
        <v>120</v>
      </c>
      <c r="M42" t="s">
        <v>108</v>
      </c>
      <c r="R42" t="s">
        <v>354</v>
      </c>
      <c r="W42" t="s">
        <v>352</v>
      </c>
      <c r="X42" t="s">
        <v>342</v>
      </c>
      <c r="Y42" t="s">
        <v>335</v>
      </c>
      <c r="Z42" t="s">
        <v>111</v>
      </c>
      <c r="AA42" t="str">
        <f>"13820-2239"</f>
        <v>13820-2239</v>
      </c>
      <c r="AB42" t="s">
        <v>123</v>
      </c>
      <c r="AC42" t="s">
        <v>113</v>
      </c>
      <c r="AD42" t="s">
        <v>108</v>
      </c>
      <c r="AE42" t="s">
        <v>114</v>
      </c>
      <c r="AF42" t="s">
        <v>124</v>
      </c>
      <c r="AG42" t="s">
        <v>116</v>
      </c>
      <c r="AK42" t="str">
        <f t="shared" si="0"/>
        <v/>
      </c>
      <c r="AL42" t="s">
        <v>351</v>
      </c>
      <c r="AM42">
        <v>1</v>
      </c>
      <c r="AN42">
        <v>1</v>
      </c>
      <c r="AO42">
        <v>0</v>
      </c>
      <c r="AP42">
        <v>1</v>
      </c>
      <c r="AQ42">
        <v>1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 s="24">
        <f t="shared" si="7"/>
        <v>1</v>
      </c>
      <c r="AY42" s="24" t="str">
        <f t="shared" si="7"/>
        <v/>
      </c>
      <c r="AZ42" s="24" t="str">
        <f t="shared" si="6"/>
        <v/>
      </c>
      <c r="BA42" s="24" t="str">
        <f t="shared" si="6"/>
        <v/>
      </c>
      <c r="BB42" s="24" t="str">
        <f t="shared" si="6"/>
        <v/>
      </c>
      <c r="BC42" s="24" t="str">
        <f t="shared" si="6"/>
        <v/>
      </c>
      <c r="BD42" s="24" t="str">
        <f t="shared" si="6"/>
        <v/>
      </c>
      <c r="BE42" s="24" t="str">
        <f t="shared" si="6"/>
        <v/>
      </c>
      <c r="BF42" s="24" t="str">
        <f t="shared" si="6"/>
        <v/>
      </c>
      <c r="BG42" s="24" t="str">
        <f t="shared" si="6"/>
        <v/>
      </c>
      <c r="BH42" s="24" t="str">
        <f t="shared" si="3"/>
        <v/>
      </c>
      <c r="BI42" s="24">
        <f t="shared" si="6"/>
        <v>1</v>
      </c>
      <c r="BJ42" s="24" t="str">
        <f t="shared" si="5"/>
        <v/>
      </c>
    </row>
    <row r="43" spans="1:62" ht="15" customHeight="1" x14ac:dyDescent="0.25">
      <c r="A43" t="str">
        <f>"1932492170"</f>
        <v>1932492170</v>
      </c>
      <c r="B43" t="str">
        <f>"04032380"</f>
        <v>04032380</v>
      </c>
      <c r="C43" t="s">
        <v>6151</v>
      </c>
      <c r="D43" t="s">
        <v>6152</v>
      </c>
      <c r="E43" t="s">
        <v>6153</v>
      </c>
      <c r="G43" t="s">
        <v>815</v>
      </c>
      <c r="H43" t="s">
        <v>816</v>
      </c>
      <c r="J43" t="s">
        <v>817</v>
      </c>
      <c r="L43" t="s">
        <v>442</v>
      </c>
      <c r="M43" t="s">
        <v>108</v>
      </c>
      <c r="R43" t="s">
        <v>6154</v>
      </c>
      <c r="W43" t="s">
        <v>6153</v>
      </c>
      <c r="X43" t="s">
        <v>6155</v>
      </c>
      <c r="Y43" t="s">
        <v>110</v>
      </c>
      <c r="Z43" t="s">
        <v>111</v>
      </c>
      <c r="AA43" t="str">
        <f>"13905-4197"</f>
        <v>13905-4197</v>
      </c>
      <c r="AB43" t="s">
        <v>123</v>
      </c>
      <c r="AC43" t="s">
        <v>113</v>
      </c>
      <c r="AD43" t="s">
        <v>108</v>
      </c>
      <c r="AE43" t="s">
        <v>114</v>
      </c>
      <c r="AF43" t="s">
        <v>115</v>
      </c>
      <c r="AG43" t="s">
        <v>116</v>
      </c>
      <c r="AJ43" t="s">
        <v>7249</v>
      </c>
      <c r="AK43" t="str">
        <f t="shared" si="0"/>
        <v>Andrea Hsue, MD</v>
      </c>
      <c r="AL43" t="s">
        <v>6152</v>
      </c>
      <c r="AM43" t="s">
        <v>108</v>
      </c>
      <c r="AN43" t="s">
        <v>108</v>
      </c>
      <c r="AO43" t="s">
        <v>108</v>
      </c>
      <c r="AP43" t="s">
        <v>108</v>
      </c>
      <c r="AQ43" t="s">
        <v>108</v>
      </c>
      <c r="AR43" t="s">
        <v>108</v>
      </c>
      <c r="AS43" t="s">
        <v>108</v>
      </c>
      <c r="AT43" t="s">
        <v>108</v>
      </c>
      <c r="AU43">
        <v>1</v>
      </c>
      <c r="AV43" t="s">
        <v>108</v>
      </c>
      <c r="AW43" t="s">
        <v>108</v>
      </c>
      <c r="AX43" s="24">
        <f t="shared" si="7"/>
        <v>1</v>
      </c>
      <c r="AY43" s="24" t="str">
        <f t="shared" si="7"/>
        <v/>
      </c>
      <c r="AZ43" s="24" t="str">
        <f t="shared" si="6"/>
        <v/>
      </c>
      <c r="BA43" s="24" t="str">
        <f t="shared" si="6"/>
        <v/>
      </c>
      <c r="BB43" s="24" t="str">
        <f t="shared" si="6"/>
        <v/>
      </c>
      <c r="BC43" s="24" t="str">
        <f t="shared" si="6"/>
        <v/>
      </c>
      <c r="BD43" s="24" t="str">
        <f t="shared" si="6"/>
        <v/>
      </c>
      <c r="BE43" s="24" t="str">
        <f t="shared" si="6"/>
        <v/>
      </c>
      <c r="BF43" s="24" t="str">
        <f t="shared" si="6"/>
        <v/>
      </c>
      <c r="BG43" s="24" t="str">
        <f t="shared" si="6"/>
        <v/>
      </c>
      <c r="BH43" s="24" t="str">
        <f t="shared" si="3"/>
        <v/>
      </c>
      <c r="BI43" s="24" t="str">
        <f t="shared" si="6"/>
        <v/>
      </c>
      <c r="BJ43" s="24" t="str">
        <f t="shared" si="5"/>
        <v/>
      </c>
    </row>
    <row r="44" spans="1:62" ht="15" customHeight="1" x14ac:dyDescent="0.25">
      <c r="A44" t="str">
        <f>"1316929110"</f>
        <v>1316929110</v>
      </c>
      <c r="B44" t="str">
        <f>"02271492"</f>
        <v>02271492</v>
      </c>
      <c r="C44" t="s">
        <v>3159</v>
      </c>
      <c r="D44" t="s">
        <v>3160</v>
      </c>
      <c r="E44" t="s">
        <v>3161</v>
      </c>
      <c r="G44" t="s">
        <v>3154</v>
      </c>
      <c r="H44" t="s">
        <v>3155</v>
      </c>
      <c r="J44" t="s">
        <v>3162</v>
      </c>
      <c r="L44" t="s">
        <v>120</v>
      </c>
      <c r="M44" t="s">
        <v>108</v>
      </c>
      <c r="R44" t="s">
        <v>3163</v>
      </c>
      <c r="W44" t="s">
        <v>3164</v>
      </c>
      <c r="X44" t="s">
        <v>3158</v>
      </c>
      <c r="Y44" t="s">
        <v>293</v>
      </c>
      <c r="Z44" t="s">
        <v>111</v>
      </c>
      <c r="AA44" t="str">
        <f>"14850-1055"</f>
        <v>14850-1055</v>
      </c>
      <c r="AB44" t="s">
        <v>123</v>
      </c>
      <c r="AC44" t="s">
        <v>113</v>
      </c>
      <c r="AD44" t="s">
        <v>108</v>
      </c>
      <c r="AE44" t="s">
        <v>114</v>
      </c>
      <c r="AF44" t="s">
        <v>142</v>
      </c>
      <c r="AG44" t="s">
        <v>116</v>
      </c>
      <c r="AK44" t="str">
        <f t="shared" si="0"/>
        <v/>
      </c>
      <c r="AL44" t="s">
        <v>3160</v>
      </c>
      <c r="AM44">
        <v>1</v>
      </c>
      <c r="AN44">
        <v>1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 s="24">
        <f t="shared" si="7"/>
        <v>1</v>
      </c>
      <c r="AY44" s="24" t="str">
        <f t="shared" si="7"/>
        <v/>
      </c>
      <c r="AZ44" s="24" t="str">
        <f t="shared" si="6"/>
        <v/>
      </c>
      <c r="BA44" s="24" t="str">
        <f t="shared" si="6"/>
        <v/>
      </c>
      <c r="BB44" s="24" t="str">
        <f t="shared" si="6"/>
        <v/>
      </c>
      <c r="BC44" s="24" t="str">
        <f t="shared" si="6"/>
        <v/>
      </c>
      <c r="BD44" s="24" t="str">
        <f t="shared" si="6"/>
        <v/>
      </c>
      <c r="BE44" s="24" t="str">
        <f t="shared" si="6"/>
        <v/>
      </c>
      <c r="BF44" s="24" t="str">
        <f t="shared" si="6"/>
        <v/>
      </c>
      <c r="BG44" s="24" t="str">
        <f t="shared" si="6"/>
        <v/>
      </c>
      <c r="BH44" s="24" t="str">
        <f t="shared" si="3"/>
        <v/>
      </c>
      <c r="BI44" s="24">
        <f t="shared" si="6"/>
        <v>1</v>
      </c>
      <c r="BJ44" s="24" t="str">
        <f t="shared" si="5"/>
        <v/>
      </c>
    </row>
    <row r="45" spans="1:62" ht="15" customHeight="1" x14ac:dyDescent="0.25">
      <c r="A45" t="str">
        <f>"1376733329"</f>
        <v>1376733329</v>
      </c>
      <c r="B45" t="str">
        <f>"03169046"</f>
        <v>03169046</v>
      </c>
      <c r="C45" t="s">
        <v>5302</v>
      </c>
      <c r="D45" t="s">
        <v>5303</v>
      </c>
      <c r="E45" t="s">
        <v>5304</v>
      </c>
      <c r="G45" t="s">
        <v>5294</v>
      </c>
      <c r="H45" t="s">
        <v>2626</v>
      </c>
      <c r="J45" t="s">
        <v>5305</v>
      </c>
      <c r="L45" t="s">
        <v>6868</v>
      </c>
      <c r="M45" t="s">
        <v>108</v>
      </c>
      <c r="R45" t="s">
        <v>5306</v>
      </c>
      <c r="W45" t="s">
        <v>5307</v>
      </c>
      <c r="X45" t="s">
        <v>302</v>
      </c>
      <c r="Y45" t="s">
        <v>293</v>
      </c>
      <c r="Z45" t="s">
        <v>111</v>
      </c>
      <c r="AA45" t="str">
        <f>"14850-1342"</f>
        <v>14850-1342</v>
      </c>
      <c r="AB45" t="s">
        <v>123</v>
      </c>
      <c r="AC45" t="s">
        <v>113</v>
      </c>
      <c r="AD45" t="s">
        <v>108</v>
      </c>
      <c r="AE45" t="s">
        <v>114</v>
      </c>
      <c r="AF45" t="s">
        <v>142</v>
      </c>
      <c r="AG45" t="s">
        <v>116</v>
      </c>
      <c r="AK45" t="str">
        <f t="shared" si="0"/>
        <v/>
      </c>
      <c r="AL45" t="s">
        <v>5303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 s="24">
        <f t="shared" si="7"/>
        <v>1</v>
      </c>
      <c r="AY45" s="24">
        <f t="shared" si="7"/>
        <v>1</v>
      </c>
      <c r="AZ45" s="24" t="str">
        <f t="shared" si="6"/>
        <v/>
      </c>
      <c r="BA45" s="24" t="str">
        <f t="shared" si="6"/>
        <v/>
      </c>
      <c r="BB45" s="24" t="str">
        <f t="shared" si="6"/>
        <v/>
      </c>
      <c r="BC45" s="24" t="str">
        <f t="shared" si="6"/>
        <v/>
      </c>
      <c r="BD45" s="24" t="str">
        <f t="shared" si="6"/>
        <v/>
      </c>
      <c r="BE45" s="24" t="str">
        <f t="shared" si="6"/>
        <v/>
      </c>
      <c r="BF45" s="24" t="str">
        <f t="shared" si="6"/>
        <v/>
      </c>
      <c r="BG45" s="24" t="str">
        <f t="shared" si="6"/>
        <v/>
      </c>
      <c r="BH45" s="24" t="str">
        <f t="shared" si="3"/>
        <v/>
      </c>
      <c r="BI45" s="24" t="str">
        <f t="shared" si="6"/>
        <v/>
      </c>
      <c r="BJ45" s="24" t="str">
        <f t="shared" si="5"/>
        <v/>
      </c>
    </row>
    <row r="46" spans="1:62" ht="15" customHeight="1" x14ac:dyDescent="0.25">
      <c r="A46" t="str">
        <f>"1114999703"</f>
        <v>1114999703</v>
      </c>
      <c r="B46" t="str">
        <f>"01646620"</f>
        <v>01646620</v>
      </c>
      <c r="C46" t="s">
        <v>3116</v>
      </c>
      <c r="D46" t="s">
        <v>3117</v>
      </c>
      <c r="E46" t="s">
        <v>3116</v>
      </c>
      <c r="G46" t="s">
        <v>699</v>
      </c>
      <c r="H46" t="s">
        <v>700</v>
      </c>
      <c r="J46" t="s">
        <v>701</v>
      </c>
      <c r="L46" t="s">
        <v>138</v>
      </c>
      <c r="M46" t="s">
        <v>108</v>
      </c>
      <c r="R46" t="s">
        <v>3118</v>
      </c>
      <c r="W46" t="s">
        <v>3116</v>
      </c>
      <c r="X46" t="s">
        <v>3119</v>
      </c>
      <c r="Y46" t="s">
        <v>3120</v>
      </c>
      <c r="Z46" t="s">
        <v>182</v>
      </c>
      <c r="AA46" t="str">
        <f>"18657-7913"</f>
        <v>18657-7913</v>
      </c>
      <c r="AB46" t="s">
        <v>123</v>
      </c>
      <c r="AC46" t="s">
        <v>113</v>
      </c>
      <c r="AD46" t="s">
        <v>108</v>
      </c>
      <c r="AE46" t="s">
        <v>114</v>
      </c>
      <c r="AF46" t="s">
        <v>149</v>
      </c>
      <c r="AG46" t="s">
        <v>116</v>
      </c>
      <c r="AK46" t="str">
        <f t="shared" si="0"/>
        <v/>
      </c>
      <c r="AL46" t="s">
        <v>3117</v>
      </c>
      <c r="AM46">
        <v>1</v>
      </c>
      <c r="AN46">
        <v>1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1</v>
      </c>
      <c r="AW46">
        <v>0</v>
      </c>
      <c r="AX46" s="24" t="str">
        <f t="shared" si="7"/>
        <v/>
      </c>
      <c r="AY46" s="24">
        <f t="shared" si="7"/>
        <v>1</v>
      </c>
      <c r="AZ46" s="24" t="str">
        <f t="shared" si="6"/>
        <v/>
      </c>
      <c r="BA46" s="24" t="str">
        <f t="shared" si="6"/>
        <v/>
      </c>
      <c r="BB46" s="24" t="str">
        <f t="shared" si="6"/>
        <v/>
      </c>
      <c r="BC46" s="24" t="str">
        <f t="shared" si="6"/>
        <v/>
      </c>
      <c r="BD46" s="24" t="str">
        <f t="shared" si="6"/>
        <v/>
      </c>
      <c r="BE46" s="24" t="str">
        <f t="shared" si="6"/>
        <v/>
      </c>
      <c r="BF46" s="24" t="str">
        <f t="shared" si="6"/>
        <v/>
      </c>
      <c r="BG46" s="24" t="str">
        <f t="shared" si="6"/>
        <v/>
      </c>
      <c r="BH46" s="24" t="str">
        <f t="shared" si="3"/>
        <v/>
      </c>
      <c r="BI46" s="24">
        <f t="shared" si="6"/>
        <v>1</v>
      </c>
      <c r="BJ46" s="24" t="str">
        <f t="shared" si="5"/>
        <v/>
      </c>
    </row>
    <row r="47" spans="1:62" ht="15" customHeight="1" x14ac:dyDescent="0.25">
      <c r="A47" t="str">
        <f>"1962458406"</f>
        <v>1962458406</v>
      </c>
      <c r="B47" t="str">
        <f>"02102803"</f>
        <v>02102803</v>
      </c>
      <c r="C47" t="s">
        <v>4217</v>
      </c>
      <c r="D47" t="s">
        <v>4218</v>
      </c>
      <c r="E47" t="s">
        <v>4219</v>
      </c>
      <c r="G47" t="s">
        <v>4220</v>
      </c>
      <c r="H47" t="s">
        <v>4221</v>
      </c>
      <c r="J47" t="s">
        <v>4222</v>
      </c>
      <c r="L47" t="s">
        <v>138</v>
      </c>
      <c r="M47" t="s">
        <v>108</v>
      </c>
      <c r="R47" t="s">
        <v>4223</v>
      </c>
      <c r="W47" t="s">
        <v>4219</v>
      </c>
      <c r="X47" t="s">
        <v>1830</v>
      </c>
      <c r="Y47" t="s">
        <v>321</v>
      </c>
      <c r="Z47" t="s">
        <v>111</v>
      </c>
      <c r="AA47" t="str">
        <f>"13760-4989"</f>
        <v>13760-4989</v>
      </c>
      <c r="AB47" t="s">
        <v>123</v>
      </c>
      <c r="AC47" t="s">
        <v>113</v>
      </c>
      <c r="AD47" t="s">
        <v>108</v>
      </c>
      <c r="AE47" t="s">
        <v>114</v>
      </c>
      <c r="AF47" t="s">
        <v>115</v>
      </c>
      <c r="AG47" t="s">
        <v>116</v>
      </c>
      <c r="AK47" t="str">
        <f t="shared" si="0"/>
        <v/>
      </c>
      <c r="AL47" t="s">
        <v>4218</v>
      </c>
      <c r="AM47">
        <v>1</v>
      </c>
      <c r="AN47">
        <v>1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 s="24" t="str">
        <f t="shared" si="7"/>
        <v/>
      </c>
      <c r="AY47" s="24">
        <f t="shared" si="7"/>
        <v>1</v>
      </c>
      <c r="AZ47" s="24" t="str">
        <f t="shared" si="6"/>
        <v/>
      </c>
      <c r="BA47" s="24" t="str">
        <f t="shared" si="6"/>
        <v/>
      </c>
      <c r="BB47" s="24" t="str">
        <f t="shared" si="6"/>
        <v/>
      </c>
      <c r="BC47" s="24" t="str">
        <f t="shared" si="6"/>
        <v/>
      </c>
      <c r="BD47" s="24" t="str">
        <f t="shared" si="6"/>
        <v/>
      </c>
      <c r="BE47" s="24" t="str">
        <f t="shared" si="6"/>
        <v/>
      </c>
      <c r="BF47" s="24" t="str">
        <f t="shared" si="6"/>
        <v/>
      </c>
      <c r="BG47" s="24" t="str">
        <f t="shared" si="6"/>
        <v/>
      </c>
      <c r="BH47" s="24" t="str">
        <f t="shared" si="3"/>
        <v/>
      </c>
      <c r="BI47" s="24">
        <f t="shared" si="6"/>
        <v>1</v>
      </c>
      <c r="BJ47" s="24" t="str">
        <f t="shared" si="5"/>
        <v/>
      </c>
    </row>
    <row r="48" spans="1:62" ht="15" customHeight="1" x14ac:dyDescent="0.25">
      <c r="A48" t="str">
        <f>"1326021023"</f>
        <v>1326021023</v>
      </c>
      <c r="B48" t="str">
        <f>"01672839"</f>
        <v>01672839</v>
      </c>
      <c r="C48" t="s">
        <v>3260</v>
      </c>
      <c r="D48" t="s">
        <v>3261</v>
      </c>
      <c r="E48" t="s">
        <v>3262</v>
      </c>
      <c r="G48" t="s">
        <v>3260</v>
      </c>
      <c r="H48" t="s">
        <v>3263</v>
      </c>
      <c r="J48" t="s">
        <v>3264</v>
      </c>
      <c r="L48" t="s">
        <v>247</v>
      </c>
      <c r="M48" t="s">
        <v>108</v>
      </c>
      <c r="R48" t="s">
        <v>3265</v>
      </c>
      <c r="W48" t="s">
        <v>3262</v>
      </c>
      <c r="X48" t="s">
        <v>1661</v>
      </c>
      <c r="Y48" t="s">
        <v>293</v>
      </c>
      <c r="Z48" t="s">
        <v>111</v>
      </c>
      <c r="AA48" t="str">
        <f>"14850-1345"</f>
        <v>14850-1345</v>
      </c>
      <c r="AB48" t="s">
        <v>123</v>
      </c>
      <c r="AC48" t="s">
        <v>113</v>
      </c>
      <c r="AD48" t="s">
        <v>108</v>
      </c>
      <c r="AE48" t="s">
        <v>114</v>
      </c>
      <c r="AF48" t="s">
        <v>142</v>
      </c>
      <c r="AG48" t="s">
        <v>116</v>
      </c>
      <c r="AK48" t="str">
        <f t="shared" si="0"/>
        <v/>
      </c>
      <c r="AL48" t="s">
        <v>3261</v>
      </c>
      <c r="AM48">
        <v>1</v>
      </c>
      <c r="AN48">
        <v>1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 s="24" t="str">
        <f t="shared" si="7"/>
        <v/>
      </c>
      <c r="AY48" s="24">
        <f t="shared" si="7"/>
        <v>1</v>
      </c>
      <c r="AZ48" s="24" t="str">
        <f t="shared" si="6"/>
        <v/>
      </c>
      <c r="BA48" s="24" t="str">
        <f t="shared" si="6"/>
        <v/>
      </c>
      <c r="BB48" s="24" t="str">
        <f t="shared" si="6"/>
        <v/>
      </c>
      <c r="BC48" s="24" t="str">
        <f t="shared" si="6"/>
        <v/>
      </c>
      <c r="BD48" s="24" t="str">
        <f t="shared" si="6"/>
        <v/>
      </c>
      <c r="BE48" s="24" t="str">
        <f t="shared" si="6"/>
        <v/>
      </c>
      <c r="BF48" s="24" t="str">
        <f t="shared" si="6"/>
        <v/>
      </c>
      <c r="BG48" s="24" t="str">
        <f t="shared" si="6"/>
        <v/>
      </c>
      <c r="BH48" s="24" t="str">
        <f t="shared" si="3"/>
        <v/>
      </c>
      <c r="BI48" s="24" t="str">
        <f t="shared" si="6"/>
        <v/>
      </c>
      <c r="BJ48" s="24" t="str">
        <f t="shared" si="5"/>
        <v/>
      </c>
    </row>
    <row r="49" spans="1:62" ht="15" customHeight="1" x14ac:dyDescent="0.25">
      <c r="A49" t="str">
        <f>"1679776199"</f>
        <v>1679776199</v>
      </c>
      <c r="B49" t="str">
        <f>"03688295"</f>
        <v>03688295</v>
      </c>
      <c r="C49" t="s">
        <v>656</v>
      </c>
      <c r="D49" t="s">
        <v>657</v>
      </c>
      <c r="E49" t="s">
        <v>658</v>
      </c>
      <c r="G49" t="s">
        <v>638</v>
      </c>
      <c r="H49" t="s">
        <v>645</v>
      </c>
      <c r="J49" t="s">
        <v>659</v>
      </c>
      <c r="L49" t="s">
        <v>247</v>
      </c>
      <c r="M49" t="s">
        <v>108</v>
      </c>
      <c r="R49" t="s">
        <v>660</v>
      </c>
      <c r="W49" t="s">
        <v>658</v>
      </c>
      <c r="X49" t="s">
        <v>583</v>
      </c>
      <c r="Y49" t="s">
        <v>293</v>
      </c>
      <c r="Z49" t="s">
        <v>111</v>
      </c>
      <c r="AA49" t="str">
        <f>"14850-1857"</f>
        <v>14850-1857</v>
      </c>
      <c r="AB49" t="s">
        <v>123</v>
      </c>
      <c r="AC49" t="s">
        <v>113</v>
      </c>
      <c r="AD49" t="s">
        <v>108</v>
      </c>
      <c r="AE49" t="s">
        <v>114</v>
      </c>
      <c r="AF49" t="s">
        <v>142</v>
      </c>
      <c r="AG49" t="s">
        <v>116</v>
      </c>
      <c r="AK49" t="str">
        <f t="shared" si="0"/>
        <v/>
      </c>
      <c r="AL49" t="s">
        <v>657</v>
      </c>
      <c r="AM49">
        <v>1</v>
      </c>
      <c r="AN49">
        <v>1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 s="24" t="str">
        <f t="shared" si="7"/>
        <v/>
      </c>
      <c r="AY49" s="24">
        <f t="shared" si="7"/>
        <v>1</v>
      </c>
      <c r="AZ49" s="24" t="str">
        <f t="shared" si="6"/>
        <v/>
      </c>
      <c r="BA49" s="24" t="str">
        <f t="shared" si="6"/>
        <v/>
      </c>
      <c r="BB49" s="24" t="str">
        <f t="shared" si="6"/>
        <v/>
      </c>
      <c r="BC49" s="24" t="str">
        <f t="shared" si="6"/>
        <v/>
      </c>
      <c r="BD49" s="24" t="str">
        <f t="shared" si="6"/>
        <v/>
      </c>
      <c r="BE49" s="24" t="str">
        <f t="shared" si="6"/>
        <v/>
      </c>
      <c r="BF49" s="24" t="str">
        <f t="shared" si="6"/>
        <v/>
      </c>
      <c r="BG49" s="24" t="str">
        <f t="shared" si="6"/>
        <v/>
      </c>
      <c r="BH49" s="24" t="str">
        <f t="shared" si="3"/>
        <v/>
      </c>
      <c r="BI49" s="24" t="str">
        <f t="shared" si="6"/>
        <v/>
      </c>
      <c r="BJ49" s="24" t="str">
        <f t="shared" si="5"/>
        <v/>
      </c>
    </row>
    <row r="50" spans="1:62" ht="15" customHeight="1" x14ac:dyDescent="0.25">
      <c r="A50" t="str">
        <f>"1083710321"</f>
        <v>1083710321</v>
      </c>
      <c r="B50" t="str">
        <f>"02491954"</f>
        <v>02491954</v>
      </c>
      <c r="C50" t="s">
        <v>1792</v>
      </c>
      <c r="D50" t="s">
        <v>1793</v>
      </c>
      <c r="E50" t="s">
        <v>1794</v>
      </c>
      <c r="G50" t="s">
        <v>815</v>
      </c>
      <c r="H50" t="s">
        <v>816</v>
      </c>
      <c r="J50" t="s">
        <v>817</v>
      </c>
      <c r="L50" t="s">
        <v>120</v>
      </c>
      <c r="M50" t="s">
        <v>139</v>
      </c>
      <c r="R50" t="s">
        <v>1792</v>
      </c>
      <c r="W50" t="s">
        <v>1794</v>
      </c>
      <c r="Y50" t="s">
        <v>110</v>
      </c>
      <c r="Z50" t="s">
        <v>111</v>
      </c>
      <c r="AA50" t="str">
        <f>"13904-1661"</f>
        <v>13904-1661</v>
      </c>
      <c r="AB50" t="s">
        <v>123</v>
      </c>
      <c r="AC50" t="s">
        <v>113</v>
      </c>
      <c r="AD50" t="s">
        <v>108</v>
      </c>
      <c r="AE50" t="s">
        <v>114</v>
      </c>
      <c r="AF50" t="s">
        <v>115</v>
      </c>
      <c r="AG50" t="s">
        <v>116</v>
      </c>
      <c r="AK50" t="str">
        <f t="shared" si="0"/>
        <v/>
      </c>
      <c r="AL50" t="s">
        <v>1793</v>
      </c>
      <c r="AM50">
        <v>1</v>
      </c>
      <c r="AN50">
        <v>1</v>
      </c>
      <c r="AO50">
        <v>0</v>
      </c>
      <c r="AP50">
        <v>1</v>
      </c>
      <c r="AQ50">
        <v>1</v>
      </c>
      <c r="AR50">
        <v>0</v>
      </c>
      <c r="AS50">
        <v>0</v>
      </c>
      <c r="AT50">
        <v>1</v>
      </c>
      <c r="AU50">
        <v>0</v>
      </c>
      <c r="AV50">
        <v>0</v>
      </c>
      <c r="AW50">
        <v>1</v>
      </c>
      <c r="AX50" s="24">
        <f t="shared" si="7"/>
        <v>1</v>
      </c>
      <c r="AY50" s="24" t="str">
        <f t="shared" si="7"/>
        <v/>
      </c>
      <c r="AZ50" s="24" t="str">
        <f t="shared" si="6"/>
        <v/>
      </c>
      <c r="BA50" s="24" t="str">
        <f t="shared" si="6"/>
        <v/>
      </c>
      <c r="BB50" s="24" t="str">
        <f t="shared" si="6"/>
        <v/>
      </c>
      <c r="BC50" s="24" t="str">
        <f t="shared" si="6"/>
        <v/>
      </c>
      <c r="BD50" s="24" t="str">
        <f t="shared" si="6"/>
        <v/>
      </c>
      <c r="BE50" s="24" t="str">
        <f t="shared" si="6"/>
        <v/>
      </c>
      <c r="BF50" s="24" t="str">
        <f t="shared" si="6"/>
        <v/>
      </c>
      <c r="BG50" s="24" t="str">
        <f t="shared" si="6"/>
        <v/>
      </c>
      <c r="BH50" s="24" t="str">
        <f t="shared" si="3"/>
        <v/>
      </c>
      <c r="BI50" s="24">
        <f t="shared" si="6"/>
        <v>1</v>
      </c>
      <c r="BJ50" s="24" t="str">
        <f t="shared" si="5"/>
        <v/>
      </c>
    </row>
    <row r="51" spans="1:62" ht="15" customHeight="1" x14ac:dyDescent="0.25">
      <c r="A51" t="str">
        <f>"1235125626"</f>
        <v>1235125626</v>
      </c>
      <c r="B51" t="str">
        <f>"00715215"</f>
        <v>00715215</v>
      </c>
      <c r="C51" t="s">
        <v>4248</v>
      </c>
      <c r="D51" t="s">
        <v>4249</v>
      </c>
      <c r="E51" t="s">
        <v>4250</v>
      </c>
      <c r="G51" t="s">
        <v>4251</v>
      </c>
      <c r="H51" t="s">
        <v>4252</v>
      </c>
      <c r="J51" t="s">
        <v>4253</v>
      </c>
      <c r="L51" t="s">
        <v>120</v>
      </c>
      <c r="M51" t="s">
        <v>108</v>
      </c>
      <c r="R51" t="s">
        <v>4254</v>
      </c>
      <c r="W51" t="s">
        <v>4255</v>
      </c>
      <c r="X51" t="s">
        <v>4256</v>
      </c>
      <c r="Y51" t="s">
        <v>293</v>
      </c>
      <c r="Z51" t="s">
        <v>111</v>
      </c>
      <c r="AA51" t="str">
        <f>"14850-4345"</f>
        <v>14850-4345</v>
      </c>
      <c r="AB51" t="s">
        <v>123</v>
      </c>
      <c r="AC51" t="s">
        <v>113</v>
      </c>
      <c r="AD51" t="s">
        <v>108</v>
      </c>
      <c r="AE51" t="s">
        <v>114</v>
      </c>
      <c r="AF51" t="s">
        <v>142</v>
      </c>
      <c r="AG51" t="s">
        <v>116</v>
      </c>
      <c r="AK51" t="str">
        <f t="shared" si="0"/>
        <v/>
      </c>
      <c r="AL51" t="s">
        <v>4249</v>
      </c>
      <c r="AM51">
        <v>1</v>
      </c>
      <c r="AN51">
        <v>1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 s="24">
        <f t="shared" si="7"/>
        <v>1</v>
      </c>
      <c r="AY51" s="24" t="str">
        <f t="shared" si="7"/>
        <v/>
      </c>
      <c r="AZ51" s="24" t="str">
        <f t="shared" si="6"/>
        <v/>
      </c>
      <c r="BA51" s="24" t="str">
        <f t="shared" si="6"/>
        <v/>
      </c>
      <c r="BB51" s="24" t="str">
        <f t="shared" si="6"/>
        <v/>
      </c>
      <c r="BC51" s="24" t="str">
        <f t="shared" si="6"/>
        <v/>
      </c>
      <c r="BD51" s="24" t="str">
        <f t="shared" si="6"/>
        <v/>
      </c>
      <c r="BE51" s="24" t="str">
        <f t="shared" si="6"/>
        <v/>
      </c>
      <c r="BF51" s="24" t="str">
        <f t="shared" si="6"/>
        <v/>
      </c>
      <c r="BG51" s="24" t="str">
        <f t="shared" si="6"/>
        <v/>
      </c>
      <c r="BH51" s="24" t="str">
        <f t="shared" si="3"/>
        <v/>
      </c>
      <c r="BI51" s="24">
        <f t="shared" si="6"/>
        <v>1</v>
      </c>
      <c r="BJ51" s="24" t="str">
        <f t="shared" si="5"/>
        <v/>
      </c>
    </row>
    <row r="52" spans="1:62" ht="15" customHeight="1" x14ac:dyDescent="0.25">
      <c r="A52" t="str">
        <f>"1023035706"</f>
        <v>1023035706</v>
      </c>
      <c r="B52" t="str">
        <f>"01720887"</f>
        <v>01720887</v>
      </c>
      <c r="C52" t="s">
        <v>6211</v>
      </c>
      <c r="D52" t="s">
        <v>6212</v>
      </c>
      <c r="E52" t="s">
        <v>6213</v>
      </c>
      <c r="G52" t="s">
        <v>815</v>
      </c>
      <c r="H52" t="s">
        <v>816</v>
      </c>
      <c r="J52" t="s">
        <v>817</v>
      </c>
      <c r="L52" t="s">
        <v>138</v>
      </c>
      <c r="M52" t="s">
        <v>108</v>
      </c>
      <c r="R52" t="s">
        <v>6214</v>
      </c>
      <c r="W52" t="s">
        <v>6213</v>
      </c>
      <c r="X52" t="s">
        <v>3410</v>
      </c>
      <c r="Y52" t="s">
        <v>1053</v>
      </c>
      <c r="Z52" t="s">
        <v>111</v>
      </c>
      <c r="AA52" t="str">
        <f>"14642-0001"</f>
        <v>14642-0001</v>
      </c>
      <c r="AB52" t="s">
        <v>123</v>
      </c>
      <c r="AC52" t="s">
        <v>113</v>
      </c>
      <c r="AD52" t="s">
        <v>108</v>
      </c>
      <c r="AE52" t="s">
        <v>114</v>
      </c>
      <c r="AF52" t="s">
        <v>115</v>
      </c>
      <c r="AG52" t="s">
        <v>116</v>
      </c>
      <c r="AJ52" t="s">
        <v>7249</v>
      </c>
      <c r="AK52" t="str">
        <f t="shared" si="0"/>
        <v>Anne M. Calkins, MD, FACEP</v>
      </c>
      <c r="AL52" t="s">
        <v>6212</v>
      </c>
      <c r="AM52" t="s">
        <v>108</v>
      </c>
      <c r="AN52" t="s">
        <v>108</v>
      </c>
      <c r="AO52" t="s">
        <v>108</v>
      </c>
      <c r="AP52" t="s">
        <v>108</v>
      </c>
      <c r="AQ52" t="s">
        <v>108</v>
      </c>
      <c r="AR52" t="s">
        <v>108</v>
      </c>
      <c r="AS52" t="s">
        <v>108</v>
      </c>
      <c r="AT52" t="s">
        <v>108</v>
      </c>
      <c r="AU52">
        <v>0</v>
      </c>
      <c r="AV52" t="s">
        <v>108</v>
      </c>
      <c r="AW52" t="s">
        <v>108</v>
      </c>
      <c r="AX52" s="24" t="str">
        <f t="shared" si="7"/>
        <v/>
      </c>
      <c r="AY52" s="24">
        <f t="shared" si="7"/>
        <v>1</v>
      </c>
      <c r="AZ52" s="24" t="str">
        <f t="shared" si="6"/>
        <v/>
      </c>
      <c r="BA52" s="24" t="str">
        <f t="shared" si="6"/>
        <v/>
      </c>
      <c r="BB52" s="24" t="str">
        <f t="shared" si="6"/>
        <v/>
      </c>
      <c r="BC52" s="24" t="str">
        <f t="shared" si="6"/>
        <v/>
      </c>
      <c r="BD52" s="24" t="str">
        <f t="shared" si="6"/>
        <v/>
      </c>
      <c r="BE52" s="24" t="str">
        <f t="shared" si="6"/>
        <v/>
      </c>
      <c r="BF52" s="24" t="str">
        <f t="shared" si="6"/>
        <v/>
      </c>
      <c r="BG52" s="24" t="str">
        <f t="shared" si="6"/>
        <v/>
      </c>
      <c r="BH52" s="24" t="str">
        <f t="shared" si="3"/>
        <v/>
      </c>
      <c r="BI52" s="24">
        <f t="shared" si="6"/>
        <v>1</v>
      </c>
      <c r="BJ52" s="24" t="str">
        <f t="shared" si="5"/>
        <v/>
      </c>
    </row>
    <row r="53" spans="1:62" ht="15" customHeight="1" x14ac:dyDescent="0.25">
      <c r="A53" t="str">
        <f>"1528012408"</f>
        <v>1528012408</v>
      </c>
      <c r="B53" t="str">
        <f>"02770854"</f>
        <v>02770854</v>
      </c>
      <c r="C53" t="s">
        <v>1758</v>
      </c>
      <c r="D53" t="s">
        <v>1759</v>
      </c>
      <c r="E53" t="s">
        <v>1760</v>
      </c>
      <c r="G53" t="s">
        <v>815</v>
      </c>
      <c r="H53" t="s">
        <v>816</v>
      </c>
      <c r="J53" t="s">
        <v>817</v>
      </c>
      <c r="L53" t="s">
        <v>138</v>
      </c>
      <c r="M53" t="s">
        <v>108</v>
      </c>
      <c r="R53" t="s">
        <v>1758</v>
      </c>
      <c r="W53" t="s">
        <v>1761</v>
      </c>
      <c r="X53" t="s">
        <v>1762</v>
      </c>
      <c r="Y53" t="s">
        <v>110</v>
      </c>
      <c r="Z53" t="s">
        <v>111</v>
      </c>
      <c r="AA53" t="str">
        <f>"13905-4246"</f>
        <v>13905-4246</v>
      </c>
      <c r="AB53" t="s">
        <v>123</v>
      </c>
      <c r="AC53" t="s">
        <v>113</v>
      </c>
      <c r="AD53" t="s">
        <v>108</v>
      </c>
      <c r="AE53" t="s">
        <v>114</v>
      </c>
      <c r="AF53" t="s">
        <v>115</v>
      </c>
      <c r="AG53" t="s">
        <v>116</v>
      </c>
      <c r="AK53" t="str">
        <f t="shared" si="0"/>
        <v/>
      </c>
      <c r="AL53" t="s">
        <v>1759</v>
      </c>
      <c r="AM53">
        <v>1</v>
      </c>
      <c r="AN53">
        <v>1</v>
      </c>
      <c r="AO53">
        <v>0</v>
      </c>
      <c r="AP53">
        <v>1</v>
      </c>
      <c r="AQ53">
        <v>1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 s="24" t="str">
        <f t="shared" si="7"/>
        <v/>
      </c>
      <c r="AY53" s="24">
        <f t="shared" si="7"/>
        <v>1</v>
      </c>
      <c r="AZ53" s="24" t="str">
        <f t="shared" si="6"/>
        <v/>
      </c>
      <c r="BA53" s="24" t="str">
        <f t="shared" si="6"/>
        <v/>
      </c>
      <c r="BB53" s="24" t="str">
        <f t="shared" si="6"/>
        <v/>
      </c>
      <c r="BC53" s="24" t="str">
        <f t="shared" si="6"/>
        <v/>
      </c>
      <c r="BD53" s="24" t="str">
        <f t="shared" si="6"/>
        <v/>
      </c>
      <c r="BE53" s="24" t="str">
        <f t="shared" si="6"/>
        <v/>
      </c>
      <c r="BF53" s="24" t="str">
        <f t="shared" si="6"/>
        <v/>
      </c>
      <c r="BG53" s="24" t="str">
        <f t="shared" si="6"/>
        <v/>
      </c>
      <c r="BH53" s="24" t="str">
        <f t="shared" si="3"/>
        <v/>
      </c>
      <c r="BI53" s="24">
        <f t="shared" si="6"/>
        <v>1</v>
      </c>
      <c r="BJ53" s="24" t="str">
        <f t="shared" si="5"/>
        <v/>
      </c>
    </row>
    <row r="54" spans="1:62" ht="15" customHeight="1" x14ac:dyDescent="0.25">
      <c r="A54" t="str">
        <f>"1912991209"</f>
        <v>1912991209</v>
      </c>
      <c r="B54" t="str">
        <f>"01233641"</f>
        <v>01233641</v>
      </c>
      <c r="C54" t="s">
        <v>1123</v>
      </c>
      <c r="D54" t="s">
        <v>1124</v>
      </c>
      <c r="E54" t="s">
        <v>1125</v>
      </c>
      <c r="G54" t="s">
        <v>1126</v>
      </c>
      <c r="H54" t="s">
        <v>1127</v>
      </c>
      <c r="J54" t="s">
        <v>1128</v>
      </c>
      <c r="L54" t="s">
        <v>138</v>
      </c>
      <c r="M54" t="s">
        <v>108</v>
      </c>
      <c r="R54" t="s">
        <v>1129</v>
      </c>
      <c r="W54" t="s">
        <v>1125</v>
      </c>
      <c r="X54" t="s">
        <v>302</v>
      </c>
      <c r="Y54" t="s">
        <v>293</v>
      </c>
      <c r="Z54" t="s">
        <v>111</v>
      </c>
      <c r="AA54" t="str">
        <f>"14850-1342"</f>
        <v>14850-1342</v>
      </c>
      <c r="AB54" t="s">
        <v>123</v>
      </c>
      <c r="AC54" t="s">
        <v>113</v>
      </c>
      <c r="AD54" t="s">
        <v>108</v>
      </c>
      <c r="AE54" t="s">
        <v>114</v>
      </c>
      <c r="AF54" t="s">
        <v>142</v>
      </c>
      <c r="AG54" t="s">
        <v>116</v>
      </c>
      <c r="AK54" t="str">
        <f t="shared" si="0"/>
        <v/>
      </c>
      <c r="AL54" t="s">
        <v>1124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 s="24" t="str">
        <f t="shared" si="7"/>
        <v/>
      </c>
      <c r="AY54" s="24">
        <f t="shared" si="7"/>
        <v>1</v>
      </c>
      <c r="AZ54" s="24" t="str">
        <f t="shared" si="6"/>
        <v/>
      </c>
      <c r="BA54" s="24" t="str">
        <f t="shared" si="6"/>
        <v/>
      </c>
      <c r="BB54" s="24" t="str">
        <f t="shared" si="6"/>
        <v/>
      </c>
      <c r="BC54" s="24" t="str">
        <f t="shared" si="6"/>
        <v/>
      </c>
      <c r="BD54" s="24" t="str">
        <f t="shared" si="6"/>
        <v/>
      </c>
      <c r="BE54" s="24" t="str">
        <f t="shared" si="6"/>
        <v/>
      </c>
      <c r="BF54" s="24" t="str">
        <f t="shared" si="6"/>
        <v/>
      </c>
      <c r="BG54" s="24" t="str">
        <f t="shared" si="6"/>
        <v/>
      </c>
      <c r="BH54" s="24" t="str">
        <f t="shared" si="3"/>
        <v/>
      </c>
      <c r="BI54" s="24">
        <f t="shared" si="6"/>
        <v>1</v>
      </c>
      <c r="BJ54" s="24" t="str">
        <f t="shared" si="5"/>
        <v/>
      </c>
    </row>
    <row r="55" spans="1:62" ht="15" customHeight="1" x14ac:dyDescent="0.25">
      <c r="A55" t="str">
        <f>"1033189931"</f>
        <v>1033189931</v>
      </c>
      <c r="B55" t="str">
        <f>"01744949"</f>
        <v>01744949</v>
      </c>
      <c r="C55" t="s">
        <v>3411</v>
      </c>
      <c r="D55" t="s">
        <v>3412</v>
      </c>
      <c r="E55" t="s">
        <v>3413</v>
      </c>
      <c r="G55" t="s">
        <v>3096</v>
      </c>
      <c r="H55" t="s">
        <v>3097</v>
      </c>
      <c r="J55" t="s">
        <v>3414</v>
      </c>
      <c r="L55" t="s">
        <v>138</v>
      </c>
      <c r="M55" t="s">
        <v>108</v>
      </c>
      <c r="R55" t="s">
        <v>3415</v>
      </c>
      <c r="W55" t="s">
        <v>3413</v>
      </c>
      <c r="X55" t="s">
        <v>3416</v>
      </c>
      <c r="Y55" t="s">
        <v>293</v>
      </c>
      <c r="Z55" t="s">
        <v>111</v>
      </c>
      <c r="AA55" t="str">
        <f>"14850-1383"</f>
        <v>14850-1383</v>
      </c>
      <c r="AB55" t="s">
        <v>123</v>
      </c>
      <c r="AC55" t="s">
        <v>113</v>
      </c>
      <c r="AD55" t="s">
        <v>108</v>
      </c>
      <c r="AE55" t="s">
        <v>114</v>
      </c>
      <c r="AF55" t="s">
        <v>142</v>
      </c>
      <c r="AG55" t="s">
        <v>116</v>
      </c>
      <c r="AK55" t="str">
        <f t="shared" si="0"/>
        <v/>
      </c>
      <c r="AL55" t="s">
        <v>3412</v>
      </c>
      <c r="AM55">
        <v>1</v>
      </c>
      <c r="AN55">
        <v>1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 s="24" t="str">
        <f t="shared" si="7"/>
        <v/>
      </c>
      <c r="AY55" s="24">
        <f t="shared" si="7"/>
        <v>1</v>
      </c>
      <c r="AZ55" s="24" t="str">
        <f t="shared" si="6"/>
        <v/>
      </c>
      <c r="BA55" s="24" t="str">
        <f t="shared" si="6"/>
        <v/>
      </c>
      <c r="BB55" s="24" t="str">
        <f t="shared" si="6"/>
        <v/>
      </c>
      <c r="BC55" s="24" t="str">
        <f t="shared" si="6"/>
        <v/>
      </c>
      <c r="BD55" s="24" t="str">
        <f t="shared" si="6"/>
        <v/>
      </c>
      <c r="BE55" s="24" t="str">
        <f t="shared" si="6"/>
        <v/>
      </c>
      <c r="BF55" s="24" t="str">
        <f t="shared" si="6"/>
        <v/>
      </c>
      <c r="BG55" s="24" t="str">
        <f t="shared" si="6"/>
        <v/>
      </c>
      <c r="BH55" s="24" t="str">
        <f t="shared" si="3"/>
        <v/>
      </c>
      <c r="BI55" s="24">
        <f t="shared" si="6"/>
        <v>1</v>
      </c>
      <c r="BJ55" s="24" t="str">
        <f t="shared" si="5"/>
        <v/>
      </c>
    </row>
    <row r="56" spans="1:62" ht="15" customHeight="1" x14ac:dyDescent="0.25">
      <c r="A56" t="str">
        <f>"1083741656"</f>
        <v>1083741656</v>
      </c>
      <c r="B56" t="str">
        <f>"02985922"</f>
        <v>02985922</v>
      </c>
      <c r="C56" t="s">
        <v>933</v>
      </c>
      <c r="D56" t="s">
        <v>934</v>
      </c>
      <c r="E56" t="s">
        <v>935</v>
      </c>
      <c r="G56" t="s">
        <v>638</v>
      </c>
      <c r="H56" t="s">
        <v>639</v>
      </c>
      <c r="J56" t="s">
        <v>936</v>
      </c>
      <c r="L56" t="s">
        <v>138</v>
      </c>
      <c r="M56" t="s">
        <v>108</v>
      </c>
      <c r="R56" t="s">
        <v>937</v>
      </c>
      <c r="W56" t="s">
        <v>935</v>
      </c>
      <c r="X56" t="s">
        <v>238</v>
      </c>
      <c r="Y56" t="s">
        <v>239</v>
      </c>
      <c r="Z56" t="s">
        <v>111</v>
      </c>
      <c r="AA56" t="str">
        <f>"13045-1206"</f>
        <v>13045-1206</v>
      </c>
      <c r="AB56" t="s">
        <v>123</v>
      </c>
      <c r="AC56" t="s">
        <v>113</v>
      </c>
      <c r="AD56" t="s">
        <v>108</v>
      </c>
      <c r="AE56" t="s">
        <v>114</v>
      </c>
      <c r="AF56" t="s">
        <v>142</v>
      </c>
      <c r="AG56" t="s">
        <v>116</v>
      </c>
      <c r="AK56" t="str">
        <f t="shared" si="0"/>
        <v/>
      </c>
      <c r="AL56" t="s">
        <v>934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 s="24" t="str">
        <f t="shared" si="7"/>
        <v/>
      </c>
      <c r="AY56" s="24">
        <f t="shared" si="7"/>
        <v>1</v>
      </c>
      <c r="AZ56" s="24" t="str">
        <f t="shared" si="6"/>
        <v/>
      </c>
      <c r="BA56" s="24" t="str">
        <f t="shared" si="6"/>
        <v/>
      </c>
      <c r="BB56" s="24" t="str">
        <f t="shared" si="6"/>
        <v/>
      </c>
      <c r="BC56" s="24" t="str">
        <f t="shared" si="6"/>
        <v/>
      </c>
      <c r="BD56" s="24" t="str">
        <f t="shared" si="6"/>
        <v/>
      </c>
      <c r="BE56" s="24" t="str">
        <f t="shared" si="6"/>
        <v/>
      </c>
      <c r="BF56" s="24" t="str">
        <f t="shared" si="6"/>
        <v/>
      </c>
      <c r="BG56" s="24" t="str">
        <f t="shared" si="6"/>
        <v/>
      </c>
      <c r="BH56" s="24" t="str">
        <f t="shared" si="3"/>
        <v/>
      </c>
      <c r="BI56" s="24">
        <f t="shared" si="6"/>
        <v>1</v>
      </c>
      <c r="BJ56" s="24" t="str">
        <f t="shared" si="5"/>
        <v/>
      </c>
    </row>
    <row r="57" spans="1:62" ht="15" customHeight="1" x14ac:dyDescent="0.25">
      <c r="A57" t="str">
        <f>"1417929480"</f>
        <v>1417929480</v>
      </c>
      <c r="B57" t="str">
        <f>"00785204"</f>
        <v>00785204</v>
      </c>
      <c r="C57" t="s">
        <v>211</v>
      </c>
      <c r="D57" t="s">
        <v>212</v>
      </c>
      <c r="E57" t="s">
        <v>213</v>
      </c>
      <c r="G57" t="s">
        <v>177</v>
      </c>
      <c r="H57" t="s">
        <v>178</v>
      </c>
      <c r="J57" t="s">
        <v>179</v>
      </c>
      <c r="L57" t="s">
        <v>138</v>
      </c>
      <c r="M57" t="s">
        <v>108</v>
      </c>
      <c r="R57" t="s">
        <v>211</v>
      </c>
      <c r="W57" t="s">
        <v>213</v>
      </c>
      <c r="X57" t="s">
        <v>186</v>
      </c>
      <c r="Y57" t="s">
        <v>181</v>
      </c>
      <c r="Z57" t="s">
        <v>182</v>
      </c>
      <c r="AA57" t="str">
        <f>"18840"</f>
        <v>18840</v>
      </c>
      <c r="AB57" t="s">
        <v>123</v>
      </c>
      <c r="AC57" t="s">
        <v>113</v>
      </c>
      <c r="AD57" t="s">
        <v>108</v>
      </c>
      <c r="AE57" t="s">
        <v>114</v>
      </c>
      <c r="AF57" t="s">
        <v>115</v>
      </c>
      <c r="AG57" t="s">
        <v>116</v>
      </c>
      <c r="AK57" t="str">
        <f t="shared" si="0"/>
        <v/>
      </c>
      <c r="AL57" t="s">
        <v>212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 s="24" t="str">
        <f t="shared" si="7"/>
        <v/>
      </c>
      <c r="AY57" s="24">
        <f t="shared" si="7"/>
        <v>1</v>
      </c>
      <c r="AZ57" s="24" t="str">
        <f t="shared" si="6"/>
        <v/>
      </c>
      <c r="BA57" s="24" t="str">
        <f t="shared" si="6"/>
        <v/>
      </c>
      <c r="BB57" s="24" t="str">
        <f t="shared" si="6"/>
        <v/>
      </c>
      <c r="BC57" s="24" t="str">
        <f t="shared" si="6"/>
        <v/>
      </c>
      <c r="BD57" s="24" t="str">
        <f t="shared" si="6"/>
        <v/>
      </c>
      <c r="BE57" s="24" t="str">
        <f t="shared" si="6"/>
        <v/>
      </c>
      <c r="BF57" s="24" t="str">
        <f t="shared" si="6"/>
        <v/>
      </c>
      <c r="BG57" s="24" t="str">
        <f t="shared" si="6"/>
        <v/>
      </c>
      <c r="BH57" s="24" t="str">
        <f t="shared" si="3"/>
        <v/>
      </c>
      <c r="BI57" s="24">
        <f t="shared" si="6"/>
        <v>1</v>
      </c>
      <c r="BJ57" s="24" t="str">
        <f t="shared" si="5"/>
        <v/>
      </c>
    </row>
    <row r="58" spans="1:62" ht="15" customHeight="1" x14ac:dyDescent="0.25">
      <c r="A58" t="str">
        <f>"1912974643"</f>
        <v>1912974643</v>
      </c>
      <c r="B58" t="str">
        <f>"01036451"</f>
        <v>01036451</v>
      </c>
      <c r="C58" t="s">
        <v>2315</v>
      </c>
      <c r="D58" t="s">
        <v>2316</v>
      </c>
      <c r="E58" t="s">
        <v>2317</v>
      </c>
      <c r="G58" t="s">
        <v>177</v>
      </c>
      <c r="H58" t="s">
        <v>178</v>
      </c>
      <c r="J58" t="s">
        <v>179</v>
      </c>
      <c r="L58" t="s">
        <v>138</v>
      </c>
      <c r="M58" t="s">
        <v>108</v>
      </c>
      <c r="R58" t="s">
        <v>2315</v>
      </c>
      <c r="W58" t="s">
        <v>2317</v>
      </c>
      <c r="X58" t="s">
        <v>196</v>
      </c>
      <c r="Y58" t="s">
        <v>181</v>
      </c>
      <c r="Z58" t="s">
        <v>182</v>
      </c>
      <c r="AA58" t="str">
        <f>"18840-1625"</f>
        <v>18840-1625</v>
      </c>
      <c r="AB58" t="s">
        <v>123</v>
      </c>
      <c r="AC58" t="s">
        <v>113</v>
      </c>
      <c r="AD58" t="s">
        <v>108</v>
      </c>
      <c r="AE58" t="s">
        <v>114</v>
      </c>
      <c r="AF58" t="s">
        <v>115</v>
      </c>
      <c r="AG58" t="s">
        <v>116</v>
      </c>
      <c r="AK58" t="str">
        <f t="shared" si="0"/>
        <v/>
      </c>
      <c r="AL58" t="s">
        <v>2316</v>
      </c>
      <c r="AM58">
        <v>1</v>
      </c>
      <c r="AN58">
        <v>1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1</v>
      </c>
      <c r="AW58">
        <v>0</v>
      </c>
      <c r="AX58" s="24" t="str">
        <f t="shared" si="7"/>
        <v/>
      </c>
      <c r="AY58" s="24">
        <f t="shared" si="7"/>
        <v>1</v>
      </c>
      <c r="AZ58" s="24" t="str">
        <f t="shared" si="6"/>
        <v/>
      </c>
      <c r="BA58" s="24" t="str">
        <f t="shared" si="6"/>
        <v/>
      </c>
      <c r="BB58" s="24" t="str">
        <f t="shared" si="6"/>
        <v/>
      </c>
      <c r="BC58" s="24" t="str">
        <f t="shared" si="6"/>
        <v/>
      </c>
      <c r="BD58" s="24" t="str">
        <f t="shared" si="6"/>
        <v/>
      </c>
      <c r="BE58" s="24" t="str">
        <f t="shared" si="6"/>
        <v/>
      </c>
      <c r="BF58" s="24" t="str">
        <f t="shared" si="6"/>
        <v/>
      </c>
      <c r="BG58" s="24" t="str">
        <f t="shared" si="6"/>
        <v/>
      </c>
      <c r="BH58" s="24" t="str">
        <f t="shared" si="3"/>
        <v/>
      </c>
      <c r="BI58" s="24">
        <f t="shared" si="6"/>
        <v>1</v>
      </c>
      <c r="BJ58" s="24" t="str">
        <f t="shared" si="5"/>
        <v/>
      </c>
    </row>
    <row r="59" spans="1:62" ht="15" customHeight="1" x14ac:dyDescent="0.25">
      <c r="A59" t="str">
        <f>"1609864792"</f>
        <v>1609864792</v>
      </c>
      <c r="B59" t="str">
        <f>"02140701"</f>
        <v>02140701</v>
      </c>
      <c r="C59" t="s">
        <v>1745</v>
      </c>
      <c r="D59" t="s">
        <v>1746</v>
      </c>
      <c r="E59" t="s">
        <v>1747</v>
      </c>
      <c r="G59" t="s">
        <v>815</v>
      </c>
      <c r="H59" t="s">
        <v>816</v>
      </c>
      <c r="J59" t="s">
        <v>817</v>
      </c>
      <c r="L59" t="s">
        <v>120</v>
      </c>
      <c r="M59" t="s">
        <v>139</v>
      </c>
      <c r="R59" t="s">
        <v>1745</v>
      </c>
      <c r="W59" t="s">
        <v>1747</v>
      </c>
      <c r="X59" t="s">
        <v>1748</v>
      </c>
      <c r="Y59" t="s">
        <v>1749</v>
      </c>
      <c r="Z59" t="s">
        <v>111</v>
      </c>
      <c r="AA59" t="str">
        <f>"10924-1964"</f>
        <v>10924-1964</v>
      </c>
      <c r="AB59" t="s">
        <v>123</v>
      </c>
      <c r="AC59" t="s">
        <v>113</v>
      </c>
      <c r="AD59" t="s">
        <v>108</v>
      </c>
      <c r="AE59" t="s">
        <v>114</v>
      </c>
      <c r="AF59" t="s">
        <v>115</v>
      </c>
      <c r="AG59" t="s">
        <v>116</v>
      </c>
      <c r="AK59" t="str">
        <f t="shared" si="0"/>
        <v/>
      </c>
      <c r="AL59" t="s">
        <v>1746</v>
      </c>
      <c r="AM59">
        <v>1</v>
      </c>
      <c r="AN59">
        <v>1</v>
      </c>
      <c r="AO59">
        <v>0</v>
      </c>
      <c r="AP59">
        <v>1</v>
      </c>
      <c r="AQ59">
        <v>1</v>
      </c>
      <c r="AR59">
        <v>0</v>
      </c>
      <c r="AS59">
        <v>0</v>
      </c>
      <c r="AT59">
        <v>1</v>
      </c>
      <c r="AU59">
        <v>0</v>
      </c>
      <c r="AV59">
        <v>0</v>
      </c>
      <c r="AW59">
        <v>1</v>
      </c>
      <c r="AX59" s="24">
        <f t="shared" si="7"/>
        <v>1</v>
      </c>
      <c r="AY59" s="24" t="str">
        <f t="shared" si="7"/>
        <v/>
      </c>
      <c r="AZ59" s="24" t="str">
        <f t="shared" si="6"/>
        <v/>
      </c>
      <c r="BA59" s="24" t="str">
        <f t="shared" si="6"/>
        <v/>
      </c>
      <c r="BB59" s="24" t="str">
        <f t="shared" si="6"/>
        <v/>
      </c>
      <c r="BC59" s="24" t="str">
        <f t="shared" si="6"/>
        <v/>
      </c>
      <c r="BD59" s="24" t="str">
        <f t="shared" si="6"/>
        <v/>
      </c>
      <c r="BE59" s="24" t="str">
        <f t="shared" si="6"/>
        <v/>
      </c>
      <c r="BF59" s="24" t="str">
        <f t="shared" si="6"/>
        <v/>
      </c>
      <c r="BG59" s="24" t="str">
        <f t="shared" si="6"/>
        <v/>
      </c>
      <c r="BH59" s="24" t="str">
        <f t="shared" si="3"/>
        <v/>
      </c>
      <c r="BI59" s="24">
        <f t="shared" si="6"/>
        <v>1</v>
      </c>
      <c r="BJ59" s="24" t="str">
        <f t="shared" si="5"/>
        <v/>
      </c>
    </row>
    <row r="60" spans="1:62" ht="15" customHeight="1" x14ac:dyDescent="0.25">
      <c r="A60" t="str">
        <f>"1407867310"</f>
        <v>1407867310</v>
      </c>
      <c r="B60" t="str">
        <f>"03200979"</f>
        <v>03200979</v>
      </c>
      <c r="C60" t="s">
        <v>5153</v>
      </c>
      <c r="D60" t="s">
        <v>5154</v>
      </c>
      <c r="E60" t="s">
        <v>5153</v>
      </c>
      <c r="L60" t="s">
        <v>809</v>
      </c>
      <c r="M60" t="s">
        <v>108</v>
      </c>
      <c r="R60" t="s">
        <v>5153</v>
      </c>
      <c r="W60" t="s">
        <v>5153</v>
      </c>
      <c r="X60" t="s">
        <v>810</v>
      </c>
      <c r="Y60" t="s">
        <v>110</v>
      </c>
      <c r="Z60" t="s">
        <v>111</v>
      </c>
      <c r="AA60" t="str">
        <f>"13905-2522"</f>
        <v>13905-2522</v>
      </c>
      <c r="AB60" t="s">
        <v>811</v>
      </c>
      <c r="AC60" t="s">
        <v>113</v>
      </c>
      <c r="AD60" t="s">
        <v>108</v>
      </c>
      <c r="AE60" t="s">
        <v>114</v>
      </c>
      <c r="AF60" t="s">
        <v>115</v>
      </c>
      <c r="AG60" t="s">
        <v>116</v>
      </c>
      <c r="AK60" t="str">
        <f t="shared" si="0"/>
        <v/>
      </c>
      <c r="AL60" t="s">
        <v>5154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 s="24" t="str">
        <f t="shared" si="7"/>
        <v/>
      </c>
      <c r="AY60" s="24">
        <f t="shared" si="7"/>
        <v>1</v>
      </c>
      <c r="AZ60" s="24" t="str">
        <f t="shared" si="6"/>
        <v/>
      </c>
      <c r="BA60" s="24" t="str">
        <f t="shared" si="6"/>
        <v/>
      </c>
      <c r="BB60" s="24" t="str">
        <f t="shared" si="6"/>
        <v/>
      </c>
      <c r="BC60" s="24">
        <f t="shared" si="6"/>
        <v>1</v>
      </c>
      <c r="BD60" s="24" t="str">
        <f t="shared" si="6"/>
        <v/>
      </c>
      <c r="BE60" s="24" t="str">
        <f t="shared" si="6"/>
        <v/>
      </c>
      <c r="BF60" s="24" t="str">
        <f t="shared" si="6"/>
        <v/>
      </c>
      <c r="BG60" s="24" t="str">
        <f t="shared" si="6"/>
        <v/>
      </c>
      <c r="BH60" s="24" t="str">
        <f t="shared" si="3"/>
        <v/>
      </c>
      <c r="BI60" s="24" t="str">
        <f t="shared" si="6"/>
        <v/>
      </c>
      <c r="BJ60" s="24" t="str">
        <f t="shared" si="5"/>
        <v/>
      </c>
    </row>
    <row r="61" spans="1:62" ht="15" customHeight="1" x14ac:dyDescent="0.25">
      <c r="A61" t="str">
        <f>"1073654919"</f>
        <v>1073654919</v>
      </c>
      <c r="B61" t="str">
        <f>"03476551"</f>
        <v>03476551</v>
      </c>
      <c r="C61" t="s">
        <v>2728</v>
      </c>
      <c r="D61" t="s">
        <v>2729</v>
      </c>
      <c r="E61" t="s">
        <v>2730</v>
      </c>
      <c r="G61" t="s">
        <v>177</v>
      </c>
      <c r="H61" t="s">
        <v>178</v>
      </c>
      <c r="J61" t="s">
        <v>179</v>
      </c>
      <c r="L61" t="s">
        <v>138</v>
      </c>
      <c r="M61" t="s">
        <v>108</v>
      </c>
      <c r="R61" t="s">
        <v>2728</v>
      </c>
      <c r="W61" t="s">
        <v>2730</v>
      </c>
      <c r="X61" t="s">
        <v>196</v>
      </c>
      <c r="Y61" t="s">
        <v>181</v>
      </c>
      <c r="Z61" t="s">
        <v>182</v>
      </c>
      <c r="AA61" t="str">
        <f>"18840-1625"</f>
        <v>18840-1625</v>
      </c>
      <c r="AB61" t="s">
        <v>123</v>
      </c>
      <c r="AC61" t="s">
        <v>113</v>
      </c>
      <c r="AD61" t="s">
        <v>108</v>
      </c>
      <c r="AE61" t="s">
        <v>114</v>
      </c>
      <c r="AF61" t="s">
        <v>115</v>
      </c>
      <c r="AG61" t="s">
        <v>116</v>
      </c>
      <c r="AK61" t="str">
        <f t="shared" si="0"/>
        <v/>
      </c>
      <c r="AL61" t="s">
        <v>2729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 s="24" t="str">
        <f t="shared" si="7"/>
        <v/>
      </c>
      <c r="AY61" s="24">
        <f t="shared" si="7"/>
        <v>1</v>
      </c>
      <c r="AZ61" s="24" t="str">
        <f t="shared" si="6"/>
        <v/>
      </c>
      <c r="BA61" s="24" t="str">
        <f t="shared" si="6"/>
        <v/>
      </c>
      <c r="BB61" s="24" t="str">
        <f t="shared" si="6"/>
        <v/>
      </c>
      <c r="BC61" s="24" t="str">
        <f t="shared" si="6"/>
        <v/>
      </c>
      <c r="BD61" s="24" t="str">
        <f t="shared" si="6"/>
        <v/>
      </c>
      <c r="BE61" s="24" t="str">
        <f t="shared" si="6"/>
        <v/>
      </c>
      <c r="BF61" s="24" t="str">
        <f t="shared" si="6"/>
        <v/>
      </c>
      <c r="BG61" s="24" t="str">
        <f t="shared" si="6"/>
        <v/>
      </c>
      <c r="BH61" s="24" t="str">
        <f t="shared" si="3"/>
        <v/>
      </c>
      <c r="BI61" s="24">
        <f t="shared" si="6"/>
        <v>1</v>
      </c>
      <c r="BJ61" s="24" t="str">
        <f t="shared" si="5"/>
        <v/>
      </c>
    </row>
    <row r="62" spans="1:62" ht="15" customHeight="1" x14ac:dyDescent="0.25">
      <c r="A62" t="str">
        <f>"1659535151"</f>
        <v>1659535151</v>
      </c>
      <c r="B62" t="str">
        <f>"03117402"</f>
        <v>03117402</v>
      </c>
      <c r="C62" t="s">
        <v>1916</v>
      </c>
      <c r="D62" t="s">
        <v>1917</v>
      </c>
      <c r="E62" t="s">
        <v>1918</v>
      </c>
      <c r="L62" t="s">
        <v>809</v>
      </c>
      <c r="M62" t="s">
        <v>108</v>
      </c>
      <c r="R62" t="s">
        <v>1916</v>
      </c>
      <c r="W62" t="s">
        <v>1919</v>
      </c>
      <c r="X62" t="s">
        <v>1920</v>
      </c>
      <c r="Y62" t="s">
        <v>110</v>
      </c>
      <c r="Z62" t="s">
        <v>111</v>
      </c>
      <c r="AA62" t="str">
        <f>"13903-1674"</f>
        <v>13903-1674</v>
      </c>
      <c r="AB62" t="s">
        <v>123</v>
      </c>
      <c r="AC62" t="s">
        <v>113</v>
      </c>
      <c r="AD62" t="s">
        <v>108</v>
      </c>
      <c r="AE62" t="s">
        <v>114</v>
      </c>
      <c r="AF62" t="s">
        <v>115</v>
      </c>
      <c r="AG62" t="s">
        <v>116</v>
      </c>
      <c r="AK62" t="str">
        <f t="shared" si="0"/>
        <v/>
      </c>
      <c r="AL62" t="s">
        <v>1917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 s="24" t="str">
        <f t="shared" si="7"/>
        <v/>
      </c>
      <c r="AY62" s="24">
        <f t="shared" si="7"/>
        <v>1</v>
      </c>
      <c r="AZ62" s="24" t="str">
        <f t="shared" si="6"/>
        <v/>
      </c>
      <c r="BA62" s="24" t="str">
        <f t="shared" si="6"/>
        <v/>
      </c>
      <c r="BB62" s="24" t="str">
        <f t="shared" si="6"/>
        <v/>
      </c>
      <c r="BC62" s="24">
        <f t="shared" si="6"/>
        <v>1</v>
      </c>
      <c r="BD62" s="24" t="str">
        <f t="shared" si="6"/>
        <v/>
      </c>
      <c r="BE62" s="24" t="str">
        <f t="shared" si="6"/>
        <v/>
      </c>
      <c r="BF62" s="24" t="str">
        <f t="shared" si="6"/>
        <v/>
      </c>
      <c r="BG62" s="24" t="str">
        <f t="shared" si="6"/>
        <v/>
      </c>
      <c r="BH62" s="24" t="str">
        <f t="shared" si="3"/>
        <v/>
      </c>
      <c r="BI62" s="24" t="str">
        <f t="shared" si="6"/>
        <v/>
      </c>
      <c r="BJ62" s="24" t="str">
        <f t="shared" si="5"/>
        <v/>
      </c>
    </row>
    <row r="63" spans="1:62" ht="15" customHeight="1" x14ac:dyDescent="0.25">
      <c r="A63" t="str">
        <f>"1184618621"</f>
        <v>1184618621</v>
      </c>
      <c r="C63" t="s">
        <v>4813</v>
      </c>
      <c r="G63" t="s">
        <v>4813</v>
      </c>
      <c r="H63" t="s">
        <v>4814</v>
      </c>
      <c r="J63" t="s">
        <v>4815</v>
      </c>
      <c r="K63" t="s">
        <v>13</v>
      </c>
      <c r="L63" t="s">
        <v>133</v>
      </c>
      <c r="M63" t="s">
        <v>108</v>
      </c>
      <c r="R63" t="s">
        <v>4816</v>
      </c>
      <c r="S63" t="s">
        <v>4817</v>
      </c>
      <c r="T63" t="s">
        <v>321</v>
      </c>
      <c r="U63" t="s">
        <v>111</v>
      </c>
      <c r="V63" t="str">
        <f>"137605036"</f>
        <v>137605036</v>
      </c>
      <c r="AC63" t="s">
        <v>113</v>
      </c>
      <c r="AD63" t="s">
        <v>108</v>
      </c>
      <c r="AE63" t="s">
        <v>775</v>
      </c>
      <c r="AF63" t="s">
        <v>115</v>
      </c>
      <c r="AG63" t="s">
        <v>116</v>
      </c>
      <c r="AJ63" t="s">
        <v>7248</v>
      </c>
      <c r="AK63" t="str">
        <f t="shared" si="0"/>
        <v>Arjun J. Patel, M.D.</v>
      </c>
      <c r="AM63" t="s">
        <v>108</v>
      </c>
      <c r="AN63" t="s">
        <v>108</v>
      </c>
      <c r="AO63" t="s">
        <v>108</v>
      </c>
      <c r="AP63" t="s">
        <v>108</v>
      </c>
      <c r="AQ63" t="s">
        <v>108</v>
      </c>
      <c r="AR63" t="s">
        <v>108</v>
      </c>
      <c r="AS63" t="s">
        <v>108</v>
      </c>
      <c r="AT63" t="s">
        <v>108</v>
      </c>
      <c r="AU63">
        <v>0</v>
      </c>
      <c r="AV63" t="s">
        <v>108</v>
      </c>
      <c r="AW63" t="s">
        <v>108</v>
      </c>
      <c r="AX63" s="24" t="str">
        <f t="shared" si="7"/>
        <v/>
      </c>
      <c r="AY63" s="24" t="str">
        <f t="shared" si="7"/>
        <v/>
      </c>
      <c r="AZ63" s="24" t="str">
        <f t="shared" si="6"/>
        <v/>
      </c>
      <c r="BA63" s="24" t="str">
        <f t="shared" si="6"/>
        <v/>
      </c>
      <c r="BB63" s="24" t="str">
        <f t="shared" si="6"/>
        <v/>
      </c>
      <c r="BC63" s="24" t="str">
        <f t="shared" si="6"/>
        <v/>
      </c>
      <c r="BD63" s="24" t="str">
        <f t="shared" si="6"/>
        <v/>
      </c>
      <c r="BE63" s="24" t="str">
        <f t="shared" si="6"/>
        <v/>
      </c>
      <c r="BF63" s="24" t="str">
        <f t="shared" si="6"/>
        <v/>
      </c>
      <c r="BG63" s="24" t="str">
        <f t="shared" si="6"/>
        <v/>
      </c>
      <c r="BH63" s="24" t="str">
        <f t="shared" si="3"/>
        <v/>
      </c>
      <c r="BI63" s="24" t="str">
        <f t="shared" si="6"/>
        <v/>
      </c>
      <c r="BJ63" s="24">
        <f t="shared" si="5"/>
        <v>1</v>
      </c>
    </row>
    <row r="64" spans="1:62" ht="15" customHeight="1" x14ac:dyDescent="0.25">
      <c r="A64" t="str">
        <f>"1679545651"</f>
        <v>1679545651</v>
      </c>
      <c r="B64" t="str">
        <f>"00994981"</f>
        <v>00994981</v>
      </c>
      <c r="C64" t="s">
        <v>3121</v>
      </c>
      <c r="D64" t="s">
        <v>3122</v>
      </c>
      <c r="E64" t="s">
        <v>3123</v>
      </c>
      <c r="G64" t="s">
        <v>699</v>
      </c>
      <c r="H64" t="s">
        <v>700</v>
      </c>
      <c r="J64" t="s">
        <v>701</v>
      </c>
      <c r="L64" t="s">
        <v>120</v>
      </c>
      <c r="M64" t="s">
        <v>108</v>
      </c>
      <c r="R64" t="s">
        <v>3124</v>
      </c>
      <c r="W64" t="s">
        <v>3121</v>
      </c>
      <c r="X64" t="s">
        <v>3125</v>
      </c>
      <c r="Y64" t="s">
        <v>927</v>
      </c>
      <c r="Z64" t="s">
        <v>111</v>
      </c>
      <c r="AA64" t="str">
        <f>"14901"</f>
        <v>14901</v>
      </c>
      <c r="AB64" t="s">
        <v>123</v>
      </c>
      <c r="AC64" t="s">
        <v>113</v>
      </c>
      <c r="AD64" t="s">
        <v>108</v>
      </c>
      <c r="AE64" t="s">
        <v>114</v>
      </c>
      <c r="AF64" t="s">
        <v>149</v>
      </c>
      <c r="AG64" t="s">
        <v>116</v>
      </c>
      <c r="AK64" t="str">
        <f t="shared" si="0"/>
        <v/>
      </c>
      <c r="AL64" t="s">
        <v>3122</v>
      </c>
      <c r="AM64">
        <v>1</v>
      </c>
      <c r="AN64">
        <v>1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1</v>
      </c>
      <c r="AU64">
        <v>1</v>
      </c>
      <c r="AV64">
        <v>1</v>
      </c>
      <c r="AW64">
        <v>0</v>
      </c>
      <c r="AX64" s="24">
        <f t="shared" si="7"/>
        <v>1</v>
      </c>
      <c r="AY64" s="24" t="str">
        <f t="shared" si="7"/>
        <v/>
      </c>
      <c r="AZ64" s="24" t="str">
        <f t="shared" si="6"/>
        <v/>
      </c>
      <c r="BA64" s="24" t="str">
        <f t="shared" si="6"/>
        <v/>
      </c>
      <c r="BB64" s="24" t="str">
        <f t="shared" si="6"/>
        <v/>
      </c>
      <c r="BC64" s="24" t="str">
        <f t="shared" si="6"/>
        <v/>
      </c>
      <c r="BD64" s="24" t="str">
        <f t="shared" si="6"/>
        <v/>
      </c>
      <c r="BE64" s="24" t="str">
        <f t="shared" si="6"/>
        <v/>
      </c>
      <c r="BF64" s="24" t="str">
        <f t="shared" ref="AZ64:BI90" si="8">IF(ISERROR(FIND(BF$1,$L64,1)),"",1)</f>
        <v/>
      </c>
      <c r="BG64" s="24" t="str">
        <f t="shared" si="8"/>
        <v/>
      </c>
      <c r="BH64" s="24" t="str">
        <f t="shared" si="3"/>
        <v/>
      </c>
      <c r="BI64" s="24">
        <f t="shared" si="8"/>
        <v>1</v>
      </c>
      <c r="BJ64" s="24" t="str">
        <f t="shared" si="5"/>
        <v/>
      </c>
    </row>
    <row r="65" spans="1:62" x14ac:dyDescent="0.25">
      <c r="A65" t="str">
        <f>"1083605661"</f>
        <v>1083605661</v>
      </c>
      <c r="B65" t="str">
        <f>"00363199"</f>
        <v>00363199</v>
      </c>
      <c r="C65" t="s">
        <v>6267</v>
      </c>
      <c r="D65" t="s">
        <v>6268</v>
      </c>
      <c r="E65" t="s">
        <v>6269</v>
      </c>
      <c r="G65" t="s">
        <v>6270</v>
      </c>
      <c r="H65" t="s">
        <v>6271</v>
      </c>
      <c r="J65" t="s">
        <v>6272</v>
      </c>
      <c r="L65" t="s">
        <v>1362</v>
      </c>
      <c r="M65" t="s">
        <v>139</v>
      </c>
      <c r="R65" t="s">
        <v>6269</v>
      </c>
      <c r="W65" t="s">
        <v>6269</v>
      </c>
      <c r="X65" t="s">
        <v>2097</v>
      </c>
      <c r="Y65" t="s">
        <v>927</v>
      </c>
      <c r="Z65" t="s">
        <v>111</v>
      </c>
      <c r="AA65" t="str">
        <f>"14905-1629"</f>
        <v>14905-1629</v>
      </c>
      <c r="AB65" t="s">
        <v>385</v>
      </c>
      <c r="AC65" t="s">
        <v>113</v>
      </c>
      <c r="AD65" t="s">
        <v>108</v>
      </c>
      <c r="AE65" t="s">
        <v>114</v>
      </c>
      <c r="AF65" t="s">
        <v>149</v>
      </c>
      <c r="AG65" t="s">
        <v>116</v>
      </c>
      <c r="AL65" t="s">
        <v>6268</v>
      </c>
      <c r="AM65">
        <v>1</v>
      </c>
      <c r="AN65" t="s">
        <v>108</v>
      </c>
      <c r="AO65" t="s">
        <v>108</v>
      </c>
      <c r="AP65" t="s">
        <v>108</v>
      </c>
      <c r="AQ65" t="s">
        <v>108</v>
      </c>
      <c r="AR65" t="s">
        <v>108</v>
      </c>
      <c r="AS65" t="s">
        <v>108</v>
      </c>
      <c r="AT65" t="s">
        <v>108</v>
      </c>
      <c r="AU65">
        <v>0</v>
      </c>
      <c r="AV65" t="s">
        <v>108</v>
      </c>
      <c r="AW65" t="s">
        <v>108</v>
      </c>
      <c r="AX65" s="24" t="str">
        <f t="shared" si="7"/>
        <v/>
      </c>
      <c r="AY65" s="24" t="str">
        <f t="shared" si="7"/>
        <v/>
      </c>
      <c r="AZ65" s="24">
        <f t="shared" si="8"/>
        <v>1</v>
      </c>
      <c r="BA65" s="24">
        <f t="shared" si="8"/>
        <v>1</v>
      </c>
      <c r="BB65" s="24" t="str">
        <f t="shared" si="8"/>
        <v/>
      </c>
      <c r="BC65" s="24" t="str">
        <f t="shared" si="8"/>
        <v/>
      </c>
      <c r="BD65" s="24" t="str">
        <f t="shared" si="8"/>
        <v/>
      </c>
      <c r="BE65" s="24" t="str">
        <f t="shared" si="8"/>
        <v/>
      </c>
      <c r="BF65" s="24" t="str">
        <f t="shared" si="8"/>
        <v/>
      </c>
      <c r="BG65" s="24" t="str">
        <f t="shared" si="8"/>
        <v/>
      </c>
      <c r="BH65" s="24" t="str">
        <f t="shared" si="3"/>
        <v/>
      </c>
      <c r="BI65" s="24">
        <f t="shared" si="8"/>
        <v>1</v>
      </c>
      <c r="BJ65" s="24" t="str">
        <f t="shared" si="5"/>
        <v/>
      </c>
    </row>
    <row r="66" spans="1:62" ht="15" customHeight="1" x14ac:dyDescent="0.25">
      <c r="A66" t="str">
        <f>"1326013632"</f>
        <v>1326013632</v>
      </c>
      <c r="B66" t="str">
        <f>"01972150"</f>
        <v>01972150</v>
      </c>
      <c r="C66" t="s">
        <v>5089</v>
      </c>
      <c r="D66" t="s">
        <v>5090</v>
      </c>
      <c r="E66" t="s">
        <v>5091</v>
      </c>
      <c r="L66" t="s">
        <v>138</v>
      </c>
      <c r="M66" t="s">
        <v>108</v>
      </c>
      <c r="R66" t="s">
        <v>5089</v>
      </c>
      <c r="W66" t="s">
        <v>5091</v>
      </c>
      <c r="X66" t="s">
        <v>5092</v>
      </c>
      <c r="Y66" t="s">
        <v>5093</v>
      </c>
      <c r="Z66" t="s">
        <v>111</v>
      </c>
      <c r="AA66" t="str">
        <f>"12953-1250"</f>
        <v>12953-1250</v>
      </c>
      <c r="AB66" t="s">
        <v>123</v>
      </c>
      <c r="AC66" t="s">
        <v>113</v>
      </c>
      <c r="AD66" t="s">
        <v>108</v>
      </c>
      <c r="AE66" t="s">
        <v>114</v>
      </c>
      <c r="AF66" t="s">
        <v>115</v>
      </c>
      <c r="AG66" t="s">
        <v>116</v>
      </c>
      <c r="AK66" t="str">
        <f t="shared" ref="AK66:AK129" si="9">IF(AM66="No",C66,"")</f>
        <v/>
      </c>
      <c r="AL66" t="s">
        <v>5090</v>
      </c>
      <c r="AM66">
        <v>1</v>
      </c>
      <c r="AN66">
        <v>1</v>
      </c>
      <c r="AO66">
        <v>0</v>
      </c>
      <c r="AP66">
        <v>1</v>
      </c>
      <c r="AQ66">
        <v>1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 s="24" t="str">
        <f t="shared" si="7"/>
        <v/>
      </c>
      <c r="AY66" s="24">
        <f t="shared" si="7"/>
        <v>1</v>
      </c>
      <c r="AZ66" s="24" t="str">
        <f t="shared" si="8"/>
        <v/>
      </c>
      <c r="BA66" s="24" t="str">
        <f t="shared" si="8"/>
        <v/>
      </c>
      <c r="BB66" s="24" t="str">
        <f t="shared" si="8"/>
        <v/>
      </c>
      <c r="BC66" s="24" t="str">
        <f t="shared" si="8"/>
        <v/>
      </c>
      <c r="BD66" s="24" t="str">
        <f t="shared" si="8"/>
        <v/>
      </c>
      <c r="BE66" s="24" t="str">
        <f t="shared" si="8"/>
        <v/>
      </c>
      <c r="BF66" s="24" t="str">
        <f t="shared" si="8"/>
        <v/>
      </c>
      <c r="BG66" s="24" t="str">
        <f t="shared" si="8"/>
        <v/>
      </c>
      <c r="BH66" s="24" t="str">
        <f t="shared" si="3"/>
        <v/>
      </c>
      <c r="BI66" s="24">
        <f t="shared" si="8"/>
        <v>1</v>
      </c>
      <c r="BJ66" s="24" t="str">
        <f t="shared" si="5"/>
        <v/>
      </c>
    </row>
    <row r="67" spans="1:62" ht="15" customHeight="1" x14ac:dyDescent="0.25">
      <c r="A67" t="str">
        <f>"1689835431"</f>
        <v>1689835431</v>
      </c>
      <c r="B67" t="str">
        <f>"03368650"</f>
        <v>03368650</v>
      </c>
      <c r="C67" t="s">
        <v>3126</v>
      </c>
      <c r="D67" t="s">
        <v>3127</v>
      </c>
      <c r="E67" t="s">
        <v>3126</v>
      </c>
      <c r="G67" t="s">
        <v>699</v>
      </c>
      <c r="H67" t="s">
        <v>700</v>
      </c>
      <c r="J67" t="s">
        <v>701</v>
      </c>
      <c r="L67" t="s">
        <v>120</v>
      </c>
      <c r="M67" t="s">
        <v>108</v>
      </c>
      <c r="R67" t="s">
        <v>3128</v>
      </c>
      <c r="W67" t="s">
        <v>3126</v>
      </c>
      <c r="X67" t="s">
        <v>3129</v>
      </c>
      <c r="Y67" t="s">
        <v>966</v>
      </c>
      <c r="Z67" t="s">
        <v>111</v>
      </c>
      <c r="AA67" t="str">
        <f>"13850-2020"</f>
        <v>13850-2020</v>
      </c>
      <c r="AB67" t="s">
        <v>123</v>
      </c>
      <c r="AC67" t="s">
        <v>113</v>
      </c>
      <c r="AD67" t="s">
        <v>108</v>
      </c>
      <c r="AE67" t="s">
        <v>114</v>
      </c>
      <c r="AF67" t="s">
        <v>115</v>
      </c>
      <c r="AG67" t="s">
        <v>116</v>
      </c>
      <c r="AK67" t="str">
        <f t="shared" si="9"/>
        <v/>
      </c>
      <c r="AL67" t="s">
        <v>3127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 s="24">
        <f t="shared" si="7"/>
        <v>1</v>
      </c>
      <c r="AY67" s="24" t="str">
        <f t="shared" si="7"/>
        <v/>
      </c>
      <c r="AZ67" s="24" t="str">
        <f t="shared" si="8"/>
        <v/>
      </c>
      <c r="BA67" s="24" t="str">
        <f t="shared" si="8"/>
        <v/>
      </c>
      <c r="BB67" s="24" t="str">
        <f t="shared" si="8"/>
        <v/>
      </c>
      <c r="BC67" s="24" t="str">
        <f t="shared" si="8"/>
        <v/>
      </c>
      <c r="BD67" s="24" t="str">
        <f t="shared" si="8"/>
        <v/>
      </c>
      <c r="BE67" s="24" t="str">
        <f t="shared" si="8"/>
        <v/>
      </c>
      <c r="BF67" s="24" t="str">
        <f t="shared" si="8"/>
        <v/>
      </c>
      <c r="BG67" s="24" t="str">
        <f t="shared" si="8"/>
        <v/>
      </c>
      <c r="BH67" s="24" t="str">
        <f t="shared" ref="BH67:BH130" si="10">IF(ISERROR(FIND("CBO",$L67,1)),"",1)</f>
        <v/>
      </c>
      <c r="BI67" s="24">
        <f t="shared" si="8"/>
        <v>1</v>
      </c>
      <c r="BJ67" s="24" t="str">
        <f t="shared" si="5"/>
        <v/>
      </c>
    </row>
    <row r="68" spans="1:62" ht="15" customHeight="1" x14ac:dyDescent="0.25">
      <c r="A68" t="str">
        <f>"1700215464"</f>
        <v>1700215464</v>
      </c>
      <c r="B68" t="str">
        <f>"03751553"</f>
        <v>03751553</v>
      </c>
      <c r="C68" t="s">
        <v>6478</v>
      </c>
      <c r="D68" t="s">
        <v>6479</v>
      </c>
      <c r="E68" t="s">
        <v>6480</v>
      </c>
      <c r="G68" t="s">
        <v>6330</v>
      </c>
      <c r="H68" t="s">
        <v>6331</v>
      </c>
      <c r="J68" t="s">
        <v>6332</v>
      </c>
      <c r="L68" t="s">
        <v>247</v>
      </c>
      <c r="M68" t="s">
        <v>108</v>
      </c>
      <c r="R68" t="s">
        <v>6480</v>
      </c>
      <c r="W68" t="s">
        <v>6480</v>
      </c>
      <c r="X68" t="s">
        <v>1237</v>
      </c>
      <c r="Y68" t="s">
        <v>129</v>
      </c>
      <c r="Z68" t="s">
        <v>111</v>
      </c>
      <c r="AA68" t="str">
        <f>"13790-2102"</f>
        <v>13790-2102</v>
      </c>
      <c r="AB68" t="s">
        <v>123</v>
      </c>
      <c r="AC68" t="s">
        <v>113</v>
      </c>
      <c r="AD68" t="s">
        <v>108</v>
      </c>
      <c r="AE68" t="s">
        <v>114</v>
      </c>
      <c r="AF68" t="s">
        <v>115</v>
      </c>
      <c r="AG68" t="s">
        <v>116</v>
      </c>
      <c r="AJ68" t="s">
        <v>7248</v>
      </c>
      <c r="AK68" t="str">
        <f t="shared" si="9"/>
        <v>Ashley Gibson</v>
      </c>
      <c r="AL68" t="s">
        <v>6479</v>
      </c>
      <c r="AM68" t="s">
        <v>108</v>
      </c>
      <c r="AN68" t="s">
        <v>108</v>
      </c>
      <c r="AO68" t="s">
        <v>108</v>
      </c>
      <c r="AP68" t="s">
        <v>108</v>
      </c>
      <c r="AQ68" t="s">
        <v>108</v>
      </c>
      <c r="AR68" t="s">
        <v>108</v>
      </c>
      <c r="AS68" t="s">
        <v>108</v>
      </c>
      <c r="AT68" t="s">
        <v>108</v>
      </c>
      <c r="AU68">
        <v>0</v>
      </c>
      <c r="AV68" t="s">
        <v>108</v>
      </c>
      <c r="AW68" t="s">
        <v>108</v>
      </c>
      <c r="AX68" s="24" t="str">
        <f t="shared" si="7"/>
        <v/>
      </c>
      <c r="AY68" s="24">
        <f t="shared" si="7"/>
        <v>1</v>
      </c>
      <c r="AZ68" s="24" t="str">
        <f t="shared" si="8"/>
        <v/>
      </c>
      <c r="BA68" s="24" t="str">
        <f t="shared" si="8"/>
        <v/>
      </c>
      <c r="BB68" s="24" t="str">
        <f t="shared" si="8"/>
        <v/>
      </c>
      <c r="BC68" s="24" t="str">
        <f t="shared" si="8"/>
        <v/>
      </c>
      <c r="BD68" s="24" t="str">
        <f t="shared" si="8"/>
        <v/>
      </c>
      <c r="BE68" s="24" t="str">
        <f t="shared" si="8"/>
        <v/>
      </c>
      <c r="BF68" s="24" t="str">
        <f t="shared" si="8"/>
        <v/>
      </c>
      <c r="BG68" s="24" t="str">
        <f t="shared" si="8"/>
        <v/>
      </c>
      <c r="BH68" s="24" t="str">
        <f t="shared" si="10"/>
        <v/>
      </c>
      <c r="BI68" s="24" t="str">
        <f t="shared" si="8"/>
        <v/>
      </c>
      <c r="BJ68" s="24" t="str">
        <f t="shared" si="5"/>
        <v/>
      </c>
    </row>
    <row r="69" spans="1:62" ht="15" customHeight="1" x14ac:dyDescent="0.25">
      <c r="A69" t="str">
        <f>"1033493556"</f>
        <v>1033493556</v>
      </c>
      <c r="B69" t="str">
        <f>"03406273"</f>
        <v>03406273</v>
      </c>
      <c r="C69" t="s">
        <v>2341</v>
      </c>
      <c r="D69" t="s">
        <v>2342</v>
      </c>
      <c r="E69" t="s">
        <v>2343</v>
      </c>
      <c r="G69" t="s">
        <v>2341</v>
      </c>
      <c r="H69" t="s">
        <v>440</v>
      </c>
      <c r="J69" t="s">
        <v>2344</v>
      </c>
      <c r="L69" t="s">
        <v>247</v>
      </c>
      <c r="M69" t="s">
        <v>108</v>
      </c>
      <c r="R69" t="s">
        <v>2345</v>
      </c>
      <c r="W69" t="s">
        <v>2346</v>
      </c>
      <c r="X69" t="s">
        <v>406</v>
      </c>
      <c r="Y69" t="s">
        <v>129</v>
      </c>
      <c r="Z69" t="s">
        <v>111</v>
      </c>
      <c r="AA69" t="str">
        <f>"13790-2107"</f>
        <v>13790-2107</v>
      </c>
      <c r="AB69" t="s">
        <v>123</v>
      </c>
      <c r="AC69" t="s">
        <v>113</v>
      </c>
      <c r="AD69" t="s">
        <v>108</v>
      </c>
      <c r="AE69" t="s">
        <v>114</v>
      </c>
      <c r="AF69" t="s">
        <v>115</v>
      </c>
      <c r="AG69" t="s">
        <v>116</v>
      </c>
      <c r="AK69" t="str">
        <f t="shared" si="9"/>
        <v/>
      </c>
      <c r="AL69" t="s">
        <v>2342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 s="24" t="str">
        <f t="shared" si="7"/>
        <v/>
      </c>
      <c r="AY69" s="24">
        <f t="shared" si="7"/>
        <v>1</v>
      </c>
      <c r="AZ69" s="24" t="str">
        <f t="shared" si="8"/>
        <v/>
      </c>
      <c r="BA69" s="24" t="str">
        <f t="shared" si="8"/>
        <v/>
      </c>
      <c r="BB69" s="24" t="str">
        <f t="shared" si="8"/>
        <v/>
      </c>
      <c r="BC69" s="24" t="str">
        <f t="shared" si="8"/>
        <v/>
      </c>
      <c r="BD69" s="24" t="str">
        <f t="shared" si="8"/>
        <v/>
      </c>
      <c r="BE69" s="24" t="str">
        <f t="shared" si="8"/>
        <v/>
      </c>
      <c r="BF69" s="24" t="str">
        <f t="shared" si="8"/>
        <v/>
      </c>
      <c r="BG69" s="24" t="str">
        <f t="shared" si="8"/>
        <v/>
      </c>
      <c r="BH69" s="24" t="str">
        <f t="shared" si="10"/>
        <v/>
      </c>
      <c r="BI69" s="24" t="str">
        <f t="shared" si="8"/>
        <v/>
      </c>
      <c r="BJ69" s="24" t="str">
        <f t="shared" si="5"/>
        <v/>
      </c>
    </row>
    <row r="70" spans="1:62" ht="15" customHeight="1" x14ac:dyDescent="0.25">
      <c r="A70" t="str">
        <f>"1902857410"</f>
        <v>1902857410</v>
      </c>
      <c r="B70" t="str">
        <f>"03235898"</f>
        <v>03235898</v>
      </c>
      <c r="C70" t="s">
        <v>451</v>
      </c>
      <c r="D70" t="s">
        <v>452</v>
      </c>
      <c r="E70" t="s">
        <v>453</v>
      </c>
      <c r="G70" t="s">
        <v>451</v>
      </c>
      <c r="H70" t="s">
        <v>454</v>
      </c>
      <c r="J70" t="s">
        <v>455</v>
      </c>
      <c r="L70" t="s">
        <v>138</v>
      </c>
      <c r="M70" t="s">
        <v>108</v>
      </c>
      <c r="W70" t="s">
        <v>453</v>
      </c>
      <c r="X70" t="s">
        <v>456</v>
      </c>
      <c r="Y70" t="s">
        <v>141</v>
      </c>
      <c r="Z70" t="s">
        <v>111</v>
      </c>
      <c r="AA70" t="str">
        <f>"13202-2240"</f>
        <v>13202-2240</v>
      </c>
      <c r="AB70" t="s">
        <v>123</v>
      </c>
      <c r="AC70" t="s">
        <v>113</v>
      </c>
      <c r="AD70" t="s">
        <v>108</v>
      </c>
      <c r="AE70" t="s">
        <v>114</v>
      </c>
      <c r="AF70" t="s">
        <v>142</v>
      </c>
      <c r="AG70" t="s">
        <v>116</v>
      </c>
      <c r="AK70" t="str">
        <f t="shared" si="9"/>
        <v/>
      </c>
      <c r="AL70" t="s">
        <v>452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 s="24" t="str">
        <f t="shared" si="7"/>
        <v/>
      </c>
      <c r="AY70" s="24">
        <f t="shared" si="7"/>
        <v>1</v>
      </c>
      <c r="AZ70" s="24" t="str">
        <f t="shared" si="8"/>
        <v/>
      </c>
      <c r="BA70" s="24" t="str">
        <f t="shared" si="8"/>
        <v/>
      </c>
      <c r="BB70" s="24" t="str">
        <f t="shared" si="8"/>
        <v/>
      </c>
      <c r="BC70" s="24" t="str">
        <f t="shared" si="8"/>
        <v/>
      </c>
      <c r="BD70" s="24" t="str">
        <f t="shared" si="8"/>
        <v/>
      </c>
      <c r="BE70" s="24" t="str">
        <f t="shared" si="8"/>
        <v/>
      </c>
      <c r="BF70" s="24" t="str">
        <f t="shared" si="8"/>
        <v/>
      </c>
      <c r="BG70" s="24" t="str">
        <f t="shared" si="8"/>
        <v/>
      </c>
      <c r="BH70" s="24" t="str">
        <f t="shared" si="10"/>
        <v/>
      </c>
      <c r="BI70" s="24">
        <f t="shared" si="8"/>
        <v>1</v>
      </c>
      <c r="BJ70" s="24" t="str">
        <f t="shared" si="5"/>
        <v/>
      </c>
    </row>
    <row r="71" spans="1:62" ht="15" customHeight="1" x14ac:dyDescent="0.25">
      <c r="A71" t="str">
        <f>"1386654051"</f>
        <v>1386654051</v>
      </c>
      <c r="B71" t="str">
        <f>"02338163"</f>
        <v>02338163</v>
      </c>
      <c r="C71" t="s">
        <v>3600</v>
      </c>
      <c r="D71" t="s">
        <v>3601</v>
      </c>
      <c r="E71" t="s">
        <v>3602</v>
      </c>
      <c r="G71" t="s">
        <v>2412</v>
      </c>
      <c r="H71" t="s">
        <v>2413</v>
      </c>
      <c r="I71">
        <v>2359</v>
      </c>
      <c r="J71" t="s">
        <v>3603</v>
      </c>
      <c r="L71" t="s">
        <v>138</v>
      </c>
      <c r="M71" t="s">
        <v>139</v>
      </c>
      <c r="R71" t="s">
        <v>3604</v>
      </c>
      <c r="W71" t="s">
        <v>3602</v>
      </c>
      <c r="X71" t="s">
        <v>3014</v>
      </c>
      <c r="Y71" t="s">
        <v>1655</v>
      </c>
      <c r="Z71" t="s">
        <v>111</v>
      </c>
      <c r="AA71" t="str">
        <f>"14865-9709"</f>
        <v>14865-9709</v>
      </c>
      <c r="AB71" t="s">
        <v>123</v>
      </c>
      <c r="AC71" t="s">
        <v>113</v>
      </c>
      <c r="AD71" t="s">
        <v>108</v>
      </c>
      <c r="AE71" t="s">
        <v>114</v>
      </c>
      <c r="AF71" t="s">
        <v>142</v>
      </c>
      <c r="AG71" t="s">
        <v>116</v>
      </c>
      <c r="AK71" t="str">
        <f t="shared" si="9"/>
        <v/>
      </c>
      <c r="AL71" t="s">
        <v>3601</v>
      </c>
      <c r="AM71">
        <v>1</v>
      </c>
      <c r="AN71">
        <v>1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 s="24" t="str">
        <f t="shared" si="7"/>
        <v/>
      </c>
      <c r="AY71" s="24">
        <f t="shared" si="7"/>
        <v>1</v>
      </c>
      <c r="AZ71" s="24" t="str">
        <f t="shared" si="8"/>
        <v/>
      </c>
      <c r="BA71" s="24" t="str">
        <f t="shared" si="8"/>
        <v/>
      </c>
      <c r="BB71" s="24" t="str">
        <f t="shared" si="8"/>
        <v/>
      </c>
      <c r="BC71" s="24" t="str">
        <f t="shared" si="8"/>
        <v/>
      </c>
      <c r="BD71" s="24" t="str">
        <f t="shared" si="8"/>
        <v/>
      </c>
      <c r="BE71" s="24" t="str">
        <f t="shared" si="8"/>
        <v/>
      </c>
      <c r="BF71" s="24" t="str">
        <f t="shared" si="8"/>
        <v/>
      </c>
      <c r="BG71" s="24" t="str">
        <f t="shared" si="8"/>
        <v/>
      </c>
      <c r="BH71" s="24" t="str">
        <f t="shared" si="10"/>
        <v/>
      </c>
      <c r="BI71" s="24">
        <f t="shared" si="8"/>
        <v>1</v>
      </c>
      <c r="BJ71" s="24" t="str">
        <f t="shared" si="5"/>
        <v/>
      </c>
    </row>
    <row r="72" spans="1:62" ht="15" customHeight="1" x14ac:dyDescent="0.25">
      <c r="A72" t="str">
        <f>"1790771996"</f>
        <v>1790771996</v>
      </c>
      <c r="B72" t="str">
        <f>"01688251"</f>
        <v>01688251</v>
      </c>
      <c r="C72" t="s">
        <v>620</v>
      </c>
      <c r="D72" t="s">
        <v>621</v>
      </c>
      <c r="E72" t="s">
        <v>622</v>
      </c>
      <c r="G72" t="s">
        <v>623</v>
      </c>
      <c r="H72" t="s">
        <v>624</v>
      </c>
      <c r="J72" t="s">
        <v>625</v>
      </c>
      <c r="L72" t="s">
        <v>138</v>
      </c>
      <c r="M72" t="s">
        <v>108</v>
      </c>
      <c r="R72" t="s">
        <v>626</v>
      </c>
      <c r="W72" t="s">
        <v>622</v>
      </c>
      <c r="X72" t="s">
        <v>627</v>
      </c>
      <c r="Y72" t="s">
        <v>628</v>
      </c>
      <c r="Z72" t="s">
        <v>111</v>
      </c>
      <c r="AA72" t="str">
        <f>"13601-4034"</f>
        <v>13601-4034</v>
      </c>
      <c r="AB72" t="s">
        <v>123</v>
      </c>
      <c r="AC72" t="s">
        <v>113</v>
      </c>
      <c r="AD72" t="s">
        <v>108</v>
      </c>
      <c r="AE72" t="s">
        <v>114</v>
      </c>
      <c r="AF72" t="s">
        <v>142</v>
      </c>
      <c r="AG72" t="s">
        <v>116</v>
      </c>
      <c r="AK72" t="str">
        <f t="shared" si="9"/>
        <v/>
      </c>
      <c r="AL72" t="s">
        <v>621</v>
      </c>
      <c r="AM72">
        <v>1</v>
      </c>
      <c r="AN72">
        <v>1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 s="24" t="str">
        <f t="shared" si="7"/>
        <v/>
      </c>
      <c r="AY72" s="24">
        <f t="shared" si="7"/>
        <v>1</v>
      </c>
      <c r="AZ72" s="24" t="str">
        <f t="shared" si="8"/>
        <v/>
      </c>
      <c r="BA72" s="24" t="str">
        <f t="shared" si="8"/>
        <v/>
      </c>
      <c r="BB72" s="24" t="str">
        <f t="shared" si="8"/>
        <v/>
      </c>
      <c r="BC72" s="24" t="str">
        <f t="shared" si="8"/>
        <v/>
      </c>
      <c r="BD72" s="24" t="str">
        <f t="shared" si="8"/>
        <v/>
      </c>
      <c r="BE72" s="24" t="str">
        <f t="shared" si="8"/>
        <v/>
      </c>
      <c r="BF72" s="24" t="str">
        <f t="shared" si="8"/>
        <v/>
      </c>
      <c r="BG72" s="24" t="str">
        <f t="shared" si="8"/>
        <v/>
      </c>
      <c r="BH72" s="24" t="str">
        <f t="shared" si="10"/>
        <v/>
      </c>
      <c r="BI72" s="24">
        <f t="shared" si="8"/>
        <v>1</v>
      </c>
      <c r="BJ72" s="24" t="str">
        <f t="shared" si="5"/>
        <v/>
      </c>
    </row>
    <row r="73" spans="1:62" ht="15" customHeight="1" x14ac:dyDescent="0.25">
      <c r="A73" t="str">
        <f>"1083915235"</f>
        <v>1083915235</v>
      </c>
      <c r="C73" t="s">
        <v>1276</v>
      </c>
      <c r="G73" t="s">
        <v>1277</v>
      </c>
      <c r="H73" t="s">
        <v>1278</v>
      </c>
      <c r="J73" t="s">
        <v>1279</v>
      </c>
      <c r="K73" t="s">
        <v>1280</v>
      </c>
      <c r="L73" t="s">
        <v>133</v>
      </c>
      <c r="M73" t="s">
        <v>108</v>
      </c>
      <c r="R73" t="s">
        <v>1276</v>
      </c>
      <c r="S73" t="s">
        <v>1281</v>
      </c>
      <c r="T73" t="s">
        <v>239</v>
      </c>
      <c r="U73" t="s">
        <v>111</v>
      </c>
      <c r="V73" t="str">
        <f>"130456606"</f>
        <v>130456606</v>
      </c>
      <c r="AC73" t="s">
        <v>113</v>
      </c>
      <c r="AD73" t="s">
        <v>108</v>
      </c>
      <c r="AE73" t="s">
        <v>775</v>
      </c>
      <c r="AF73" t="s">
        <v>142</v>
      </c>
      <c r="AG73" t="s">
        <v>116</v>
      </c>
      <c r="AK73" t="str">
        <f t="shared" si="9"/>
        <v/>
      </c>
      <c r="AL73" t="s">
        <v>1276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 s="24" t="str">
        <f t="shared" si="7"/>
        <v/>
      </c>
      <c r="AY73" s="24" t="str">
        <f t="shared" si="7"/>
        <v/>
      </c>
      <c r="AZ73" s="24" t="str">
        <f t="shared" si="8"/>
        <v/>
      </c>
      <c r="BA73" s="24" t="str">
        <f t="shared" si="8"/>
        <v/>
      </c>
      <c r="BB73" s="24" t="str">
        <f t="shared" si="8"/>
        <v/>
      </c>
      <c r="BC73" s="24" t="str">
        <f t="shared" si="8"/>
        <v/>
      </c>
      <c r="BD73" s="24" t="str">
        <f t="shared" si="8"/>
        <v/>
      </c>
      <c r="BE73" s="24" t="str">
        <f t="shared" si="8"/>
        <v/>
      </c>
      <c r="BF73" s="24" t="str">
        <f t="shared" si="8"/>
        <v/>
      </c>
      <c r="BG73" s="24" t="str">
        <f t="shared" si="8"/>
        <v/>
      </c>
      <c r="BH73" s="24" t="str">
        <f t="shared" si="10"/>
        <v/>
      </c>
      <c r="BI73" s="24" t="str">
        <f t="shared" si="8"/>
        <v/>
      </c>
      <c r="BJ73" s="24">
        <f t="shared" si="5"/>
        <v>1</v>
      </c>
    </row>
    <row r="74" spans="1:62" ht="15" customHeight="1" x14ac:dyDescent="0.25">
      <c r="A74" t="str">
        <f>"1063550465"</f>
        <v>1063550465</v>
      </c>
      <c r="B74" t="str">
        <f>"02525840"</f>
        <v>02525840</v>
      </c>
      <c r="C74" t="s">
        <v>1276</v>
      </c>
      <c r="D74" t="s">
        <v>1282</v>
      </c>
      <c r="E74" t="s">
        <v>1283</v>
      </c>
      <c r="G74" t="s">
        <v>1277</v>
      </c>
      <c r="H74" t="s">
        <v>1278</v>
      </c>
      <c r="J74" t="s">
        <v>1279</v>
      </c>
      <c r="L74" t="s">
        <v>289</v>
      </c>
      <c r="M74" t="s">
        <v>139</v>
      </c>
      <c r="R74" t="s">
        <v>1276</v>
      </c>
      <c r="W74" t="s">
        <v>1283</v>
      </c>
      <c r="X74" t="s">
        <v>1284</v>
      </c>
      <c r="Y74" t="s">
        <v>239</v>
      </c>
      <c r="Z74" t="s">
        <v>111</v>
      </c>
      <c r="AA74" t="str">
        <f>"13045-6606"</f>
        <v>13045-6606</v>
      </c>
      <c r="AB74" t="s">
        <v>282</v>
      </c>
      <c r="AC74" t="s">
        <v>113</v>
      </c>
      <c r="AD74" t="s">
        <v>108</v>
      </c>
      <c r="AE74" t="s">
        <v>114</v>
      </c>
      <c r="AF74" t="s">
        <v>142</v>
      </c>
      <c r="AG74" t="s">
        <v>116</v>
      </c>
      <c r="AK74" t="str">
        <f t="shared" si="9"/>
        <v/>
      </c>
      <c r="AL74" t="s">
        <v>1282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 s="24" t="str">
        <f t="shared" si="7"/>
        <v/>
      </c>
      <c r="AY74" s="24" t="str">
        <f t="shared" si="7"/>
        <v/>
      </c>
      <c r="AZ74" s="24" t="str">
        <f t="shared" si="8"/>
        <v/>
      </c>
      <c r="BA74" s="24" t="str">
        <f t="shared" si="8"/>
        <v/>
      </c>
      <c r="BB74" s="24" t="str">
        <f t="shared" si="8"/>
        <v/>
      </c>
      <c r="BC74" s="24" t="str">
        <f t="shared" si="8"/>
        <v/>
      </c>
      <c r="BD74" s="24">
        <f t="shared" si="8"/>
        <v>1</v>
      </c>
      <c r="BE74" s="24" t="str">
        <f t="shared" si="8"/>
        <v/>
      </c>
      <c r="BF74" s="24" t="str">
        <f t="shared" si="8"/>
        <v/>
      </c>
      <c r="BG74" s="24" t="str">
        <f t="shared" si="8"/>
        <v/>
      </c>
      <c r="BH74" s="24" t="str">
        <f t="shared" si="10"/>
        <v/>
      </c>
      <c r="BI74" s="24">
        <f t="shared" si="8"/>
        <v>1</v>
      </c>
      <c r="BJ74" s="24" t="str">
        <f t="shared" si="5"/>
        <v/>
      </c>
    </row>
    <row r="75" spans="1:62" ht="15" customHeight="1" x14ac:dyDescent="0.25">
      <c r="A75" t="str">
        <f>"1376792671"</f>
        <v>1376792671</v>
      </c>
      <c r="B75" t="str">
        <f>"03490939"</f>
        <v>03490939</v>
      </c>
      <c r="C75" t="s">
        <v>3958</v>
      </c>
      <c r="D75" t="s">
        <v>3959</v>
      </c>
      <c r="E75" t="s">
        <v>3958</v>
      </c>
      <c r="G75" t="s">
        <v>699</v>
      </c>
      <c r="H75" t="s">
        <v>700</v>
      </c>
      <c r="J75" t="s">
        <v>701</v>
      </c>
      <c r="L75" t="s">
        <v>120</v>
      </c>
      <c r="M75" t="s">
        <v>108</v>
      </c>
      <c r="R75" t="s">
        <v>3960</v>
      </c>
      <c r="W75" t="s">
        <v>3958</v>
      </c>
      <c r="X75" t="s">
        <v>196</v>
      </c>
      <c r="Y75" t="s">
        <v>181</v>
      </c>
      <c r="Z75" t="s">
        <v>182</v>
      </c>
      <c r="AA75" t="str">
        <f>"18840-1625"</f>
        <v>18840-1625</v>
      </c>
      <c r="AB75" t="s">
        <v>123</v>
      </c>
      <c r="AC75" t="s">
        <v>113</v>
      </c>
      <c r="AD75" t="s">
        <v>108</v>
      </c>
      <c r="AE75" t="s">
        <v>114</v>
      </c>
      <c r="AF75" t="s">
        <v>115</v>
      </c>
      <c r="AG75" t="s">
        <v>116</v>
      </c>
      <c r="AK75" t="str">
        <f t="shared" si="9"/>
        <v/>
      </c>
      <c r="AL75" t="s">
        <v>3959</v>
      </c>
      <c r="AM75">
        <v>1</v>
      </c>
      <c r="AN75">
        <v>1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1</v>
      </c>
      <c r="AU75">
        <v>1</v>
      </c>
      <c r="AV75">
        <v>1</v>
      </c>
      <c r="AW75">
        <v>0</v>
      </c>
      <c r="AX75" s="24">
        <f t="shared" si="7"/>
        <v>1</v>
      </c>
      <c r="AY75" s="24" t="str">
        <f t="shared" si="7"/>
        <v/>
      </c>
      <c r="AZ75" s="24" t="str">
        <f t="shared" si="8"/>
        <v/>
      </c>
      <c r="BA75" s="24" t="str">
        <f t="shared" si="8"/>
        <v/>
      </c>
      <c r="BB75" s="24" t="str">
        <f t="shared" si="8"/>
        <v/>
      </c>
      <c r="BC75" s="24" t="str">
        <f t="shared" si="8"/>
        <v/>
      </c>
      <c r="BD75" s="24" t="str">
        <f t="shared" si="8"/>
        <v/>
      </c>
      <c r="BE75" s="24" t="str">
        <f t="shared" si="8"/>
        <v/>
      </c>
      <c r="BF75" s="24" t="str">
        <f t="shared" si="8"/>
        <v/>
      </c>
      <c r="BG75" s="24" t="str">
        <f t="shared" si="8"/>
        <v/>
      </c>
      <c r="BH75" s="24" t="str">
        <f t="shared" si="10"/>
        <v/>
      </c>
      <c r="BI75" s="24">
        <f t="shared" si="8"/>
        <v>1</v>
      </c>
      <c r="BJ75" s="24" t="str">
        <f t="shared" si="5"/>
        <v/>
      </c>
    </row>
    <row r="76" spans="1:62" ht="15" customHeight="1" x14ac:dyDescent="0.25">
      <c r="A76" t="str">
        <f>"1356323133"</f>
        <v>1356323133</v>
      </c>
      <c r="B76" t="str">
        <f>"01868340"</f>
        <v>01868340</v>
      </c>
      <c r="C76" t="s">
        <v>4712</v>
      </c>
      <c r="D76" t="s">
        <v>4713</v>
      </c>
      <c r="E76" t="s">
        <v>4714</v>
      </c>
      <c r="G76" t="s">
        <v>3154</v>
      </c>
      <c r="H76" t="s">
        <v>3155</v>
      </c>
      <c r="J76" t="s">
        <v>4715</v>
      </c>
      <c r="L76" t="s">
        <v>120</v>
      </c>
      <c r="M76" t="s">
        <v>108</v>
      </c>
      <c r="R76" t="s">
        <v>4716</v>
      </c>
      <c r="W76" t="s">
        <v>4717</v>
      </c>
      <c r="Y76" t="s">
        <v>293</v>
      </c>
      <c r="Z76" t="s">
        <v>111</v>
      </c>
      <c r="AA76" t="str">
        <f>"14850-1055"</f>
        <v>14850-1055</v>
      </c>
      <c r="AB76" t="s">
        <v>123</v>
      </c>
      <c r="AC76" t="s">
        <v>113</v>
      </c>
      <c r="AD76" t="s">
        <v>108</v>
      </c>
      <c r="AE76" t="s">
        <v>114</v>
      </c>
      <c r="AF76" t="s">
        <v>142</v>
      </c>
      <c r="AG76" t="s">
        <v>116</v>
      </c>
      <c r="AK76" t="str">
        <f t="shared" si="9"/>
        <v/>
      </c>
      <c r="AL76" t="s">
        <v>4713</v>
      </c>
      <c r="AM76">
        <v>1</v>
      </c>
      <c r="AN76">
        <v>1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 s="24">
        <f t="shared" si="7"/>
        <v>1</v>
      </c>
      <c r="AY76" s="24" t="str">
        <f t="shared" si="7"/>
        <v/>
      </c>
      <c r="AZ76" s="24" t="str">
        <f t="shared" si="8"/>
        <v/>
      </c>
      <c r="BA76" s="24" t="str">
        <f t="shared" si="8"/>
        <v/>
      </c>
      <c r="BB76" s="24" t="str">
        <f t="shared" si="8"/>
        <v/>
      </c>
      <c r="BC76" s="24" t="str">
        <f t="shared" si="8"/>
        <v/>
      </c>
      <c r="BD76" s="24" t="str">
        <f t="shared" si="8"/>
        <v/>
      </c>
      <c r="BE76" s="24" t="str">
        <f t="shared" si="8"/>
        <v/>
      </c>
      <c r="BF76" s="24" t="str">
        <f t="shared" si="8"/>
        <v/>
      </c>
      <c r="BG76" s="24" t="str">
        <f t="shared" si="8"/>
        <v/>
      </c>
      <c r="BH76" s="24" t="str">
        <f t="shared" si="10"/>
        <v/>
      </c>
      <c r="BI76" s="24">
        <f t="shared" si="8"/>
        <v>1</v>
      </c>
      <c r="BJ76" s="24" t="str">
        <f t="shared" si="5"/>
        <v/>
      </c>
    </row>
    <row r="77" spans="1:62" ht="15" customHeight="1" x14ac:dyDescent="0.25">
      <c r="A77" t="str">
        <f>"1750427126"</f>
        <v>1750427126</v>
      </c>
      <c r="B77" t="str">
        <f>"02983475"</f>
        <v>02983475</v>
      </c>
      <c r="C77" t="s">
        <v>2666</v>
      </c>
      <c r="D77" t="s">
        <v>2667</v>
      </c>
      <c r="E77" t="s">
        <v>2668</v>
      </c>
      <c r="L77" t="s">
        <v>120</v>
      </c>
      <c r="M77" t="s">
        <v>139</v>
      </c>
      <c r="R77" t="s">
        <v>2666</v>
      </c>
      <c r="W77" t="s">
        <v>2669</v>
      </c>
      <c r="X77" t="s">
        <v>2670</v>
      </c>
      <c r="Y77" t="s">
        <v>110</v>
      </c>
      <c r="Z77" t="s">
        <v>111</v>
      </c>
      <c r="AA77" t="str">
        <f>"13903"</f>
        <v>13903</v>
      </c>
      <c r="AB77" t="s">
        <v>123</v>
      </c>
      <c r="AC77" t="s">
        <v>113</v>
      </c>
      <c r="AD77" t="s">
        <v>108</v>
      </c>
      <c r="AE77" t="s">
        <v>114</v>
      </c>
      <c r="AF77" t="s">
        <v>115</v>
      </c>
      <c r="AG77" t="s">
        <v>116</v>
      </c>
      <c r="AK77" t="str">
        <f t="shared" si="9"/>
        <v/>
      </c>
      <c r="AL77" t="s">
        <v>2667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1</v>
      </c>
      <c r="AV77">
        <v>0</v>
      </c>
      <c r="AW77">
        <v>0</v>
      </c>
      <c r="AX77" s="24">
        <f t="shared" si="7"/>
        <v>1</v>
      </c>
      <c r="AY77" s="24" t="str">
        <f t="shared" si="7"/>
        <v/>
      </c>
      <c r="AZ77" s="24" t="str">
        <f t="shared" si="8"/>
        <v/>
      </c>
      <c r="BA77" s="24" t="str">
        <f t="shared" si="8"/>
        <v/>
      </c>
      <c r="BB77" s="24" t="str">
        <f t="shared" si="8"/>
        <v/>
      </c>
      <c r="BC77" s="24" t="str">
        <f t="shared" si="8"/>
        <v/>
      </c>
      <c r="BD77" s="24" t="str">
        <f t="shared" si="8"/>
        <v/>
      </c>
      <c r="BE77" s="24" t="str">
        <f t="shared" si="8"/>
        <v/>
      </c>
      <c r="BF77" s="24" t="str">
        <f t="shared" si="8"/>
        <v/>
      </c>
      <c r="BG77" s="24" t="str">
        <f t="shared" si="8"/>
        <v/>
      </c>
      <c r="BH77" s="24" t="str">
        <f t="shared" si="10"/>
        <v/>
      </c>
      <c r="BI77" s="24">
        <f t="shared" si="8"/>
        <v>1</v>
      </c>
      <c r="BJ77" s="24" t="str">
        <f t="shared" si="5"/>
        <v/>
      </c>
    </row>
    <row r="78" spans="1:62" ht="15" customHeight="1" x14ac:dyDescent="0.25">
      <c r="A78" t="str">
        <f>"1689649980"</f>
        <v>1689649980</v>
      </c>
      <c r="B78" t="str">
        <f>"02580927"</f>
        <v>02580927</v>
      </c>
      <c r="C78" t="s">
        <v>4236</v>
      </c>
      <c r="D78" t="s">
        <v>4237</v>
      </c>
      <c r="E78" t="s">
        <v>4238</v>
      </c>
      <c r="G78" t="s">
        <v>4232</v>
      </c>
      <c r="H78" t="s">
        <v>4233</v>
      </c>
      <c r="J78" t="s">
        <v>4239</v>
      </c>
      <c r="L78" t="s">
        <v>809</v>
      </c>
      <c r="M78" t="s">
        <v>139</v>
      </c>
      <c r="R78" t="s">
        <v>4240</v>
      </c>
      <c r="W78" t="s">
        <v>4238</v>
      </c>
      <c r="X78" t="s">
        <v>4241</v>
      </c>
      <c r="Y78" t="s">
        <v>4242</v>
      </c>
      <c r="Z78" t="s">
        <v>111</v>
      </c>
      <c r="AA78" t="str">
        <f>"10701-4006"</f>
        <v>10701-4006</v>
      </c>
      <c r="AB78" t="s">
        <v>123</v>
      </c>
      <c r="AC78" t="s">
        <v>113</v>
      </c>
      <c r="AD78" t="s">
        <v>108</v>
      </c>
      <c r="AE78" t="s">
        <v>114</v>
      </c>
      <c r="AF78" t="s">
        <v>142</v>
      </c>
      <c r="AG78" t="s">
        <v>116</v>
      </c>
      <c r="AK78" t="str">
        <f t="shared" si="9"/>
        <v/>
      </c>
      <c r="AL78" t="s">
        <v>4237</v>
      </c>
      <c r="AM78">
        <v>1</v>
      </c>
      <c r="AN78">
        <v>1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 s="24" t="str">
        <f t="shared" si="7"/>
        <v/>
      </c>
      <c r="AY78" s="24">
        <f t="shared" si="7"/>
        <v>1</v>
      </c>
      <c r="AZ78" s="24" t="str">
        <f t="shared" si="8"/>
        <v/>
      </c>
      <c r="BA78" s="24" t="str">
        <f t="shared" si="8"/>
        <v/>
      </c>
      <c r="BB78" s="24" t="str">
        <f t="shared" si="8"/>
        <v/>
      </c>
      <c r="BC78" s="24">
        <f t="shared" si="8"/>
        <v>1</v>
      </c>
      <c r="BD78" s="24" t="str">
        <f t="shared" si="8"/>
        <v/>
      </c>
      <c r="BE78" s="24" t="str">
        <f t="shared" si="8"/>
        <v/>
      </c>
      <c r="BF78" s="24" t="str">
        <f t="shared" si="8"/>
        <v/>
      </c>
      <c r="BG78" s="24" t="str">
        <f t="shared" si="8"/>
        <v/>
      </c>
      <c r="BH78" s="24" t="str">
        <f t="shared" si="10"/>
        <v/>
      </c>
      <c r="BI78" s="24" t="str">
        <f t="shared" si="8"/>
        <v/>
      </c>
      <c r="BJ78" s="24" t="str">
        <f t="shared" si="5"/>
        <v/>
      </c>
    </row>
    <row r="79" spans="1:62" ht="15" customHeight="1" x14ac:dyDescent="0.25">
      <c r="A79" t="str">
        <f>"1508835992"</f>
        <v>1508835992</v>
      </c>
      <c r="B79" t="str">
        <f>"03169248"</f>
        <v>03169248</v>
      </c>
      <c r="C79" t="s">
        <v>818</v>
      </c>
      <c r="D79" t="s">
        <v>819</v>
      </c>
      <c r="E79" t="s">
        <v>820</v>
      </c>
      <c r="L79" t="s">
        <v>138</v>
      </c>
      <c r="M79" t="s">
        <v>108</v>
      </c>
      <c r="R79" t="s">
        <v>818</v>
      </c>
      <c r="W79" t="s">
        <v>820</v>
      </c>
      <c r="X79" t="s">
        <v>821</v>
      </c>
      <c r="Y79" t="s">
        <v>110</v>
      </c>
      <c r="Z79" t="s">
        <v>111</v>
      </c>
      <c r="AA79" t="str">
        <f>"13903-1642"</f>
        <v>13903-1642</v>
      </c>
      <c r="AB79" t="s">
        <v>123</v>
      </c>
      <c r="AC79" t="s">
        <v>113</v>
      </c>
      <c r="AD79" t="s">
        <v>108</v>
      </c>
      <c r="AE79" t="s">
        <v>114</v>
      </c>
      <c r="AF79" t="s">
        <v>115</v>
      </c>
      <c r="AG79" t="s">
        <v>116</v>
      </c>
      <c r="AK79" t="str">
        <f t="shared" si="9"/>
        <v/>
      </c>
      <c r="AL79" t="s">
        <v>819</v>
      </c>
      <c r="AM79">
        <v>1</v>
      </c>
      <c r="AN79">
        <v>1</v>
      </c>
      <c r="AO79">
        <v>0</v>
      </c>
      <c r="AP79">
        <v>1</v>
      </c>
      <c r="AQ79">
        <v>1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 s="24" t="str">
        <f t="shared" si="7"/>
        <v/>
      </c>
      <c r="AY79" s="24">
        <f t="shared" si="7"/>
        <v>1</v>
      </c>
      <c r="AZ79" s="24" t="str">
        <f t="shared" si="8"/>
        <v/>
      </c>
      <c r="BA79" s="24" t="str">
        <f t="shared" si="8"/>
        <v/>
      </c>
      <c r="BB79" s="24" t="str">
        <f t="shared" si="8"/>
        <v/>
      </c>
      <c r="BC79" s="24" t="str">
        <f t="shared" si="8"/>
        <v/>
      </c>
      <c r="BD79" s="24" t="str">
        <f t="shared" si="8"/>
        <v/>
      </c>
      <c r="BE79" s="24" t="str">
        <f t="shared" si="8"/>
        <v/>
      </c>
      <c r="BF79" s="24" t="str">
        <f t="shared" si="8"/>
        <v/>
      </c>
      <c r="BG79" s="24" t="str">
        <f t="shared" si="8"/>
        <v/>
      </c>
      <c r="BH79" s="24" t="str">
        <f t="shared" si="10"/>
        <v/>
      </c>
      <c r="BI79" s="24">
        <f t="shared" si="8"/>
        <v>1</v>
      </c>
      <c r="BJ79" s="24" t="str">
        <f t="shared" si="5"/>
        <v/>
      </c>
    </row>
    <row r="80" spans="1:62" ht="15" customHeight="1" x14ac:dyDescent="0.25">
      <c r="C80" t="s">
        <v>5819</v>
      </c>
      <c r="G80" t="s">
        <v>5820</v>
      </c>
      <c r="H80" t="s">
        <v>5821</v>
      </c>
      <c r="J80" t="s">
        <v>5822</v>
      </c>
      <c r="K80" t="s">
        <v>5823</v>
      </c>
      <c r="L80" t="s">
        <v>781</v>
      </c>
      <c r="M80" t="s">
        <v>108</v>
      </c>
      <c r="N80" t="s">
        <v>5824</v>
      </c>
      <c r="O80" t="s">
        <v>1096</v>
      </c>
      <c r="P80" t="s">
        <v>111</v>
      </c>
      <c r="Q80" t="str">
        <f>"13901"</f>
        <v>13901</v>
      </c>
      <c r="AC80" t="s">
        <v>113</v>
      </c>
      <c r="AD80" t="s">
        <v>108</v>
      </c>
      <c r="AE80" t="s">
        <v>784</v>
      </c>
      <c r="AF80" t="s">
        <v>115</v>
      </c>
      <c r="AG80" t="s">
        <v>116</v>
      </c>
      <c r="AL80" t="s">
        <v>5819</v>
      </c>
      <c r="AM80" t="s">
        <v>108</v>
      </c>
      <c r="AN80" t="s">
        <v>108</v>
      </c>
      <c r="AO80" t="s">
        <v>108</v>
      </c>
      <c r="AP80" t="s">
        <v>108</v>
      </c>
      <c r="AQ80" t="s">
        <v>108</v>
      </c>
      <c r="AR80" t="s">
        <v>108</v>
      </c>
      <c r="AS80" t="s">
        <v>108</v>
      </c>
      <c r="AT80" t="s">
        <v>108</v>
      </c>
      <c r="AU80">
        <v>0</v>
      </c>
      <c r="AV80" t="s">
        <v>108</v>
      </c>
      <c r="AW80" t="s">
        <v>108</v>
      </c>
      <c r="AX80" s="24" t="str">
        <f t="shared" si="7"/>
        <v/>
      </c>
      <c r="AY80" s="24" t="str">
        <f t="shared" si="7"/>
        <v/>
      </c>
      <c r="AZ80" s="24" t="str">
        <f t="shared" si="8"/>
        <v/>
      </c>
      <c r="BA80" s="24" t="str">
        <f t="shared" si="8"/>
        <v/>
      </c>
      <c r="BB80" s="24" t="str">
        <f t="shared" si="8"/>
        <v/>
      </c>
      <c r="BC80" s="24" t="str">
        <f t="shared" si="8"/>
        <v/>
      </c>
      <c r="BD80" s="24" t="str">
        <f t="shared" si="8"/>
        <v/>
      </c>
      <c r="BE80" s="24" t="str">
        <f t="shared" si="8"/>
        <v/>
      </c>
      <c r="BF80" s="24" t="str">
        <f t="shared" si="8"/>
        <v/>
      </c>
      <c r="BG80" s="24" t="str">
        <f t="shared" si="8"/>
        <v/>
      </c>
      <c r="BH80" s="24">
        <f t="shared" si="10"/>
        <v>1</v>
      </c>
      <c r="BI80" s="24" t="str">
        <f t="shared" si="8"/>
        <v/>
      </c>
      <c r="BJ80" s="24" t="str">
        <f t="shared" si="5"/>
        <v/>
      </c>
    </row>
    <row r="81" spans="1:62" x14ac:dyDescent="0.25">
      <c r="A81" t="str">
        <f>"1235382417"</f>
        <v>1235382417</v>
      </c>
      <c r="B81" t="str">
        <f>"03371982"</f>
        <v>03371982</v>
      </c>
      <c r="C81" t="s">
        <v>5866</v>
      </c>
      <c r="D81" t="s">
        <v>5867</v>
      </c>
      <c r="E81" t="s">
        <v>5868</v>
      </c>
      <c r="G81" t="s">
        <v>5820</v>
      </c>
      <c r="H81" t="s">
        <v>5821</v>
      </c>
      <c r="J81" t="s">
        <v>5822</v>
      </c>
      <c r="L81" t="s">
        <v>13</v>
      </c>
      <c r="M81" t="s">
        <v>108</v>
      </c>
      <c r="R81" t="s">
        <v>5869</v>
      </c>
      <c r="W81" t="s">
        <v>5868</v>
      </c>
      <c r="X81" t="s">
        <v>4931</v>
      </c>
      <c r="Y81" t="s">
        <v>110</v>
      </c>
      <c r="Z81" t="s">
        <v>111</v>
      </c>
      <c r="AA81" t="str">
        <f>"13905-2448"</f>
        <v>13905-2448</v>
      </c>
      <c r="AB81" t="s">
        <v>385</v>
      </c>
      <c r="AC81" t="s">
        <v>113</v>
      </c>
      <c r="AD81" t="s">
        <v>108</v>
      </c>
      <c r="AE81" t="s">
        <v>114</v>
      </c>
      <c r="AF81" t="s">
        <v>115</v>
      </c>
      <c r="AG81" t="s">
        <v>116</v>
      </c>
      <c r="AK81" t="str">
        <f t="shared" si="9"/>
        <v/>
      </c>
      <c r="AL81" t="s">
        <v>5867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 s="24" t="str">
        <f t="shared" si="7"/>
        <v/>
      </c>
      <c r="AY81" s="24" t="str">
        <f t="shared" si="7"/>
        <v/>
      </c>
      <c r="AZ81" s="24" t="str">
        <f t="shared" si="8"/>
        <v/>
      </c>
      <c r="BA81" s="24">
        <f t="shared" si="8"/>
        <v>1</v>
      </c>
      <c r="BB81" s="24" t="str">
        <f t="shared" si="8"/>
        <v/>
      </c>
      <c r="BC81" s="24" t="str">
        <f t="shared" si="8"/>
        <v/>
      </c>
      <c r="BD81" s="24" t="str">
        <f t="shared" si="8"/>
        <v/>
      </c>
      <c r="BE81" s="24" t="str">
        <f t="shared" si="8"/>
        <v/>
      </c>
      <c r="BF81" s="24" t="str">
        <f t="shared" si="8"/>
        <v/>
      </c>
      <c r="BG81" s="24" t="str">
        <f t="shared" si="8"/>
        <v/>
      </c>
      <c r="BH81" s="24" t="str">
        <f t="shared" si="10"/>
        <v/>
      </c>
      <c r="BI81" s="24" t="str">
        <f t="shared" si="8"/>
        <v/>
      </c>
      <c r="BJ81" s="24" t="str">
        <f t="shared" si="5"/>
        <v/>
      </c>
    </row>
    <row r="82" spans="1:62" ht="15" customHeight="1" x14ac:dyDescent="0.25">
      <c r="A82" t="str">
        <f>"1356570428"</f>
        <v>1356570428</v>
      </c>
      <c r="B82" t="str">
        <f>"03462842"</f>
        <v>03462842</v>
      </c>
      <c r="C82" t="s">
        <v>5122</v>
      </c>
      <c r="D82" t="s">
        <v>5123</v>
      </c>
      <c r="E82" t="s">
        <v>5124</v>
      </c>
      <c r="L82" t="s">
        <v>120</v>
      </c>
      <c r="M82" t="s">
        <v>108</v>
      </c>
      <c r="R82" t="s">
        <v>5122</v>
      </c>
      <c r="W82" t="s">
        <v>5124</v>
      </c>
      <c r="X82" t="s">
        <v>5125</v>
      </c>
      <c r="Y82" t="s">
        <v>110</v>
      </c>
      <c r="Z82" t="s">
        <v>111</v>
      </c>
      <c r="AA82" t="str">
        <f>"13901-1043"</f>
        <v>13901-1043</v>
      </c>
      <c r="AB82" t="s">
        <v>123</v>
      </c>
      <c r="AC82" t="s">
        <v>113</v>
      </c>
      <c r="AD82" t="s">
        <v>108</v>
      </c>
      <c r="AE82" t="s">
        <v>114</v>
      </c>
      <c r="AF82" t="s">
        <v>115</v>
      </c>
      <c r="AG82" t="s">
        <v>116</v>
      </c>
      <c r="AK82" t="str">
        <f t="shared" si="9"/>
        <v/>
      </c>
      <c r="AL82" t="s">
        <v>5123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 s="24">
        <f t="shared" si="7"/>
        <v>1</v>
      </c>
      <c r="AY82" s="24" t="str">
        <f t="shared" si="7"/>
        <v/>
      </c>
      <c r="AZ82" s="24" t="str">
        <f t="shared" si="8"/>
        <v/>
      </c>
      <c r="BA82" s="24" t="str">
        <f t="shared" si="8"/>
        <v/>
      </c>
      <c r="BB82" s="24" t="str">
        <f t="shared" si="8"/>
        <v/>
      </c>
      <c r="BC82" s="24" t="str">
        <f t="shared" si="8"/>
        <v/>
      </c>
      <c r="BD82" s="24" t="str">
        <f t="shared" si="8"/>
        <v/>
      </c>
      <c r="BE82" s="24" t="str">
        <f t="shared" si="8"/>
        <v/>
      </c>
      <c r="BF82" s="24" t="str">
        <f t="shared" si="8"/>
        <v/>
      </c>
      <c r="BG82" s="24" t="str">
        <f t="shared" si="8"/>
        <v/>
      </c>
      <c r="BH82" s="24" t="str">
        <f t="shared" si="10"/>
        <v/>
      </c>
      <c r="BI82" s="24">
        <f t="shared" si="8"/>
        <v>1</v>
      </c>
      <c r="BJ82" s="24" t="str">
        <f t="shared" ref="BJ82:BJ145" si="11">IF(ISERROR(FIND(BJ$1,$L82,1)),"",1)</f>
        <v/>
      </c>
    </row>
    <row r="83" spans="1:62" ht="15" customHeight="1" x14ac:dyDescent="0.25">
      <c r="A83" t="str">
        <f>"1245475003"</f>
        <v>1245475003</v>
      </c>
      <c r="B83" t="str">
        <f>"03437294"</f>
        <v>03437294</v>
      </c>
      <c r="C83" t="s">
        <v>4101</v>
      </c>
      <c r="D83" t="s">
        <v>4102</v>
      </c>
      <c r="E83" t="s">
        <v>4103</v>
      </c>
      <c r="L83" t="s">
        <v>133</v>
      </c>
      <c r="M83" t="s">
        <v>108</v>
      </c>
      <c r="R83" t="s">
        <v>4101</v>
      </c>
      <c r="W83" t="s">
        <v>4104</v>
      </c>
      <c r="X83" t="s">
        <v>999</v>
      </c>
      <c r="Y83" t="s">
        <v>110</v>
      </c>
      <c r="Z83" t="s">
        <v>111</v>
      </c>
      <c r="AA83" t="str">
        <f>"13903-1645"</f>
        <v>13903-1645</v>
      </c>
      <c r="AB83" t="s">
        <v>1000</v>
      </c>
      <c r="AC83" t="s">
        <v>113</v>
      </c>
      <c r="AD83" t="s">
        <v>108</v>
      </c>
      <c r="AE83" t="s">
        <v>114</v>
      </c>
      <c r="AF83" t="s">
        <v>115</v>
      </c>
      <c r="AG83" t="s">
        <v>116</v>
      </c>
      <c r="AJ83" t="s">
        <v>7248</v>
      </c>
      <c r="AK83" t="str">
        <f t="shared" si="9"/>
        <v>BAHR JENNIFER</v>
      </c>
      <c r="AL83" t="s">
        <v>4102</v>
      </c>
      <c r="AM83" t="s">
        <v>108</v>
      </c>
      <c r="AN83" t="s">
        <v>108</v>
      </c>
      <c r="AO83" t="s">
        <v>108</v>
      </c>
      <c r="AP83" t="s">
        <v>108</v>
      </c>
      <c r="AQ83" t="s">
        <v>108</v>
      </c>
      <c r="AR83" t="s">
        <v>108</v>
      </c>
      <c r="AS83" t="s">
        <v>108</v>
      </c>
      <c r="AT83" t="s">
        <v>108</v>
      </c>
      <c r="AU83">
        <v>0</v>
      </c>
      <c r="AV83" t="s">
        <v>108</v>
      </c>
      <c r="AW83" t="s">
        <v>108</v>
      </c>
      <c r="AX83" s="24" t="str">
        <f t="shared" si="7"/>
        <v/>
      </c>
      <c r="AY83" s="24" t="str">
        <f t="shared" si="7"/>
        <v/>
      </c>
      <c r="AZ83" s="24" t="str">
        <f t="shared" si="8"/>
        <v/>
      </c>
      <c r="BA83" s="24" t="str">
        <f t="shared" si="8"/>
        <v/>
      </c>
      <c r="BB83" s="24" t="str">
        <f t="shared" si="8"/>
        <v/>
      </c>
      <c r="BC83" s="24" t="str">
        <f t="shared" si="8"/>
        <v/>
      </c>
      <c r="BD83" s="24" t="str">
        <f t="shared" si="8"/>
        <v/>
      </c>
      <c r="BE83" s="24" t="str">
        <f t="shared" si="8"/>
        <v/>
      </c>
      <c r="BF83" s="24" t="str">
        <f t="shared" si="8"/>
        <v/>
      </c>
      <c r="BG83" s="24" t="str">
        <f t="shared" si="8"/>
        <v/>
      </c>
      <c r="BH83" s="24" t="str">
        <f t="shared" si="10"/>
        <v/>
      </c>
      <c r="BI83" s="24" t="str">
        <f t="shared" si="8"/>
        <v/>
      </c>
      <c r="BJ83" s="24">
        <f t="shared" si="11"/>
        <v>1</v>
      </c>
    </row>
    <row r="84" spans="1:62" ht="15" customHeight="1" x14ac:dyDescent="0.25">
      <c r="A84" t="str">
        <f>"1104892736"</f>
        <v>1104892736</v>
      </c>
      <c r="B84" t="str">
        <f>"01224588"</f>
        <v>01224588</v>
      </c>
      <c r="C84" t="s">
        <v>2906</v>
      </c>
      <c r="D84" t="s">
        <v>2907</v>
      </c>
      <c r="E84" t="s">
        <v>2906</v>
      </c>
      <c r="L84" t="s">
        <v>120</v>
      </c>
      <c r="M84" t="s">
        <v>108</v>
      </c>
      <c r="R84" t="s">
        <v>2906</v>
      </c>
      <c r="W84" t="s">
        <v>2906</v>
      </c>
      <c r="X84" t="s">
        <v>2908</v>
      </c>
      <c r="Y84" t="s">
        <v>281</v>
      </c>
      <c r="Z84" t="s">
        <v>111</v>
      </c>
      <c r="AA84" t="str">
        <f>"13827-1635"</f>
        <v>13827-1635</v>
      </c>
      <c r="AB84" t="s">
        <v>123</v>
      </c>
      <c r="AC84" t="s">
        <v>113</v>
      </c>
      <c r="AD84" t="s">
        <v>108</v>
      </c>
      <c r="AE84" t="s">
        <v>114</v>
      </c>
      <c r="AF84" t="s">
        <v>115</v>
      </c>
      <c r="AG84" t="s">
        <v>116</v>
      </c>
      <c r="AK84" t="str">
        <f t="shared" si="9"/>
        <v/>
      </c>
      <c r="AL84" t="s">
        <v>2907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 s="24">
        <f t="shared" si="7"/>
        <v>1</v>
      </c>
      <c r="AY84" s="24" t="str">
        <f t="shared" si="7"/>
        <v/>
      </c>
      <c r="AZ84" s="24" t="str">
        <f t="shared" si="8"/>
        <v/>
      </c>
      <c r="BA84" s="24" t="str">
        <f t="shared" si="8"/>
        <v/>
      </c>
      <c r="BB84" s="24" t="str">
        <f t="shared" si="8"/>
        <v/>
      </c>
      <c r="BC84" s="24" t="str">
        <f t="shared" si="8"/>
        <v/>
      </c>
      <c r="BD84" s="24" t="str">
        <f t="shared" si="8"/>
        <v/>
      </c>
      <c r="BE84" s="24" t="str">
        <f t="shared" si="8"/>
        <v/>
      </c>
      <c r="BF84" s="24" t="str">
        <f t="shared" si="8"/>
        <v/>
      </c>
      <c r="BG84" s="24" t="str">
        <f t="shared" si="8"/>
        <v/>
      </c>
      <c r="BH84" s="24" t="str">
        <f t="shared" si="10"/>
        <v/>
      </c>
      <c r="BI84" s="24">
        <f t="shared" si="8"/>
        <v>1</v>
      </c>
      <c r="BJ84" s="24" t="str">
        <f t="shared" si="11"/>
        <v/>
      </c>
    </row>
    <row r="85" spans="1:62" ht="15" customHeight="1" x14ac:dyDescent="0.25">
      <c r="A85" t="str">
        <f>"1063700698"</f>
        <v>1063700698</v>
      </c>
      <c r="B85" t="str">
        <f>"03727786"</f>
        <v>03727786</v>
      </c>
      <c r="C85" t="s">
        <v>1318</v>
      </c>
      <c r="D85" t="s">
        <v>1319</v>
      </c>
      <c r="E85" t="s">
        <v>1320</v>
      </c>
      <c r="G85" t="s">
        <v>1300</v>
      </c>
      <c r="H85" t="s">
        <v>1301</v>
      </c>
      <c r="L85" t="s">
        <v>138</v>
      </c>
      <c r="M85" t="s">
        <v>108</v>
      </c>
      <c r="R85" t="s">
        <v>1318</v>
      </c>
      <c r="W85" t="s">
        <v>1320</v>
      </c>
      <c r="X85" t="s">
        <v>238</v>
      </c>
      <c r="Y85" t="s">
        <v>239</v>
      </c>
      <c r="Z85" t="s">
        <v>111</v>
      </c>
      <c r="AA85" t="str">
        <f>"13045-1206"</f>
        <v>13045-1206</v>
      </c>
      <c r="AB85" t="s">
        <v>123</v>
      </c>
      <c r="AC85" t="s">
        <v>113</v>
      </c>
      <c r="AD85" t="s">
        <v>108</v>
      </c>
      <c r="AE85" t="s">
        <v>114</v>
      </c>
      <c r="AF85" t="s">
        <v>142</v>
      </c>
      <c r="AG85" t="s">
        <v>116</v>
      </c>
      <c r="AK85" t="str">
        <f t="shared" si="9"/>
        <v/>
      </c>
      <c r="AL85" t="s">
        <v>1319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 s="24" t="str">
        <f t="shared" si="7"/>
        <v/>
      </c>
      <c r="AY85" s="24">
        <f t="shared" si="7"/>
        <v>1</v>
      </c>
      <c r="AZ85" s="24" t="str">
        <f t="shared" si="8"/>
        <v/>
      </c>
      <c r="BA85" s="24" t="str">
        <f t="shared" si="8"/>
        <v/>
      </c>
      <c r="BB85" s="24" t="str">
        <f t="shared" si="8"/>
        <v/>
      </c>
      <c r="BC85" s="24" t="str">
        <f t="shared" si="8"/>
        <v/>
      </c>
      <c r="BD85" s="24" t="str">
        <f t="shared" si="8"/>
        <v/>
      </c>
      <c r="BE85" s="24" t="str">
        <f t="shared" si="8"/>
        <v/>
      </c>
      <c r="BF85" s="24" t="str">
        <f t="shared" si="8"/>
        <v/>
      </c>
      <c r="BG85" s="24" t="str">
        <f t="shared" si="8"/>
        <v/>
      </c>
      <c r="BH85" s="24" t="str">
        <f t="shared" si="10"/>
        <v/>
      </c>
      <c r="BI85" s="24">
        <f t="shared" si="8"/>
        <v>1</v>
      </c>
      <c r="BJ85" s="24" t="str">
        <f t="shared" si="11"/>
        <v/>
      </c>
    </row>
    <row r="86" spans="1:62" ht="15" customHeight="1" x14ac:dyDescent="0.25">
      <c r="A86" t="str">
        <f>"1144475401"</f>
        <v>1144475401</v>
      </c>
      <c r="B86" t="str">
        <f>"03641027"</f>
        <v>03641027</v>
      </c>
      <c r="C86" t="s">
        <v>2259</v>
      </c>
      <c r="D86" t="s">
        <v>2260</v>
      </c>
      <c r="E86" t="s">
        <v>2261</v>
      </c>
      <c r="G86" t="s">
        <v>177</v>
      </c>
      <c r="H86" t="s">
        <v>178</v>
      </c>
      <c r="J86" t="s">
        <v>179</v>
      </c>
      <c r="L86" t="s">
        <v>138</v>
      </c>
      <c r="M86" t="s">
        <v>108</v>
      </c>
      <c r="R86" t="s">
        <v>2259</v>
      </c>
      <c r="W86" t="s">
        <v>2261</v>
      </c>
      <c r="X86" t="s">
        <v>196</v>
      </c>
      <c r="Y86" t="s">
        <v>181</v>
      </c>
      <c r="Z86" t="s">
        <v>182</v>
      </c>
      <c r="AA86" t="str">
        <f>"18840-1625"</f>
        <v>18840-1625</v>
      </c>
      <c r="AB86" t="s">
        <v>123</v>
      </c>
      <c r="AC86" t="s">
        <v>113</v>
      </c>
      <c r="AD86" t="s">
        <v>108</v>
      </c>
      <c r="AE86" t="s">
        <v>114</v>
      </c>
      <c r="AF86" t="s">
        <v>115</v>
      </c>
      <c r="AG86" t="s">
        <v>116</v>
      </c>
      <c r="AK86" t="str">
        <f t="shared" si="9"/>
        <v/>
      </c>
      <c r="AL86" t="s">
        <v>2260</v>
      </c>
      <c r="AM86">
        <v>1</v>
      </c>
      <c r="AN86">
        <v>1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1</v>
      </c>
      <c r="AW86">
        <v>0</v>
      </c>
      <c r="AX86" s="24" t="str">
        <f t="shared" si="7"/>
        <v/>
      </c>
      <c r="AY86" s="24">
        <f t="shared" si="7"/>
        <v>1</v>
      </c>
      <c r="AZ86" s="24" t="str">
        <f t="shared" si="8"/>
        <v/>
      </c>
      <c r="BA86" s="24" t="str">
        <f t="shared" si="8"/>
        <v/>
      </c>
      <c r="BB86" s="24" t="str">
        <f t="shared" si="8"/>
        <v/>
      </c>
      <c r="BC86" s="24" t="str">
        <f t="shared" si="8"/>
        <v/>
      </c>
      <c r="BD86" s="24" t="str">
        <f t="shared" si="8"/>
        <v/>
      </c>
      <c r="BE86" s="24" t="str">
        <f t="shared" si="8"/>
        <v/>
      </c>
      <c r="BF86" s="24" t="str">
        <f t="shared" si="8"/>
        <v/>
      </c>
      <c r="BG86" s="24" t="str">
        <f t="shared" si="8"/>
        <v/>
      </c>
      <c r="BH86" s="24" t="str">
        <f t="shared" si="10"/>
        <v/>
      </c>
      <c r="BI86" s="24">
        <f t="shared" si="8"/>
        <v>1</v>
      </c>
      <c r="BJ86" s="24" t="str">
        <f t="shared" si="11"/>
        <v/>
      </c>
    </row>
    <row r="87" spans="1:62" ht="15" customHeight="1" x14ac:dyDescent="0.25">
      <c r="A87" t="str">
        <f>"1316158892"</f>
        <v>1316158892</v>
      </c>
      <c r="B87" t="str">
        <f>"03649314"</f>
        <v>03649314</v>
      </c>
      <c r="C87" t="s">
        <v>208</v>
      </c>
      <c r="D87" t="s">
        <v>209</v>
      </c>
      <c r="E87" t="s">
        <v>210</v>
      </c>
      <c r="G87" t="s">
        <v>177</v>
      </c>
      <c r="H87" t="s">
        <v>178</v>
      </c>
      <c r="J87" t="s">
        <v>179</v>
      </c>
      <c r="L87" t="s">
        <v>138</v>
      </c>
      <c r="M87" t="s">
        <v>108</v>
      </c>
      <c r="R87" t="s">
        <v>208</v>
      </c>
      <c r="W87" t="s">
        <v>210</v>
      </c>
      <c r="X87" t="s">
        <v>196</v>
      </c>
      <c r="Y87" t="s">
        <v>181</v>
      </c>
      <c r="Z87" t="s">
        <v>182</v>
      </c>
      <c r="AA87" t="str">
        <f>"18840-1625"</f>
        <v>18840-1625</v>
      </c>
      <c r="AB87" t="s">
        <v>123</v>
      </c>
      <c r="AC87" t="s">
        <v>113</v>
      </c>
      <c r="AD87" t="s">
        <v>108</v>
      </c>
      <c r="AE87" t="s">
        <v>114</v>
      </c>
      <c r="AF87" t="s">
        <v>115</v>
      </c>
      <c r="AG87" t="s">
        <v>116</v>
      </c>
      <c r="AK87" t="str">
        <f t="shared" si="9"/>
        <v/>
      </c>
      <c r="AL87" t="s">
        <v>209</v>
      </c>
      <c r="AM87">
        <v>1</v>
      </c>
      <c r="AN87">
        <v>1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1</v>
      </c>
      <c r="AW87">
        <v>0</v>
      </c>
      <c r="AX87" s="24" t="str">
        <f t="shared" si="7"/>
        <v/>
      </c>
      <c r="AY87" s="24">
        <f t="shared" si="7"/>
        <v>1</v>
      </c>
      <c r="AZ87" s="24" t="str">
        <f t="shared" si="8"/>
        <v/>
      </c>
      <c r="BA87" s="24" t="str">
        <f t="shared" si="8"/>
        <v/>
      </c>
      <c r="BB87" s="24" t="str">
        <f t="shared" si="8"/>
        <v/>
      </c>
      <c r="BC87" s="24" t="str">
        <f t="shared" si="8"/>
        <v/>
      </c>
      <c r="BD87" s="24" t="str">
        <f t="shared" si="8"/>
        <v/>
      </c>
      <c r="BE87" s="24" t="str">
        <f t="shared" si="8"/>
        <v/>
      </c>
      <c r="BF87" s="24" t="str">
        <f t="shared" si="8"/>
        <v/>
      </c>
      <c r="BG87" s="24" t="str">
        <f t="shared" si="8"/>
        <v/>
      </c>
      <c r="BH87" s="24" t="str">
        <f t="shared" si="10"/>
        <v/>
      </c>
      <c r="BI87" s="24">
        <f t="shared" si="8"/>
        <v>1</v>
      </c>
      <c r="BJ87" s="24" t="str">
        <f t="shared" si="11"/>
        <v/>
      </c>
    </row>
    <row r="88" spans="1:62" ht="15" customHeight="1" x14ac:dyDescent="0.25">
      <c r="A88" t="str">
        <f>"1316938822"</f>
        <v>1316938822</v>
      </c>
      <c r="B88" t="str">
        <f>"02326098"</f>
        <v>02326098</v>
      </c>
      <c r="C88" t="s">
        <v>4898</v>
      </c>
      <c r="D88" t="s">
        <v>4899</v>
      </c>
      <c r="E88" t="s">
        <v>4900</v>
      </c>
      <c r="G88" t="s">
        <v>6330</v>
      </c>
      <c r="H88" t="s">
        <v>6331</v>
      </c>
      <c r="J88" t="s">
        <v>6332</v>
      </c>
      <c r="L88" t="s">
        <v>120</v>
      </c>
      <c r="M88" t="s">
        <v>108</v>
      </c>
      <c r="R88" t="s">
        <v>4898</v>
      </c>
      <c r="W88" t="s">
        <v>4900</v>
      </c>
      <c r="X88" t="s">
        <v>881</v>
      </c>
      <c r="Y88" t="s">
        <v>321</v>
      </c>
      <c r="Z88" t="s">
        <v>111</v>
      </c>
      <c r="AA88" t="str">
        <f>"13760-5430"</f>
        <v>13760-5430</v>
      </c>
      <c r="AB88" t="s">
        <v>123</v>
      </c>
      <c r="AC88" t="s">
        <v>113</v>
      </c>
      <c r="AD88" t="s">
        <v>108</v>
      </c>
      <c r="AE88" t="s">
        <v>114</v>
      </c>
      <c r="AF88" t="s">
        <v>115</v>
      </c>
      <c r="AG88" t="s">
        <v>116</v>
      </c>
      <c r="AK88" t="str">
        <f t="shared" si="9"/>
        <v/>
      </c>
      <c r="AL88" t="s">
        <v>4899</v>
      </c>
      <c r="AM88">
        <v>1</v>
      </c>
      <c r="AN88">
        <v>1</v>
      </c>
      <c r="AO88">
        <v>0</v>
      </c>
      <c r="AP88">
        <v>1</v>
      </c>
      <c r="AQ88">
        <v>1</v>
      </c>
      <c r="AR88">
        <v>1</v>
      </c>
      <c r="AS88">
        <v>0</v>
      </c>
      <c r="AT88">
        <v>0</v>
      </c>
      <c r="AU88">
        <v>1</v>
      </c>
      <c r="AV88">
        <v>0</v>
      </c>
      <c r="AW88">
        <v>0</v>
      </c>
      <c r="AX88" s="24">
        <f t="shared" si="7"/>
        <v>1</v>
      </c>
      <c r="AY88" s="24" t="str">
        <f t="shared" si="7"/>
        <v/>
      </c>
      <c r="AZ88" s="24" t="str">
        <f t="shared" si="8"/>
        <v/>
      </c>
      <c r="BA88" s="24" t="str">
        <f t="shared" si="8"/>
        <v/>
      </c>
      <c r="BB88" s="24" t="str">
        <f t="shared" si="8"/>
        <v/>
      </c>
      <c r="BC88" s="24" t="str">
        <f t="shared" si="8"/>
        <v/>
      </c>
      <c r="BD88" s="24" t="str">
        <f t="shared" si="8"/>
        <v/>
      </c>
      <c r="BE88" s="24" t="str">
        <f t="shared" si="8"/>
        <v/>
      </c>
      <c r="BF88" s="24" t="str">
        <f t="shared" si="8"/>
        <v/>
      </c>
      <c r="BG88" s="24" t="str">
        <f t="shared" si="8"/>
        <v/>
      </c>
      <c r="BH88" s="24" t="str">
        <f t="shared" si="10"/>
        <v/>
      </c>
      <c r="BI88" s="24">
        <f t="shared" si="8"/>
        <v>1</v>
      </c>
      <c r="BJ88" s="24" t="str">
        <f t="shared" si="11"/>
        <v/>
      </c>
    </row>
    <row r="89" spans="1:62" ht="15" customHeight="1" x14ac:dyDescent="0.25">
      <c r="A89" t="str">
        <f>"1417019860"</f>
        <v>1417019860</v>
      </c>
      <c r="B89" t="str">
        <f>"01144518"</f>
        <v>01144518</v>
      </c>
      <c r="C89" t="s">
        <v>661</v>
      </c>
      <c r="D89" t="s">
        <v>662</v>
      </c>
      <c r="E89" t="s">
        <v>663</v>
      </c>
      <c r="G89" t="s">
        <v>638</v>
      </c>
      <c r="H89" t="s">
        <v>645</v>
      </c>
      <c r="J89" t="s">
        <v>664</v>
      </c>
      <c r="L89" t="s">
        <v>6867</v>
      </c>
      <c r="M89" t="s">
        <v>108</v>
      </c>
      <c r="R89" t="s">
        <v>665</v>
      </c>
      <c r="W89" t="s">
        <v>666</v>
      </c>
      <c r="X89" t="s">
        <v>667</v>
      </c>
      <c r="Y89" t="s">
        <v>668</v>
      </c>
      <c r="Z89" t="s">
        <v>111</v>
      </c>
      <c r="AA89" t="str">
        <f>"13126-2507"</f>
        <v>13126-2507</v>
      </c>
      <c r="AB89" t="s">
        <v>123</v>
      </c>
      <c r="AC89" t="s">
        <v>113</v>
      </c>
      <c r="AD89" t="s">
        <v>108</v>
      </c>
      <c r="AE89" t="s">
        <v>114</v>
      </c>
      <c r="AF89" t="s">
        <v>142</v>
      </c>
      <c r="AG89" t="s">
        <v>116</v>
      </c>
      <c r="AK89" t="str">
        <f t="shared" si="9"/>
        <v/>
      </c>
      <c r="AL89" t="s">
        <v>662</v>
      </c>
      <c r="AM89">
        <v>1</v>
      </c>
      <c r="AN89">
        <v>1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 s="24">
        <f t="shared" si="7"/>
        <v>1</v>
      </c>
      <c r="AY89" s="24">
        <f t="shared" si="7"/>
        <v>1</v>
      </c>
      <c r="AZ89" s="24" t="str">
        <f t="shared" si="8"/>
        <v/>
      </c>
      <c r="BA89" s="24" t="str">
        <f t="shared" si="8"/>
        <v/>
      </c>
      <c r="BB89" s="24" t="str">
        <f t="shared" si="8"/>
        <v/>
      </c>
      <c r="BC89" s="24" t="str">
        <f t="shared" si="8"/>
        <v/>
      </c>
      <c r="BD89" s="24" t="str">
        <f t="shared" si="8"/>
        <v/>
      </c>
      <c r="BE89" s="24" t="str">
        <f t="shared" si="8"/>
        <v/>
      </c>
      <c r="BF89" s="24" t="str">
        <f t="shared" si="8"/>
        <v/>
      </c>
      <c r="BG89" s="24" t="str">
        <f t="shared" si="8"/>
        <v/>
      </c>
      <c r="BH89" s="24" t="str">
        <f t="shared" si="10"/>
        <v/>
      </c>
      <c r="BI89" s="24">
        <f t="shared" si="8"/>
        <v>1</v>
      </c>
      <c r="BJ89" s="24" t="str">
        <f t="shared" si="11"/>
        <v/>
      </c>
    </row>
    <row r="90" spans="1:62" ht="15" customHeight="1" x14ac:dyDescent="0.25">
      <c r="A90" t="str">
        <f>"1255398079"</f>
        <v>1255398079</v>
      </c>
      <c r="B90" t="str">
        <f>"01241143"</f>
        <v>01241143</v>
      </c>
      <c r="C90" t="s">
        <v>5430</v>
      </c>
      <c r="D90" t="s">
        <v>5431</v>
      </c>
      <c r="E90" t="s">
        <v>5432</v>
      </c>
      <c r="G90" t="s">
        <v>5430</v>
      </c>
      <c r="H90" t="s">
        <v>5425</v>
      </c>
      <c r="J90" t="s">
        <v>5433</v>
      </c>
      <c r="L90" t="s">
        <v>6867</v>
      </c>
      <c r="M90" t="s">
        <v>108</v>
      </c>
      <c r="R90" t="s">
        <v>5434</v>
      </c>
      <c r="W90" t="s">
        <v>5432</v>
      </c>
      <c r="X90" t="s">
        <v>180</v>
      </c>
      <c r="Y90" t="s">
        <v>181</v>
      </c>
      <c r="Z90" t="s">
        <v>182</v>
      </c>
      <c r="AA90" t="str">
        <f>"18840"</f>
        <v>18840</v>
      </c>
      <c r="AB90" t="s">
        <v>123</v>
      </c>
      <c r="AC90" t="s">
        <v>113</v>
      </c>
      <c r="AD90" t="s">
        <v>108</v>
      </c>
      <c r="AE90" t="s">
        <v>114</v>
      </c>
      <c r="AF90" t="s">
        <v>115</v>
      </c>
      <c r="AG90" t="s">
        <v>116</v>
      </c>
      <c r="AK90" t="str">
        <f t="shared" si="9"/>
        <v/>
      </c>
      <c r="AL90" t="s">
        <v>5431</v>
      </c>
      <c r="AM90">
        <v>1</v>
      </c>
      <c r="AN90">
        <v>1</v>
      </c>
      <c r="AO90">
        <v>0</v>
      </c>
      <c r="AP90">
        <v>1</v>
      </c>
      <c r="AQ90">
        <v>1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 s="24">
        <f t="shared" si="7"/>
        <v>1</v>
      </c>
      <c r="AY90" s="24">
        <f t="shared" si="7"/>
        <v>1</v>
      </c>
      <c r="AZ90" s="24" t="str">
        <f t="shared" si="8"/>
        <v/>
      </c>
      <c r="BA90" s="24" t="str">
        <f t="shared" ref="AZ90:BI115" si="12">IF(ISERROR(FIND(BA$1,$L90,1)),"",1)</f>
        <v/>
      </c>
      <c r="BB90" s="24" t="str">
        <f t="shared" si="12"/>
        <v/>
      </c>
      <c r="BC90" s="24" t="str">
        <f t="shared" si="12"/>
        <v/>
      </c>
      <c r="BD90" s="24" t="str">
        <f t="shared" si="12"/>
        <v/>
      </c>
      <c r="BE90" s="24" t="str">
        <f t="shared" si="12"/>
        <v/>
      </c>
      <c r="BF90" s="24" t="str">
        <f t="shared" si="12"/>
        <v/>
      </c>
      <c r="BG90" s="24" t="str">
        <f t="shared" si="12"/>
        <v/>
      </c>
      <c r="BH90" s="24" t="str">
        <f t="shared" si="10"/>
        <v/>
      </c>
      <c r="BI90" s="24">
        <f t="shared" si="12"/>
        <v>1</v>
      </c>
      <c r="BJ90" s="24" t="str">
        <f t="shared" si="11"/>
        <v/>
      </c>
    </row>
    <row r="91" spans="1:62" ht="15" customHeight="1" x14ac:dyDescent="0.25">
      <c r="A91" t="str">
        <f>"1134261993"</f>
        <v>1134261993</v>
      </c>
      <c r="B91" t="str">
        <f>"03198661"</f>
        <v>03198661</v>
      </c>
      <c r="C91" t="s">
        <v>6654</v>
      </c>
      <c r="D91" t="s">
        <v>6655</v>
      </c>
      <c r="E91" t="s">
        <v>6656</v>
      </c>
      <c r="G91" t="s">
        <v>1686</v>
      </c>
      <c r="H91" t="s">
        <v>1683</v>
      </c>
      <c r="J91" t="s">
        <v>6657</v>
      </c>
      <c r="L91" t="s">
        <v>120</v>
      </c>
      <c r="M91" t="s">
        <v>108</v>
      </c>
      <c r="R91" t="s">
        <v>6658</v>
      </c>
      <c r="W91" t="s">
        <v>6659</v>
      </c>
      <c r="X91" t="s">
        <v>6660</v>
      </c>
      <c r="Y91" t="s">
        <v>293</v>
      </c>
      <c r="Z91" t="s">
        <v>111</v>
      </c>
      <c r="AA91" t="str">
        <f>"14850-4130"</f>
        <v>14850-4130</v>
      </c>
      <c r="AB91" t="s">
        <v>123</v>
      </c>
      <c r="AC91" t="s">
        <v>113</v>
      </c>
      <c r="AD91" t="s">
        <v>108</v>
      </c>
      <c r="AE91" t="s">
        <v>114</v>
      </c>
      <c r="AF91" t="s">
        <v>142</v>
      </c>
      <c r="AG91" t="s">
        <v>116</v>
      </c>
      <c r="AJ91" t="s">
        <v>7250</v>
      </c>
      <c r="AK91" t="str">
        <f t="shared" si="9"/>
        <v>Barbara Wood, FNP</v>
      </c>
      <c r="AL91" t="s">
        <v>6655</v>
      </c>
      <c r="AM91" t="s">
        <v>108</v>
      </c>
      <c r="AN91" t="s">
        <v>108</v>
      </c>
      <c r="AO91" t="s">
        <v>108</v>
      </c>
      <c r="AP91" t="s">
        <v>108</v>
      </c>
      <c r="AQ91" t="s">
        <v>108</v>
      </c>
      <c r="AR91" t="s">
        <v>108</v>
      </c>
      <c r="AS91" t="s">
        <v>108</v>
      </c>
      <c r="AT91" t="s">
        <v>108</v>
      </c>
      <c r="AU91">
        <v>0</v>
      </c>
      <c r="AV91" t="s">
        <v>108</v>
      </c>
      <c r="AW91" t="s">
        <v>108</v>
      </c>
      <c r="AX91" s="24">
        <f t="shared" si="7"/>
        <v>1</v>
      </c>
      <c r="AY91" s="24" t="str">
        <f t="shared" si="7"/>
        <v/>
      </c>
      <c r="AZ91" s="24" t="str">
        <f t="shared" si="12"/>
        <v/>
      </c>
      <c r="BA91" s="24" t="str">
        <f t="shared" si="12"/>
        <v/>
      </c>
      <c r="BB91" s="24" t="str">
        <f t="shared" si="12"/>
        <v/>
      </c>
      <c r="BC91" s="24" t="str">
        <f t="shared" si="12"/>
        <v/>
      </c>
      <c r="BD91" s="24" t="str">
        <f t="shared" si="12"/>
        <v/>
      </c>
      <c r="BE91" s="24" t="str">
        <f t="shared" si="12"/>
        <v/>
      </c>
      <c r="BF91" s="24" t="str">
        <f t="shared" si="12"/>
        <v/>
      </c>
      <c r="BG91" s="24" t="str">
        <f t="shared" si="12"/>
        <v/>
      </c>
      <c r="BH91" s="24" t="str">
        <f t="shared" si="10"/>
        <v/>
      </c>
      <c r="BI91" s="24">
        <f t="shared" si="12"/>
        <v>1</v>
      </c>
      <c r="BJ91" s="24" t="str">
        <f t="shared" si="11"/>
        <v/>
      </c>
    </row>
    <row r="92" spans="1:62" ht="15" customHeight="1" x14ac:dyDescent="0.25">
      <c r="A92" t="str">
        <f>"1851410732"</f>
        <v>1851410732</v>
      </c>
      <c r="B92" t="str">
        <f>"02752541"</f>
        <v>02752541</v>
      </c>
      <c r="C92" t="s">
        <v>3484</v>
      </c>
      <c r="D92" t="s">
        <v>3485</v>
      </c>
      <c r="E92" t="s">
        <v>3486</v>
      </c>
      <c r="L92" t="s">
        <v>809</v>
      </c>
      <c r="M92" t="s">
        <v>108</v>
      </c>
      <c r="R92" t="s">
        <v>3484</v>
      </c>
      <c r="W92" t="s">
        <v>3486</v>
      </c>
      <c r="X92" t="s">
        <v>3487</v>
      </c>
      <c r="Y92" t="s">
        <v>110</v>
      </c>
      <c r="Z92" t="s">
        <v>111</v>
      </c>
      <c r="AA92" t="str">
        <f>"13905-4537"</f>
        <v>13905-4537</v>
      </c>
      <c r="AB92" t="s">
        <v>811</v>
      </c>
      <c r="AC92" t="s">
        <v>113</v>
      </c>
      <c r="AD92" t="s">
        <v>108</v>
      </c>
      <c r="AE92" t="s">
        <v>114</v>
      </c>
      <c r="AF92" t="s">
        <v>115</v>
      </c>
      <c r="AG92" t="s">
        <v>116</v>
      </c>
      <c r="AK92" t="str">
        <f t="shared" si="9"/>
        <v/>
      </c>
      <c r="AL92" t="s">
        <v>3485</v>
      </c>
      <c r="AM92">
        <v>1</v>
      </c>
      <c r="AN92">
        <v>1</v>
      </c>
      <c r="AO92">
        <v>0</v>
      </c>
      <c r="AP92">
        <v>1</v>
      </c>
      <c r="AQ92">
        <v>1</v>
      </c>
      <c r="AR92">
        <v>1</v>
      </c>
      <c r="AS92">
        <v>0</v>
      </c>
      <c r="AT92">
        <v>0</v>
      </c>
      <c r="AU92">
        <v>0</v>
      </c>
      <c r="AV92">
        <v>0</v>
      </c>
      <c r="AW92">
        <v>0</v>
      </c>
      <c r="AX92" s="24" t="str">
        <f t="shared" si="7"/>
        <v/>
      </c>
      <c r="AY92" s="24">
        <f t="shared" si="7"/>
        <v>1</v>
      </c>
      <c r="AZ92" s="24" t="str">
        <f t="shared" si="12"/>
        <v/>
      </c>
      <c r="BA92" s="24" t="str">
        <f t="shared" si="12"/>
        <v/>
      </c>
      <c r="BB92" s="24" t="str">
        <f t="shared" si="12"/>
        <v/>
      </c>
      <c r="BC92" s="24">
        <f t="shared" si="12"/>
        <v>1</v>
      </c>
      <c r="BD92" s="24" t="str">
        <f t="shared" si="12"/>
        <v/>
      </c>
      <c r="BE92" s="24" t="str">
        <f t="shared" si="12"/>
        <v/>
      </c>
      <c r="BF92" s="24" t="str">
        <f t="shared" si="12"/>
        <v/>
      </c>
      <c r="BG92" s="24" t="str">
        <f t="shared" si="12"/>
        <v/>
      </c>
      <c r="BH92" s="24" t="str">
        <f t="shared" si="10"/>
        <v/>
      </c>
      <c r="BI92" s="24" t="str">
        <f t="shared" si="12"/>
        <v/>
      </c>
      <c r="BJ92" s="24" t="str">
        <f t="shared" si="11"/>
        <v/>
      </c>
    </row>
    <row r="93" spans="1:62" ht="15" customHeight="1" x14ac:dyDescent="0.25">
      <c r="A93" t="str">
        <f>"1306896196"</f>
        <v>1306896196</v>
      </c>
      <c r="B93" t="str">
        <f>"02752830"</f>
        <v>02752830</v>
      </c>
      <c r="C93" t="s">
        <v>4894</v>
      </c>
      <c r="D93" t="s">
        <v>4895</v>
      </c>
      <c r="E93" t="s">
        <v>4896</v>
      </c>
      <c r="L93" t="s">
        <v>138</v>
      </c>
      <c r="M93" t="s">
        <v>108</v>
      </c>
      <c r="R93" t="s">
        <v>4894</v>
      </c>
      <c r="W93" t="s">
        <v>4896</v>
      </c>
      <c r="X93" t="s">
        <v>1226</v>
      </c>
      <c r="Y93" t="s">
        <v>4897</v>
      </c>
      <c r="Z93" t="s">
        <v>111</v>
      </c>
      <c r="AA93" t="str">
        <f>"13413-1068"</f>
        <v>13413-1068</v>
      </c>
      <c r="AB93" t="s">
        <v>123</v>
      </c>
      <c r="AC93" t="s">
        <v>113</v>
      </c>
      <c r="AD93" t="s">
        <v>108</v>
      </c>
      <c r="AE93" t="s">
        <v>114</v>
      </c>
      <c r="AF93" t="s">
        <v>115</v>
      </c>
      <c r="AG93" t="s">
        <v>116</v>
      </c>
      <c r="AK93" t="str">
        <f t="shared" si="9"/>
        <v/>
      </c>
      <c r="AL93" t="s">
        <v>4895</v>
      </c>
      <c r="AM93">
        <v>1</v>
      </c>
      <c r="AN93">
        <v>1</v>
      </c>
      <c r="AO93">
        <v>0</v>
      </c>
      <c r="AP93">
        <v>1</v>
      </c>
      <c r="AQ93">
        <v>1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 s="24" t="str">
        <f t="shared" si="7"/>
        <v/>
      </c>
      <c r="AY93" s="24">
        <f t="shared" si="7"/>
        <v>1</v>
      </c>
      <c r="AZ93" s="24" t="str">
        <f t="shared" si="12"/>
        <v/>
      </c>
      <c r="BA93" s="24" t="str">
        <f t="shared" si="12"/>
        <v/>
      </c>
      <c r="BB93" s="24" t="str">
        <f t="shared" si="12"/>
        <v/>
      </c>
      <c r="BC93" s="24" t="str">
        <f t="shared" si="12"/>
        <v/>
      </c>
      <c r="BD93" s="24" t="str">
        <f t="shared" si="12"/>
        <v/>
      </c>
      <c r="BE93" s="24" t="str">
        <f t="shared" si="12"/>
        <v/>
      </c>
      <c r="BF93" s="24" t="str">
        <f t="shared" si="12"/>
        <v/>
      </c>
      <c r="BG93" s="24" t="str">
        <f t="shared" si="12"/>
        <v/>
      </c>
      <c r="BH93" s="24" t="str">
        <f t="shared" si="10"/>
        <v/>
      </c>
      <c r="BI93" s="24">
        <f t="shared" si="12"/>
        <v>1</v>
      </c>
      <c r="BJ93" s="24" t="str">
        <f t="shared" si="11"/>
        <v/>
      </c>
    </row>
    <row r="94" spans="1:62" ht="15" customHeight="1" x14ac:dyDescent="0.25">
      <c r="A94" t="str">
        <f>"1558308627"</f>
        <v>1558308627</v>
      </c>
      <c r="B94" t="str">
        <f>"02326121"</f>
        <v>02326121</v>
      </c>
      <c r="C94" t="s">
        <v>872</v>
      </c>
      <c r="D94" t="s">
        <v>873</v>
      </c>
      <c r="E94" t="s">
        <v>874</v>
      </c>
      <c r="L94" t="s">
        <v>120</v>
      </c>
      <c r="M94" t="s">
        <v>108</v>
      </c>
      <c r="R94" t="s">
        <v>872</v>
      </c>
      <c r="W94" t="s">
        <v>875</v>
      </c>
      <c r="X94" t="s">
        <v>876</v>
      </c>
      <c r="Y94" t="s">
        <v>877</v>
      </c>
      <c r="Z94" t="s">
        <v>111</v>
      </c>
      <c r="AA94" t="str">
        <f>"13865-4109"</f>
        <v>13865-4109</v>
      </c>
      <c r="AB94" t="s">
        <v>123</v>
      </c>
      <c r="AC94" t="s">
        <v>113</v>
      </c>
      <c r="AD94" t="s">
        <v>108</v>
      </c>
      <c r="AE94" t="s">
        <v>114</v>
      </c>
      <c r="AF94" t="s">
        <v>115</v>
      </c>
      <c r="AG94" t="s">
        <v>116</v>
      </c>
      <c r="AK94" t="str">
        <f t="shared" si="9"/>
        <v/>
      </c>
      <c r="AL94" t="s">
        <v>873</v>
      </c>
      <c r="AM94">
        <v>1</v>
      </c>
      <c r="AN94">
        <v>1</v>
      </c>
      <c r="AO94">
        <v>0</v>
      </c>
      <c r="AP94">
        <v>1</v>
      </c>
      <c r="AQ94">
        <v>1</v>
      </c>
      <c r="AR94">
        <v>0</v>
      </c>
      <c r="AS94">
        <v>0</v>
      </c>
      <c r="AT94">
        <v>0</v>
      </c>
      <c r="AU94">
        <v>1</v>
      </c>
      <c r="AV94">
        <v>0</v>
      </c>
      <c r="AW94">
        <v>0</v>
      </c>
      <c r="AX94" s="24">
        <f t="shared" si="7"/>
        <v>1</v>
      </c>
      <c r="AY94" s="24" t="str">
        <f t="shared" si="7"/>
        <v/>
      </c>
      <c r="AZ94" s="24" t="str">
        <f t="shared" si="12"/>
        <v/>
      </c>
      <c r="BA94" s="24" t="str">
        <f t="shared" si="12"/>
        <v/>
      </c>
      <c r="BB94" s="24" t="str">
        <f t="shared" si="12"/>
        <v/>
      </c>
      <c r="BC94" s="24" t="str">
        <f t="shared" si="12"/>
        <v/>
      </c>
      <c r="BD94" s="24" t="str">
        <f t="shared" si="12"/>
        <v/>
      </c>
      <c r="BE94" s="24" t="str">
        <f t="shared" si="12"/>
        <v/>
      </c>
      <c r="BF94" s="24" t="str">
        <f t="shared" si="12"/>
        <v/>
      </c>
      <c r="BG94" s="24" t="str">
        <f t="shared" si="12"/>
        <v/>
      </c>
      <c r="BH94" s="24" t="str">
        <f t="shared" si="10"/>
        <v/>
      </c>
      <c r="BI94" s="24">
        <f t="shared" si="12"/>
        <v>1</v>
      </c>
      <c r="BJ94" s="24" t="str">
        <f t="shared" si="11"/>
        <v/>
      </c>
    </row>
    <row r="95" spans="1:62" ht="15" customHeight="1" x14ac:dyDescent="0.25">
      <c r="A95" t="str">
        <f>"1659368215"</f>
        <v>1659368215</v>
      </c>
      <c r="B95" t="str">
        <f>"00700147"</f>
        <v>00700147</v>
      </c>
      <c r="C95" t="s">
        <v>1906</v>
      </c>
      <c r="D95" t="s">
        <v>1907</v>
      </c>
      <c r="E95" t="s">
        <v>1908</v>
      </c>
      <c r="L95" t="s">
        <v>6867</v>
      </c>
      <c r="M95" t="s">
        <v>108</v>
      </c>
      <c r="R95" t="s">
        <v>1906</v>
      </c>
      <c r="W95" t="s">
        <v>1908</v>
      </c>
      <c r="Y95" t="s">
        <v>129</v>
      </c>
      <c r="Z95" t="s">
        <v>111</v>
      </c>
      <c r="AA95" t="str">
        <f>"13790-2174"</f>
        <v>13790-2174</v>
      </c>
      <c r="AB95" t="s">
        <v>123</v>
      </c>
      <c r="AC95" t="s">
        <v>113</v>
      </c>
      <c r="AD95" t="s">
        <v>108</v>
      </c>
      <c r="AE95" t="s">
        <v>114</v>
      </c>
      <c r="AF95" t="s">
        <v>115</v>
      </c>
      <c r="AG95" t="s">
        <v>116</v>
      </c>
      <c r="AK95" t="str">
        <f t="shared" si="9"/>
        <v/>
      </c>
      <c r="AL95" t="s">
        <v>1907</v>
      </c>
      <c r="AM95">
        <v>1</v>
      </c>
      <c r="AN95">
        <v>1</v>
      </c>
      <c r="AO95">
        <v>0</v>
      </c>
      <c r="AP95">
        <v>1</v>
      </c>
      <c r="AQ95">
        <v>1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 s="24">
        <f t="shared" si="7"/>
        <v>1</v>
      </c>
      <c r="AY95" s="24">
        <f t="shared" si="7"/>
        <v>1</v>
      </c>
      <c r="AZ95" s="24" t="str">
        <f t="shared" si="12"/>
        <v/>
      </c>
      <c r="BA95" s="24" t="str">
        <f t="shared" si="12"/>
        <v/>
      </c>
      <c r="BB95" s="24" t="str">
        <f t="shared" si="12"/>
        <v/>
      </c>
      <c r="BC95" s="24" t="str">
        <f t="shared" si="12"/>
        <v/>
      </c>
      <c r="BD95" s="24" t="str">
        <f t="shared" si="12"/>
        <v/>
      </c>
      <c r="BE95" s="24" t="str">
        <f t="shared" si="12"/>
        <v/>
      </c>
      <c r="BF95" s="24" t="str">
        <f t="shared" si="12"/>
        <v/>
      </c>
      <c r="BG95" s="24" t="str">
        <f t="shared" si="12"/>
        <v/>
      </c>
      <c r="BH95" s="24" t="str">
        <f t="shared" si="10"/>
        <v/>
      </c>
      <c r="BI95" s="24">
        <f t="shared" si="12"/>
        <v>1</v>
      </c>
      <c r="BJ95" s="24" t="str">
        <f t="shared" si="11"/>
        <v/>
      </c>
    </row>
    <row r="96" spans="1:62" ht="15" customHeight="1" x14ac:dyDescent="0.25">
      <c r="A96" t="str">
        <f>"1336308592"</f>
        <v>1336308592</v>
      </c>
      <c r="B96" t="str">
        <f>"03016768"</f>
        <v>03016768</v>
      </c>
      <c r="C96" t="s">
        <v>5105</v>
      </c>
      <c r="D96" t="s">
        <v>5106</v>
      </c>
      <c r="E96" t="s">
        <v>5107</v>
      </c>
      <c r="L96" t="s">
        <v>120</v>
      </c>
      <c r="M96" t="s">
        <v>139</v>
      </c>
      <c r="R96" t="s">
        <v>5105</v>
      </c>
      <c r="W96" t="s">
        <v>5107</v>
      </c>
      <c r="X96" t="s">
        <v>121</v>
      </c>
      <c r="Y96" t="s">
        <v>122</v>
      </c>
      <c r="Z96" t="s">
        <v>111</v>
      </c>
      <c r="AA96" t="str">
        <f>"13815-1019"</f>
        <v>13815-1019</v>
      </c>
      <c r="AB96" t="s">
        <v>123</v>
      </c>
      <c r="AC96" t="s">
        <v>113</v>
      </c>
      <c r="AD96" t="s">
        <v>108</v>
      </c>
      <c r="AE96" t="s">
        <v>114</v>
      </c>
      <c r="AF96" t="s">
        <v>124</v>
      </c>
      <c r="AG96" t="s">
        <v>116</v>
      </c>
      <c r="AK96" t="str">
        <f t="shared" si="9"/>
        <v/>
      </c>
      <c r="AL96" t="s">
        <v>5106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 s="24">
        <f t="shared" si="7"/>
        <v>1</v>
      </c>
      <c r="AY96" s="24" t="str">
        <f t="shared" si="7"/>
        <v/>
      </c>
      <c r="AZ96" s="24" t="str">
        <f t="shared" si="12"/>
        <v/>
      </c>
      <c r="BA96" s="24" t="str">
        <f t="shared" si="12"/>
        <v/>
      </c>
      <c r="BB96" s="24" t="str">
        <f t="shared" si="12"/>
        <v/>
      </c>
      <c r="BC96" s="24" t="str">
        <f t="shared" si="12"/>
        <v/>
      </c>
      <c r="BD96" s="24" t="str">
        <f t="shared" si="12"/>
        <v/>
      </c>
      <c r="BE96" s="24" t="str">
        <f t="shared" si="12"/>
        <v/>
      </c>
      <c r="BF96" s="24" t="str">
        <f t="shared" si="12"/>
        <v/>
      </c>
      <c r="BG96" s="24" t="str">
        <f t="shared" si="12"/>
        <v/>
      </c>
      <c r="BH96" s="24" t="str">
        <f t="shared" si="10"/>
        <v/>
      </c>
      <c r="BI96" s="24">
        <f t="shared" si="12"/>
        <v>1</v>
      </c>
      <c r="BJ96" s="24" t="str">
        <f t="shared" si="11"/>
        <v/>
      </c>
    </row>
    <row r="97" spans="1:62" ht="15" customHeight="1" x14ac:dyDescent="0.25">
      <c r="A97" t="str">
        <f>"1245203991"</f>
        <v>1245203991</v>
      </c>
      <c r="B97" t="str">
        <f>"01805054"</f>
        <v>01805054</v>
      </c>
      <c r="C97" t="s">
        <v>1831</v>
      </c>
      <c r="D97" t="s">
        <v>1832</v>
      </c>
      <c r="E97" t="s">
        <v>1833</v>
      </c>
      <c r="G97" t="s">
        <v>815</v>
      </c>
      <c r="H97" t="s">
        <v>816</v>
      </c>
      <c r="J97" t="s">
        <v>817</v>
      </c>
      <c r="L97" t="s">
        <v>6867</v>
      </c>
      <c r="M97" t="s">
        <v>108</v>
      </c>
      <c r="R97" t="s">
        <v>1831</v>
      </c>
      <c r="W97" t="s">
        <v>1833</v>
      </c>
      <c r="X97" t="s">
        <v>1834</v>
      </c>
      <c r="Y97" t="s">
        <v>110</v>
      </c>
      <c r="Z97" t="s">
        <v>111</v>
      </c>
      <c r="AA97" t="str">
        <f>"13905-4176"</f>
        <v>13905-4176</v>
      </c>
      <c r="AB97" t="s">
        <v>123</v>
      </c>
      <c r="AC97" t="s">
        <v>113</v>
      </c>
      <c r="AD97" t="s">
        <v>108</v>
      </c>
      <c r="AE97" t="s">
        <v>114</v>
      </c>
      <c r="AF97" t="s">
        <v>115</v>
      </c>
      <c r="AG97" t="s">
        <v>116</v>
      </c>
      <c r="AK97" t="str">
        <f t="shared" si="9"/>
        <v/>
      </c>
      <c r="AL97" t="s">
        <v>1832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 s="24">
        <f t="shared" si="7"/>
        <v>1</v>
      </c>
      <c r="AY97" s="24">
        <f t="shared" si="7"/>
        <v>1</v>
      </c>
      <c r="AZ97" s="24" t="str">
        <f t="shared" si="12"/>
        <v/>
      </c>
      <c r="BA97" s="24" t="str">
        <f t="shared" si="12"/>
        <v/>
      </c>
      <c r="BB97" s="24" t="str">
        <f t="shared" si="12"/>
        <v/>
      </c>
      <c r="BC97" s="24" t="str">
        <f t="shared" si="12"/>
        <v/>
      </c>
      <c r="BD97" s="24" t="str">
        <f t="shared" si="12"/>
        <v/>
      </c>
      <c r="BE97" s="24" t="str">
        <f t="shared" si="12"/>
        <v/>
      </c>
      <c r="BF97" s="24" t="str">
        <f t="shared" si="12"/>
        <v/>
      </c>
      <c r="BG97" s="24" t="str">
        <f t="shared" si="12"/>
        <v/>
      </c>
      <c r="BH97" s="24" t="str">
        <f t="shared" si="10"/>
        <v/>
      </c>
      <c r="BI97" s="24">
        <f t="shared" si="12"/>
        <v>1</v>
      </c>
      <c r="BJ97" s="24" t="str">
        <f t="shared" si="11"/>
        <v/>
      </c>
    </row>
    <row r="98" spans="1:62" ht="15" customHeight="1" x14ac:dyDescent="0.25">
      <c r="A98" t="str">
        <f>"1053374835"</f>
        <v>1053374835</v>
      </c>
      <c r="B98" t="str">
        <f>"02289756"</f>
        <v>02289756</v>
      </c>
      <c r="C98" t="s">
        <v>3279</v>
      </c>
      <c r="D98" t="s">
        <v>3280</v>
      </c>
      <c r="E98" t="s">
        <v>3281</v>
      </c>
      <c r="G98" t="s">
        <v>3275</v>
      </c>
      <c r="H98" t="s">
        <v>3276</v>
      </c>
      <c r="J98" t="s">
        <v>3282</v>
      </c>
      <c r="L98" t="s">
        <v>247</v>
      </c>
      <c r="M98" t="s">
        <v>108</v>
      </c>
      <c r="R98" t="s">
        <v>3283</v>
      </c>
      <c r="W98" t="s">
        <v>3281</v>
      </c>
      <c r="X98" t="s">
        <v>1506</v>
      </c>
      <c r="Y98" t="s">
        <v>293</v>
      </c>
      <c r="Z98" t="s">
        <v>111</v>
      </c>
      <c r="AA98" t="str">
        <f>"14850-1345"</f>
        <v>14850-1345</v>
      </c>
      <c r="AB98" t="s">
        <v>123</v>
      </c>
      <c r="AC98" t="s">
        <v>113</v>
      </c>
      <c r="AD98" t="s">
        <v>108</v>
      </c>
      <c r="AE98" t="s">
        <v>114</v>
      </c>
      <c r="AF98" t="s">
        <v>142</v>
      </c>
      <c r="AG98" t="s">
        <v>116</v>
      </c>
      <c r="AK98" t="str">
        <f t="shared" si="9"/>
        <v/>
      </c>
      <c r="AL98" t="s">
        <v>3280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 s="24" t="str">
        <f t="shared" si="7"/>
        <v/>
      </c>
      <c r="AY98" s="24">
        <f t="shared" si="7"/>
        <v>1</v>
      </c>
      <c r="AZ98" s="24" t="str">
        <f t="shared" si="12"/>
        <v/>
      </c>
      <c r="BA98" s="24" t="str">
        <f t="shared" si="12"/>
        <v/>
      </c>
      <c r="BB98" s="24" t="str">
        <f t="shared" si="12"/>
        <v/>
      </c>
      <c r="BC98" s="24" t="str">
        <f t="shared" si="12"/>
        <v/>
      </c>
      <c r="BD98" s="24" t="str">
        <f t="shared" si="12"/>
        <v/>
      </c>
      <c r="BE98" s="24" t="str">
        <f t="shared" si="12"/>
        <v/>
      </c>
      <c r="BF98" s="24" t="str">
        <f t="shared" si="12"/>
        <v/>
      </c>
      <c r="BG98" s="24" t="str">
        <f t="shared" si="12"/>
        <v/>
      </c>
      <c r="BH98" s="24" t="str">
        <f t="shared" si="10"/>
        <v/>
      </c>
      <c r="BI98" s="24" t="str">
        <f t="shared" si="12"/>
        <v/>
      </c>
      <c r="BJ98" s="24" t="str">
        <f t="shared" si="11"/>
        <v/>
      </c>
    </row>
    <row r="99" spans="1:62" ht="15" customHeight="1" x14ac:dyDescent="0.25">
      <c r="A99" t="str">
        <f>"1609855428"</f>
        <v>1609855428</v>
      </c>
      <c r="B99" t="str">
        <f>"02558029"</f>
        <v>02558029</v>
      </c>
      <c r="C99" t="s">
        <v>1878</v>
      </c>
      <c r="D99" t="s">
        <v>1879</v>
      </c>
      <c r="E99" t="s">
        <v>1878</v>
      </c>
      <c r="L99" t="s">
        <v>138</v>
      </c>
      <c r="M99" t="s">
        <v>108</v>
      </c>
      <c r="R99" t="s">
        <v>1878</v>
      </c>
      <c r="W99" t="s">
        <v>1878</v>
      </c>
      <c r="X99" t="s">
        <v>965</v>
      </c>
      <c r="Y99" t="s">
        <v>966</v>
      </c>
      <c r="Z99" t="s">
        <v>111</v>
      </c>
      <c r="AA99" t="str">
        <f>"13850-1559"</f>
        <v>13850-1559</v>
      </c>
      <c r="AB99" t="s">
        <v>123</v>
      </c>
      <c r="AC99" t="s">
        <v>113</v>
      </c>
      <c r="AD99" t="s">
        <v>108</v>
      </c>
      <c r="AE99" t="s">
        <v>114</v>
      </c>
      <c r="AF99" t="s">
        <v>115</v>
      </c>
      <c r="AG99" t="s">
        <v>116</v>
      </c>
      <c r="AK99" t="str">
        <f t="shared" si="9"/>
        <v/>
      </c>
      <c r="AL99" t="s">
        <v>1879</v>
      </c>
      <c r="AM99">
        <v>1</v>
      </c>
      <c r="AN99">
        <v>1</v>
      </c>
      <c r="AO99">
        <v>0</v>
      </c>
      <c r="AP99">
        <v>1</v>
      </c>
      <c r="AQ99">
        <v>1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 s="24" t="str">
        <f t="shared" si="7"/>
        <v/>
      </c>
      <c r="AY99" s="24">
        <f t="shared" si="7"/>
        <v>1</v>
      </c>
      <c r="AZ99" s="24" t="str">
        <f t="shared" si="12"/>
        <v/>
      </c>
      <c r="BA99" s="24" t="str">
        <f t="shared" si="12"/>
        <v/>
      </c>
      <c r="BB99" s="24" t="str">
        <f t="shared" si="12"/>
        <v/>
      </c>
      <c r="BC99" s="24" t="str">
        <f t="shared" si="12"/>
        <v/>
      </c>
      <c r="BD99" s="24" t="str">
        <f t="shared" si="12"/>
        <v/>
      </c>
      <c r="BE99" s="24" t="str">
        <f t="shared" si="12"/>
        <v/>
      </c>
      <c r="BF99" s="24" t="str">
        <f t="shared" si="12"/>
        <v/>
      </c>
      <c r="BG99" s="24" t="str">
        <f t="shared" si="12"/>
        <v/>
      </c>
      <c r="BH99" s="24" t="str">
        <f t="shared" si="10"/>
        <v/>
      </c>
      <c r="BI99" s="24">
        <f t="shared" si="12"/>
        <v>1</v>
      </c>
      <c r="BJ99" s="24" t="str">
        <f t="shared" si="11"/>
        <v/>
      </c>
    </row>
    <row r="100" spans="1:62" ht="15" customHeight="1" x14ac:dyDescent="0.25">
      <c r="A100" t="str">
        <f>"1285615898"</f>
        <v>1285615898</v>
      </c>
      <c r="B100" t="str">
        <f>"02228288"</f>
        <v>02228288</v>
      </c>
      <c r="C100" t="s">
        <v>4135</v>
      </c>
      <c r="D100" t="s">
        <v>4136</v>
      </c>
      <c r="E100" t="s">
        <v>4135</v>
      </c>
      <c r="L100" t="s">
        <v>138</v>
      </c>
      <c r="M100" t="s">
        <v>108</v>
      </c>
      <c r="R100" t="s">
        <v>4135</v>
      </c>
      <c r="W100" t="s">
        <v>4135</v>
      </c>
      <c r="X100" t="s">
        <v>4137</v>
      </c>
      <c r="Y100" t="s">
        <v>865</v>
      </c>
      <c r="Z100" t="s">
        <v>111</v>
      </c>
      <c r="AA100" t="str">
        <f>"11215"</f>
        <v>11215</v>
      </c>
      <c r="AB100" t="s">
        <v>123</v>
      </c>
      <c r="AC100" t="s">
        <v>113</v>
      </c>
      <c r="AD100" t="s">
        <v>108</v>
      </c>
      <c r="AE100" t="s">
        <v>114</v>
      </c>
      <c r="AF100" t="s">
        <v>115</v>
      </c>
      <c r="AG100" t="s">
        <v>116</v>
      </c>
      <c r="AK100" t="str">
        <f t="shared" si="9"/>
        <v/>
      </c>
      <c r="AL100" t="s">
        <v>4136</v>
      </c>
      <c r="AM100">
        <v>1</v>
      </c>
      <c r="AN100">
        <v>1</v>
      </c>
      <c r="AO100">
        <v>0</v>
      </c>
      <c r="AP100">
        <v>1</v>
      </c>
      <c r="AQ100">
        <v>1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 s="24" t="str">
        <f t="shared" si="7"/>
        <v/>
      </c>
      <c r="AY100" s="24">
        <f t="shared" si="7"/>
        <v>1</v>
      </c>
      <c r="AZ100" s="24" t="str">
        <f t="shared" si="12"/>
        <v/>
      </c>
      <c r="BA100" s="24" t="str">
        <f t="shared" si="12"/>
        <v/>
      </c>
      <c r="BB100" s="24" t="str">
        <f t="shared" si="12"/>
        <v/>
      </c>
      <c r="BC100" s="24" t="str">
        <f t="shared" si="12"/>
        <v/>
      </c>
      <c r="BD100" s="24" t="str">
        <f t="shared" si="12"/>
        <v/>
      </c>
      <c r="BE100" s="24" t="str">
        <f t="shared" si="12"/>
        <v/>
      </c>
      <c r="BF100" s="24" t="str">
        <f t="shared" si="12"/>
        <v/>
      </c>
      <c r="BG100" s="24" t="str">
        <f t="shared" si="12"/>
        <v/>
      </c>
      <c r="BH100" s="24" t="str">
        <f t="shared" si="10"/>
        <v/>
      </c>
      <c r="BI100" s="24">
        <f t="shared" si="12"/>
        <v>1</v>
      </c>
      <c r="BJ100" s="24" t="str">
        <f t="shared" si="11"/>
        <v/>
      </c>
    </row>
    <row r="101" spans="1:62" ht="15" customHeight="1" x14ac:dyDescent="0.25">
      <c r="A101" t="str">
        <f>"1528173093"</f>
        <v>1528173093</v>
      </c>
      <c r="B101" t="str">
        <f>"01150325"</f>
        <v>01150325</v>
      </c>
      <c r="C101" t="s">
        <v>6759</v>
      </c>
      <c r="D101" t="s">
        <v>7028</v>
      </c>
      <c r="E101" t="s">
        <v>6881</v>
      </c>
      <c r="G101" t="s">
        <v>6330</v>
      </c>
      <c r="H101" t="s">
        <v>6331</v>
      </c>
      <c r="J101" t="s">
        <v>6332</v>
      </c>
      <c r="L101" t="s">
        <v>120</v>
      </c>
      <c r="M101" t="s">
        <v>108</v>
      </c>
      <c r="R101" t="s">
        <v>6759</v>
      </c>
      <c r="W101" t="s">
        <v>6881</v>
      </c>
      <c r="X101" t="s">
        <v>6882</v>
      </c>
      <c r="Y101" t="s">
        <v>129</v>
      </c>
      <c r="Z101" t="s">
        <v>111</v>
      </c>
      <c r="AA101" t="str">
        <f>"13790-2426"</f>
        <v>13790-2426</v>
      </c>
      <c r="AB101" t="s">
        <v>123</v>
      </c>
      <c r="AC101" t="s">
        <v>113</v>
      </c>
      <c r="AD101" t="s">
        <v>108</v>
      </c>
      <c r="AE101" t="s">
        <v>114</v>
      </c>
      <c r="AF101" t="s">
        <v>115</v>
      </c>
      <c r="AG101" t="s">
        <v>116</v>
      </c>
      <c r="AJ101" t="s">
        <v>7249</v>
      </c>
      <c r="AK101" t="str">
        <f t="shared" si="9"/>
        <v>BATTLA NASREEN DR.</v>
      </c>
      <c r="AL101" t="s">
        <v>7028</v>
      </c>
      <c r="AM101" t="s">
        <v>108</v>
      </c>
      <c r="AN101" t="s">
        <v>108</v>
      </c>
      <c r="AO101" t="s">
        <v>108</v>
      </c>
      <c r="AP101" t="s">
        <v>108</v>
      </c>
      <c r="AQ101" t="s">
        <v>108</v>
      </c>
      <c r="AR101" t="s">
        <v>108</v>
      </c>
      <c r="AS101" t="s">
        <v>108</v>
      </c>
      <c r="AT101" t="s">
        <v>108</v>
      </c>
      <c r="AU101">
        <v>0</v>
      </c>
      <c r="AV101" t="s">
        <v>108</v>
      </c>
      <c r="AW101" t="s">
        <v>108</v>
      </c>
      <c r="AX101" s="24">
        <f t="shared" si="7"/>
        <v>1</v>
      </c>
      <c r="AY101" s="24" t="str">
        <f t="shared" si="7"/>
        <v/>
      </c>
      <c r="AZ101" s="24" t="str">
        <f t="shared" si="12"/>
        <v/>
      </c>
      <c r="BA101" s="24" t="str">
        <f t="shared" si="12"/>
        <v/>
      </c>
      <c r="BB101" s="24" t="str">
        <f t="shared" si="12"/>
        <v/>
      </c>
      <c r="BC101" s="24" t="str">
        <f t="shared" si="12"/>
        <v/>
      </c>
      <c r="BD101" s="24" t="str">
        <f t="shared" si="12"/>
        <v/>
      </c>
      <c r="BE101" s="24" t="str">
        <f t="shared" si="12"/>
        <v/>
      </c>
      <c r="BF101" s="24" t="str">
        <f t="shared" si="12"/>
        <v/>
      </c>
      <c r="BG101" s="24" t="str">
        <f t="shared" si="12"/>
        <v/>
      </c>
      <c r="BH101" s="24" t="str">
        <f t="shared" si="10"/>
        <v/>
      </c>
      <c r="BI101" s="24">
        <f t="shared" si="12"/>
        <v>1</v>
      </c>
      <c r="BJ101" s="24" t="str">
        <f t="shared" si="11"/>
        <v/>
      </c>
    </row>
    <row r="102" spans="1:62" ht="15" customHeight="1" x14ac:dyDescent="0.25">
      <c r="A102" t="str">
        <f>"1093929358"</f>
        <v>1093929358</v>
      </c>
      <c r="B102" t="str">
        <f>"03452059"</f>
        <v>03452059</v>
      </c>
      <c r="C102" t="s">
        <v>5199</v>
      </c>
      <c r="D102" t="s">
        <v>5200</v>
      </c>
      <c r="E102" t="s">
        <v>5201</v>
      </c>
      <c r="G102" t="s">
        <v>4447</v>
      </c>
      <c r="H102" t="s">
        <v>4448</v>
      </c>
      <c r="J102" t="s">
        <v>4449</v>
      </c>
      <c r="L102" t="s">
        <v>138</v>
      </c>
      <c r="M102" t="s">
        <v>108</v>
      </c>
      <c r="R102" t="s">
        <v>5199</v>
      </c>
      <c r="W102" t="s">
        <v>5202</v>
      </c>
      <c r="X102" t="s">
        <v>121</v>
      </c>
      <c r="Y102" t="s">
        <v>122</v>
      </c>
      <c r="Z102" t="s">
        <v>111</v>
      </c>
      <c r="AA102" t="str">
        <f>"13815-1019"</f>
        <v>13815-1019</v>
      </c>
      <c r="AB102" t="s">
        <v>123</v>
      </c>
      <c r="AC102" t="s">
        <v>113</v>
      </c>
      <c r="AD102" t="s">
        <v>108</v>
      </c>
      <c r="AE102" t="s">
        <v>114</v>
      </c>
      <c r="AF102" t="s">
        <v>124</v>
      </c>
      <c r="AG102" t="s">
        <v>116</v>
      </c>
      <c r="AK102" t="str">
        <f t="shared" si="9"/>
        <v/>
      </c>
      <c r="AL102" t="s">
        <v>5200</v>
      </c>
      <c r="AM102">
        <v>1</v>
      </c>
      <c r="AN102">
        <v>1</v>
      </c>
      <c r="AO102">
        <v>0</v>
      </c>
      <c r="AP102">
        <v>1</v>
      </c>
      <c r="AQ102">
        <v>1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 s="24" t="str">
        <f t="shared" si="7"/>
        <v/>
      </c>
      <c r="AY102" s="24">
        <f t="shared" si="7"/>
        <v>1</v>
      </c>
      <c r="AZ102" s="24" t="str">
        <f t="shared" si="12"/>
        <v/>
      </c>
      <c r="BA102" s="24" t="str">
        <f t="shared" si="12"/>
        <v/>
      </c>
      <c r="BB102" s="24" t="str">
        <f t="shared" si="12"/>
        <v/>
      </c>
      <c r="BC102" s="24" t="str">
        <f t="shared" si="12"/>
        <v/>
      </c>
      <c r="BD102" s="24" t="str">
        <f t="shared" si="12"/>
        <v/>
      </c>
      <c r="BE102" s="24" t="str">
        <f t="shared" si="12"/>
        <v/>
      </c>
      <c r="BF102" s="24" t="str">
        <f t="shared" si="12"/>
        <v/>
      </c>
      <c r="BG102" s="24" t="str">
        <f t="shared" si="12"/>
        <v/>
      </c>
      <c r="BH102" s="24" t="str">
        <f t="shared" si="10"/>
        <v/>
      </c>
      <c r="BI102" s="24">
        <f t="shared" si="12"/>
        <v>1</v>
      </c>
      <c r="BJ102" s="24" t="str">
        <f t="shared" si="11"/>
        <v/>
      </c>
    </row>
    <row r="103" spans="1:62" ht="15" customHeight="1" x14ac:dyDescent="0.25">
      <c r="A103" t="str">
        <f>"1336378835"</f>
        <v>1336378835</v>
      </c>
      <c r="B103" t="str">
        <f>"02146321"</f>
        <v>02146321</v>
      </c>
      <c r="C103" t="s">
        <v>1255</v>
      </c>
      <c r="D103" t="s">
        <v>1256</v>
      </c>
      <c r="E103" t="s">
        <v>1257</v>
      </c>
      <c r="L103" t="s">
        <v>133</v>
      </c>
      <c r="M103" t="s">
        <v>108</v>
      </c>
      <c r="R103" t="s">
        <v>1255</v>
      </c>
      <c r="W103" t="s">
        <v>1258</v>
      </c>
      <c r="X103" t="s">
        <v>978</v>
      </c>
      <c r="Y103" t="s">
        <v>979</v>
      </c>
      <c r="Z103" t="s">
        <v>111</v>
      </c>
      <c r="AA103" t="str">
        <f>"13760-1560"</f>
        <v>13760-1560</v>
      </c>
      <c r="AB103" t="s">
        <v>123</v>
      </c>
      <c r="AC103" t="s">
        <v>113</v>
      </c>
      <c r="AD103" t="s">
        <v>108</v>
      </c>
      <c r="AE103" t="s">
        <v>114</v>
      </c>
      <c r="AF103" t="s">
        <v>115</v>
      </c>
      <c r="AG103" t="s">
        <v>116</v>
      </c>
      <c r="AJ103" t="s">
        <v>7248</v>
      </c>
      <c r="AK103" t="str">
        <f t="shared" si="9"/>
        <v>BAYNAR CATHLEEN</v>
      </c>
      <c r="AL103" t="s">
        <v>1256</v>
      </c>
      <c r="AM103" t="s">
        <v>108</v>
      </c>
      <c r="AN103" t="s">
        <v>108</v>
      </c>
      <c r="AO103" t="s">
        <v>108</v>
      </c>
      <c r="AP103" t="s">
        <v>108</v>
      </c>
      <c r="AQ103" t="s">
        <v>108</v>
      </c>
      <c r="AR103" t="s">
        <v>108</v>
      </c>
      <c r="AS103" t="s">
        <v>108</v>
      </c>
      <c r="AT103" t="s">
        <v>108</v>
      </c>
      <c r="AU103">
        <v>0</v>
      </c>
      <c r="AV103" t="s">
        <v>108</v>
      </c>
      <c r="AW103" t="s">
        <v>108</v>
      </c>
      <c r="AX103" s="24" t="str">
        <f t="shared" si="7"/>
        <v/>
      </c>
      <c r="AY103" s="24" t="str">
        <f t="shared" si="7"/>
        <v/>
      </c>
      <c r="AZ103" s="24" t="str">
        <f t="shared" si="12"/>
        <v/>
      </c>
      <c r="BA103" s="24" t="str">
        <f t="shared" si="12"/>
        <v/>
      </c>
      <c r="BB103" s="24" t="str">
        <f t="shared" si="12"/>
        <v/>
      </c>
      <c r="BC103" s="24" t="str">
        <f t="shared" si="12"/>
        <v/>
      </c>
      <c r="BD103" s="24" t="str">
        <f t="shared" si="12"/>
        <v/>
      </c>
      <c r="BE103" s="24" t="str">
        <f t="shared" si="12"/>
        <v/>
      </c>
      <c r="BF103" s="24" t="str">
        <f t="shared" si="12"/>
        <v/>
      </c>
      <c r="BG103" s="24" t="str">
        <f t="shared" si="12"/>
        <v/>
      </c>
      <c r="BH103" s="24" t="str">
        <f t="shared" si="10"/>
        <v/>
      </c>
      <c r="BI103" s="24" t="str">
        <f t="shared" si="12"/>
        <v/>
      </c>
      <c r="BJ103" s="24">
        <f t="shared" si="11"/>
        <v>1</v>
      </c>
    </row>
    <row r="104" spans="1:62" ht="15" customHeight="1" x14ac:dyDescent="0.25">
      <c r="A104" t="str">
        <f>"1720077373"</f>
        <v>1720077373</v>
      </c>
      <c r="B104" t="str">
        <f>"01473041"</f>
        <v>01473041</v>
      </c>
      <c r="C104" t="s">
        <v>2637</v>
      </c>
      <c r="D104" t="s">
        <v>2638</v>
      </c>
      <c r="E104" t="s">
        <v>2639</v>
      </c>
      <c r="L104" t="s">
        <v>247</v>
      </c>
      <c r="M104" t="s">
        <v>108</v>
      </c>
      <c r="R104" t="s">
        <v>2637</v>
      </c>
      <c r="W104" t="s">
        <v>2639</v>
      </c>
      <c r="X104" t="s">
        <v>2640</v>
      </c>
      <c r="Y104" t="s">
        <v>129</v>
      </c>
      <c r="Z104" t="s">
        <v>111</v>
      </c>
      <c r="AA104" t="str">
        <f>"13790-3100"</f>
        <v>13790-3100</v>
      </c>
      <c r="AB104" t="s">
        <v>123</v>
      </c>
      <c r="AC104" t="s">
        <v>113</v>
      </c>
      <c r="AD104" t="s">
        <v>108</v>
      </c>
      <c r="AE104" t="s">
        <v>114</v>
      </c>
      <c r="AF104" t="s">
        <v>115</v>
      </c>
      <c r="AG104" t="s">
        <v>116</v>
      </c>
      <c r="AK104" t="str">
        <f t="shared" si="9"/>
        <v/>
      </c>
      <c r="AL104" t="s">
        <v>2638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 s="24" t="str">
        <f t="shared" ref="AX104:AY167" si="13">IF(ISERROR(FIND(AX$1,$L104,1)),"",1)</f>
        <v/>
      </c>
      <c r="AY104" s="24">
        <f t="shared" si="13"/>
        <v>1</v>
      </c>
      <c r="AZ104" s="24" t="str">
        <f t="shared" si="12"/>
        <v/>
      </c>
      <c r="BA104" s="24" t="str">
        <f t="shared" si="12"/>
        <v/>
      </c>
      <c r="BB104" s="24" t="str">
        <f t="shared" si="12"/>
        <v/>
      </c>
      <c r="BC104" s="24" t="str">
        <f t="shared" si="12"/>
        <v/>
      </c>
      <c r="BD104" s="24" t="str">
        <f t="shared" si="12"/>
        <v/>
      </c>
      <c r="BE104" s="24" t="str">
        <f t="shared" si="12"/>
        <v/>
      </c>
      <c r="BF104" s="24" t="str">
        <f t="shared" si="12"/>
        <v/>
      </c>
      <c r="BG104" s="24" t="str">
        <f t="shared" si="12"/>
        <v/>
      </c>
      <c r="BH104" s="24" t="str">
        <f t="shared" si="10"/>
        <v/>
      </c>
      <c r="BI104" s="24" t="str">
        <f t="shared" si="12"/>
        <v/>
      </c>
      <c r="BJ104" s="24" t="str">
        <f t="shared" si="11"/>
        <v/>
      </c>
    </row>
    <row r="105" spans="1:62" ht="15" customHeight="1" x14ac:dyDescent="0.25">
      <c r="A105" t="str">
        <f>"1750526661"</f>
        <v>1750526661</v>
      </c>
      <c r="B105" t="str">
        <f>"03502045"</f>
        <v>03502045</v>
      </c>
      <c r="C105" t="s">
        <v>2671</v>
      </c>
      <c r="D105" t="s">
        <v>2672</v>
      </c>
      <c r="E105" t="s">
        <v>2671</v>
      </c>
      <c r="L105" t="s">
        <v>247</v>
      </c>
      <c r="M105" t="s">
        <v>108</v>
      </c>
      <c r="R105" t="s">
        <v>2671</v>
      </c>
      <c r="W105" t="s">
        <v>2671</v>
      </c>
      <c r="X105" t="s">
        <v>999</v>
      </c>
      <c r="Y105" t="s">
        <v>110</v>
      </c>
      <c r="Z105" t="s">
        <v>111</v>
      </c>
      <c r="AA105" t="str">
        <f>"13903-1645"</f>
        <v>13903-1645</v>
      </c>
      <c r="AB105" t="s">
        <v>1000</v>
      </c>
      <c r="AC105" t="s">
        <v>113</v>
      </c>
      <c r="AD105" t="s">
        <v>108</v>
      </c>
      <c r="AE105" t="s">
        <v>114</v>
      </c>
      <c r="AF105" t="s">
        <v>115</v>
      </c>
      <c r="AG105" t="s">
        <v>116</v>
      </c>
      <c r="AK105" t="str">
        <f t="shared" si="9"/>
        <v/>
      </c>
      <c r="AL105" t="s">
        <v>2672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 s="24" t="str">
        <f t="shared" si="13"/>
        <v/>
      </c>
      <c r="AY105" s="24">
        <f t="shared" si="13"/>
        <v>1</v>
      </c>
      <c r="AZ105" s="24" t="str">
        <f t="shared" si="12"/>
        <v/>
      </c>
      <c r="BA105" s="24" t="str">
        <f t="shared" si="12"/>
        <v/>
      </c>
      <c r="BB105" s="24" t="str">
        <f t="shared" si="12"/>
        <v/>
      </c>
      <c r="BC105" s="24" t="str">
        <f t="shared" si="12"/>
        <v/>
      </c>
      <c r="BD105" s="24" t="str">
        <f t="shared" si="12"/>
        <v/>
      </c>
      <c r="BE105" s="24" t="str">
        <f t="shared" si="12"/>
        <v/>
      </c>
      <c r="BF105" s="24" t="str">
        <f t="shared" si="12"/>
        <v/>
      </c>
      <c r="BG105" s="24" t="str">
        <f t="shared" si="12"/>
        <v/>
      </c>
      <c r="BH105" s="24" t="str">
        <f t="shared" si="10"/>
        <v/>
      </c>
      <c r="BI105" s="24" t="str">
        <f t="shared" si="12"/>
        <v/>
      </c>
      <c r="BJ105" s="24" t="str">
        <f t="shared" si="11"/>
        <v/>
      </c>
    </row>
    <row r="106" spans="1:62" ht="15" customHeight="1" x14ac:dyDescent="0.25">
      <c r="A106" t="str">
        <f>"1689000366"</f>
        <v>1689000366</v>
      </c>
      <c r="B106" t="str">
        <f>"03807536"</f>
        <v>03807536</v>
      </c>
      <c r="C106" t="s">
        <v>6819</v>
      </c>
      <c r="D106" t="s">
        <v>7103</v>
      </c>
      <c r="E106" t="s">
        <v>6961</v>
      </c>
      <c r="G106" t="s">
        <v>815</v>
      </c>
      <c r="H106" t="s">
        <v>816</v>
      </c>
      <c r="J106" t="s">
        <v>817</v>
      </c>
      <c r="L106" t="s">
        <v>120</v>
      </c>
      <c r="M106" t="s">
        <v>108</v>
      </c>
      <c r="R106" t="s">
        <v>6819</v>
      </c>
      <c r="W106" t="s">
        <v>6961</v>
      </c>
      <c r="X106" t="s">
        <v>1754</v>
      </c>
      <c r="Y106" t="s">
        <v>110</v>
      </c>
      <c r="Z106" t="s">
        <v>111</v>
      </c>
      <c r="AA106" t="str">
        <f>"13905-2539"</f>
        <v>13905-2539</v>
      </c>
      <c r="AB106" t="s">
        <v>123</v>
      </c>
      <c r="AC106" t="s">
        <v>113</v>
      </c>
      <c r="AD106" t="s">
        <v>108</v>
      </c>
      <c r="AE106" t="s">
        <v>114</v>
      </c>
      <c r="AF106" t="s">
        <v>115</v>
      </c>
      <c r="AG106" t="s">
        <v>116</v>
      </c>
      <c r="AJ106" t="s">
        <v>7249</v>
      </c>
      <c r="AK106" t="str">
        <f t="shared" si="9"/>
        <v>BENJAMIN BRANDY</v>
      </c>
      <c r="AL106" t="s">
        <v>7103</v>
      </c>
      <c r="AM106" t="s">
        <v>108</v>
      </c>
      <c r="AN106" t="s">
        <v>108</v>
      </c>
      <c r="AO106" t="s">
        <v>108</v>
      </c>
      <c r="AP106" t="s">
        <v>108</v>
      </c>
      <c r="AQ106" t="s">
        <v>108</v>
      </c>
      <c r="AR106" t="s">
        <v>108</v>
      </c>
      <c r="AS106" t="s">
        <v>108</v>
      </c>
      <c r="AT106" t="s">
        <v>108</v>
      </c>
      <c r="AU106">
        <v>0</v>
      </c>
      <c r="AV106" t="s">
        <v>108</v>
      </c>
      <c r="AW106" t="s">
        <v>108</v>
      </c>
      <c r="AX106" s="24">
        <f t="shared" si="13"/>
        <v>1</v>
      </c>
      <c r="AY106" s="24" t="str">
        <f t="shared" si="13"/>
        <v/>
      </c>
      <c r="AZ106" s="24" t="str">
        <f t="shared" si="12"/>
        <v/>
      </c>
      <c r="BA106" s="24" t="str">
        <f t="shared" si="12"/>
        <v/>
      </c>
      <c r="BB106" s="24" t="str">
        <f t="shared" si="12"/>
        <v/>
      </c>
      <c r="BC106" s="24" t="str">
        <f t="shared" si="12"/>
        <v/>
      </c>
      <c r="BD106" s="24" t="str">
        <f t="shared" si="12"/>
        <v/>
      </c>
      <c r="BE106" s="24" t="str">
        <f t="shared" si="12"/>
        <v/>
      </c>
      <c r="BF106" s="24" t="str">
        <f t="shared" si="12"/>
        <v/>
      </c>
      <c r="BG106" s="24" t="str">
        <f t="shared" si="12"/>
        <v/>
      </c>
      <c r="BH106" s="24" t="str">
        <f t="shared" si="10"/>
        <v/>
      </c>
      <c r="BI106" s="24">
        <f t="shared" si="12"/>
        <v>1</v>
      </c>
      <c r="BJ106" s="24" t="str">
        <f t="shared" si="11"/>
        <v/>
      </c>
    </row>
    <row r="107" spans="1:62" ht="15" customHeight="1" x14ac:dyDescent="0.25">
      <c r="A107" t="str">
        <f>"1033423447"</f>
        <v>1033423447</v>
      </c>
      <c r="B107" t="str">
        <f>"03348143"</f>
        <v>03348143</v>
      </c>
      <c r="C107" t="s">
        <v>3605</v>
      </c>
      <c r="D107" t="s">
        <v>3606</v>
      </c>
      <c r="E107" t="s">
        <v>3607</v>
      </c>
      <c r="G107" t="s">
        <v>2412</v>
      </c>
      <c r="H107" t="s">
        <v>2413</v>
      </c>
      <c r="I107">
        <v>2359</v>
      </c>
      <c r="J107" t="s">
        <v>3608</v>
      </c>
      <c r="L107" t="s">
        <v>120</v>
      </c>
      <c r="M107" t="s">
        <v>139</v>
      </c>
      <c r="R107" t="s">
        <v>3609</v>
      </c>
      <c r="W107" t="s">
        <v>3607</v>
      </c>
      <c r="X107" t="s">
        <v>3610</v>
      </c>
      <c r="Y107" t="s">
        <v>1655</v>
      </c>
      <c r="Z107" t="s">
        <v>111</v>
      </c>
      <c r="AA107" t="str">
        <f>"14865"</f>
        <v>14865</v>
      </c>
      <c r="AB107" t="s">
        <v>123</v>
      </c>
      <c r="AC107" t="s">
        <v>113</v>
      </c>
      <c r="AD107" t="s">
        <v>108</v>
      </c>
      <c r="AE107" t="s">
        <v>114</v>
      </c>
      <c r="AF107" t="s">
        <v>142</v>
      </c>
      <c r="AG107" t="s">
        <v>116</v>
      </c>
      <c r="AK107" t="str">
        <f t="shared" si="9"/>
        <v/>
      </c>
      <c r="AL107" t="s">
        <v>3606</v>
      </c>
      <c r="AM107">
        <v>1</v>
      </c>
      <c r="AN107">
        <v>1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 s="24">
        <f t="shared" si="13"/>
        <v>1</v>
      </c>
      <c r="AY107" s="24" t="str">
        <f t="shared" si="13"/>
        <v/>
      </c>
      <c r="AZ107" s="24" t="str">
        <f t="shared" si="12"/>
        <v/>
      </c>
      <c r="BA107" s="24" t="str">
        <f t="shared" si="12"/>
        <v/>
      </c>
      <c r="BB107" s="24" t="str">
        <f t="shared" si="12"/>
        <v/>
      </c>
      <c r="BC107" s="24" t="str">
        <f t="shared" si="12"/>
        <v/>
      </c>
      <c r="BD107" s="24" t="str">
        <f t="shared" si="12"/>
        <v/>
      </c>
      <c r="BE107" s="24" t="str">
        <f t="shared" si="12"/>
        <v/>
      </c>
      <c r="BF107" s="24" t="str">
        <f t="shared" si="12"/>
        <v/>
      </c>
      <c r="BG107" s="24" t="str">
        <f t="shared" si="12"/>
        <v/>
      </c>
      <c r="BH107" s="24" t="str">
        <f t="shared" si="10"/>
        <v/>
      </c>
      <c r="BI107" s="24">
        <f t="shared" si="12"/>
        <v>1</v>
      </c>
      <c r="BJ107" s="24" t="str">
        <f t="shared" si="11"/>
        <v/>
      </c>
    </row>
    <row r="108" spans="1:62" ht="15" customHeight="1" x14ac:dyDescent="0.25">
      <c r="A108" t="str">
        <f>"1770511495"</f>
        <v>1770511495</v>
      </c>
      <c r="B108" t="str">
        <f>"03356576"</f>
        <v>03356576</v>
      </c>
      <c r="C108" t="s">
        <v>205</v>
      </c>
      <c r="D108" t="s">
        <v>206</v>
      </c>
      <c r="E108" t="s">
        <v>207</v>
      </c>
      <c r="G108" t="s">
        <v>177</v>
      </c>
      <c r="H108" t="s">
        <v>178</v>
      </c>
      <c r="J108" t="s">
        <v>179</v>
      </c>
      <c r="L108" t="s">
        <v>138</v>
      </c>
      <c r="M108" t="s">
        <v>108</v>
      </c>
      <c r="R108" t="s">
        <v>205</v>
      </c>
      <c r="W108" t="s">
        <v>207</v>
      </c>
      <c r="X108" t="s">
        <v>196</v>
      </c>
      <c r="Y108" t="s">
        <v>181</v>
      </c>
      <c r="Z108" t="s">
        <v>182</v>
      </c>
      <c r="AA108" t="str">
        <f>"18840-1625"</f>
        <v>18840-1625</v>
      </c>
      <c r="AB108" t="s">
        <v>123</v>
      </c>
      <c r="AC108" t="s">
        <v>113</v>
      </c>
      <c r="AD108" t="s">
        <v>108</v>
      </c>
      <c r="AE108" t="s">
        <v>114</v>
      </c>
      <c r="AF108" t="s">
        <v>115</v>
      </c>
      <c r="AG108" t="s">
        <v>116</v>
      </c>
      <c r="AK108" t="str">
        <f t="shared" si="9"/>
        <v/>
      </c>
      <c r="AL108" t="s">
        <v>206</v>
      </c>
      <c r="AM108">
        <v>1</v>
      </c>
      <c r="AN108">
        <v>1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1</v>
      </c>
      <c r="AW108">
        <v>0</v>
      </c>
      <c r="AX108" s="24" t="str">
        <f t="shared" si="13"/>
        <v/>
      </c>
      <c r="AY108" s="24">
        <f t="shared" si="13"/>
        <v>1</v>
      </c>
      <c r="AZ108" s="24" t="str">
        <f t="shared" si="12"/>
        <v/>
      </c>
      <c r="BA108" s="24" t="str">
        <f t="shared" si="12"/>
        <v/>
      </c>
      <c r="BB108" s="24" t="str">
        <f t="shared" si="12"/>
        <v/>
      </c>
      <c r="BC108" s="24" t="str">
        <f t="shared" si="12"/>
        <v/>
      </c>
      <c r="BD108" s="24" t="str">
        <f t="shared" si="12"/>
        <v/>
      </c>
      <c r="BE108" s="24" t="str">
        <f t="shared" si="12"/>
        <v/>
      </c>
      <c r="BF108" s="24" t="str">
        <f t="shared" si="12"/>
        <v/>
      </c>
      <c r="BG108" s="24" t="str">
        <f t="shared" si="12"/>
        <v/>
      </c>
      <c r="BH108" s="24" t="str">
        <f t="shared" si="10"/>
        <v/>
      </c>
      <c r="BI108" s="24">
        <f t="shared" si="12"/>
        <v>1</v>
      </c>
      <c r="BJ108" s="24" t="str">
        <f t="shared" si="11"/>
        <v/>
      </c>
    </row>
    <row r="109" spans="1:62" ht="15" customHeight="1" x14ac:dyDescent="0.25">
      <c r="A109" t="str">
        <f>"1609862861"</f>
        <v>1609862861</v>
      </c>
      <c r="B109" t="str">
        <f>"03399277"</f>
        <v>03399277</v>
      </c>
      <c r="C109" t="s">
        <v>1880</v>
      </c>
      <c r="D109" t="s">
        <v>1881</v>
      </c>
      <c r="E109" t="s">
        <v>1882</v>
      </c>
      <c r="L109" t="s">
        <v>6867</v>
      </c>
      <c r="M109" t="s">
        <v>108</v>
      </c>
      <c r="R109" t="s">
        <v>1880</v>
      </c>
      <c r="W109" t="s">
        <v>1882</v>
      </c>
      <c r="X109" t="s">
        <v>1883</v>
      </c>
      <c r="Y109" t="s">
        <v>281</v>
      </c>
      <c r="Z109" t="s">
        <v>111</v>
      </c>
      <c r="AA109" t="str">
        <f>"13827-1629"</f>
        <v>13827-1629</v>
      </c>
      <c r="AB109" t="s">
        <v>123</v>
      </c>
      <c r="AC109" t="s">
        <v>113</v>
      </c>
      <c r="AD109" t="s">
        <v>108</v>
      </c>
      <c r="AE109" t="s">
        <v>114</v>
      </c>
      <c r="AF109" t="s">
        <v>115</v>
      </c>
      <c r="AG109" t="s">
        <v>116</v>
      </c>
      <c r="AK109" t="str">
        <f t="shared" si="9"/>
        <v/>
      </c>
      <c r="AL109" t="s">
        <v>1881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 s="24">
        <f t="shared" si="13"/>
        <v>1</v>
      </c>
      <c r="AY109" s="24">
        <f t="shared" si="13"/>
        <v>1</v>
      </c>
      <c r="AZ109" s="24" t="str">
        <f t="shared" si="12"/>
        <v/>
      </c>
      <c r="BA109" s="24" t="str">
        <f t="shared" si="12"/>
        <v/>
      </c>
      <c r="BB109" s="24" t="str">
        <f t="shared" si="12"/>
        <v/>
      </c>
      <c r="BC109" s="24" t="str">
        <f t="shared" si="12"/>
        <v/>
      </c>
      <c r="BD109" s="24" t="str">
        <f t="shared" si="12"/>
        <v/>
      </c>
      <c r="BE109" s="24" t="str">
        <f t="shared" si="12"/>
        <v/>
      </c>
      <c r="BF109" s="24" t="str">
        <f t="shared" si="12"/>
        <v/>
      </c>
      <c r="BG109" s="24" t="str">
        <f t="shared" si="12"/>
        <v/>
      </c>
      <c r="BH109" s="24" t="str">
        <f t="shared" si="10"/>
        <v/>
      </c>
      <c r="BI109" s="24">
        <f t="shared" si="12"/>
        <v>1</v>
      </c>
      <c r="BJ109" s="24" t="str">
        <f t="shared" si="11"/>
        <v/>
      </c>
    </row>
    <row r="110" spans="1:62" ht="15" customHeight="1" x14ac:dyDescent="0.25">
      <c r="A110" t="str">
        <f>"1770526840"</f>
        <v>1770526840</v>
      </c>
      <c r="B110" t="str">
        <f>"02731639"</f>
        <v>02731639</v>
      </c>
      <c r="C110" t="s">
        <v>4434</v>
      </c>
      <c r="D110" t="s">
        <v>4435</v>
      </c>
      <c r="E110" t="s">
        <v>4436</v>
      </c>
      <c r="G110" t="s">
        <v>815</v>
      </c>
      <c r="H110" t="s">
        <v>816</v>
      </c>
      <c r="J110" t="s">
        <v>817</v>
      </c>
      <c r="L110" t="s">
        <v>120</v>
      </c>
      <c r="M110" t="s">
        <v>108</v>
      </c>
      <c r="R110" t="s">
        <v>4434</v>
      </c>
      <c r="W110" t="s">
        <v>4436</v>
      </c>
      <c r="X110" t="s">
        <v>4437</v>
      </c>
      <c r="Y110" t="s">
        <v>4438</v>
      </c>
      <c r="Z110" t="s">
        <v>111</v>
      </c>
      <c r="AA110" t="str">
        <f>"13783-2252"</f>
        <v>13783-2252</v>
      </c>
      <c r="AB110" t="s">
        <v>123</v>
      </c>
      <c r="AC110" t="s">
        <v>113</v>
      </c>
      <c r="AD110" t="s">
        <v>108</v>
      </c>
      <c r="AE110" t="s">
        <v>114</v>
      </c>
      <c r="AF110" t="s">
        <v>124</v>
      </c>
      <c r="AG110" t="s">
        <v>116</v>
      </c>
      <c r="AK110" t="str">
        <f t="shared" si="9"/>
        <v/>
      </c>
      <c r="AL110" t="s">
        <v>4435</v>
      </c>
      <c r="AM110">
        <v>1</v>
      </c>
      <c r="AN110">
        <v>1</v>
      </c>
      <c r="AO110">
        <v>0</v>
      </c>
      <c r="AP110">
        <v>1</v>
      </c>
      <c r="AQ110">
        <v>1</v>
      </c>
      <c r="AR110">
        <v>0</v>
      </c>
      <c r="AS110">
        <v>0</v>
      </c>
      <c r="AT110">
        <v>1</v>
      </c>
      <c r="AU110">
        <v>0</v>
      </c>
      <c r="AV110">
        <v>0</v>
      </c>
      <c r="AW110">
        <v>1</v>
      </c>
      <c r="AX110" s="24">
        <f t="shared" si="13"/>
        <v>1</v>
      </c>
      <c r="AY110" s="24" t="str">
        <f t="shared" si="13"/>
        <v/>
      </c>
      <c r="AZ110" s="24" t="str">
        <f t="shared" si="12"/>
        <v/>
      </c>
      <c r="BA110" s="24" t="str">
        <f t="shared" si="12"/>
        <v/>
      </c>
      <c r="BB110" s="24" t="str">
        <f t="shared" si="12"/>
        <v/>
      </c>
      <c r="BC110" s="24" t="str">
        <f t="shared" si="12"/>
        <v/>
      </c>
      <c r="BD110" s="24" t="str">
        <f t="shared" si="12"/>
        <v/>
      </c>
      <c r="BE110" s="24" t="str">
        <f t="shared" si="12"/>
        <v/>
      </c>
      <c r="BF110" s="24" t="str">
        <f t="shared" si="12"/>
        <v/>
      </c>
      <c r="BG110" s="24" t="str">
        <f t="shared" si="12"/>
        <v/>
      </c>
      <c r="BH110" s="24" t="str">
        <f t="shared" si="10"/>
        <v/>
      </c>
      <c r="BI110" s="24">
        <f t="shared" si="12"/>
        <v>1</v>
      </c>
      <c r="BJ110" s="24" t="str">
        <f t="shared" si="11"/>
        <v/>
      </c>
    </row>
    <row r="111" spans="1:62" ht="15" customHeight="1" x14ac:dyDescent="0.25">
      <c r="A111" t="str">
        <f>"1396197489"</f>
        <v>1396197489</v>
      </c>
      <c r="B111" t="str">
        <f>"04549524"</f>
        <v>04549524</v>
      </c>
      <c r="C111" t="s">
        <v>6540</v>
      </c>
      <c r="D111" t="s">
        <v>6541</v>
      </c>
      <c r="E111" t="s">
        <v>6542</v>
      </c>
      <c r="G111" t="s">
        <v>1352</v>
      </c>
      <c r="H111" t="s">
        <v>1683</v>
      </c>
      <c r="J111" t="s">
        <v>1354</v>
      </c>
      <c r="L111" t="s">
        <v>138</v>
      </c>
      <c r="M111" t="s">
        <v>108</v>
      </c>
      <c r="R111" t="s">
        <v>6543</v>
      </c>
      <c r="W111" t="s">
        <v>6542</v>
      </c>
      <c r="AB111" t="s">
        <v>123</v>
      </c>
      <c r="AC111" t="s">
        <v>113</v>
      </c>
      <c r="AD111" t="s">
        <v>108</v>
      </c>
      <c r="AE111" t="s">
        <v>114</v>
      </c>
      <c r="AF111" t="s">
        <v>142</v>
      </c>
      <c r="AG111" t="s">
        <v>116</v>
      </c>
      <c r="AJ111" t="s">
        <v>7251</v>
      </c>
      <c r="AK111" t="str">
        <f t="shared" si="9"/>
        <v>Bergeron Jessica</v>
      </c>
      <c r="AL111" t="s">
        <v>6541</v>
      </c>
      <c r="AM111" t="s">
        <v>108</v>
      </c>
      <c r="AN111" t="s">
        <v>108</v>
      </c>
      <c r="AO111" t="s">
        <v>108</v>
      </c>
      <c r="AP111" t="s">
        <v>108</v>
      </c>
      <c r="AQ111" t="s">
        <v>108</v>
      </c>
      <c r="AR111" t="s">
        <v>108</v>
      </c>
      <c r="AS111" t="s">
        <v>108</v>
      </c>
      <c r="AT111" t="s">
        <v>108</v>
      </c>
      <c r="AU111">
        <v>0</v>
      </c>
      <c r="AV111" t="s">
        <v>108</v>
      </c>
      <c r="AW111" t="s">
        <v>108</v>
      </c>
      <c r="AX111" s="24" t="str">
        <f t="shared" si="13"/>
        <v/>
      </c>
      <c r="AY111" s="24">
        <f t="shared" si="13"/>
        <v>1</v>
      </c>
      <c r="AZ111" s="24" t="str">
        <f t="shared" si="12"/>
        <v/>
      </c>
      <c r="BA111" s="24" t="str">
        <f t="shared" si="12"/>
        <v/>
      </c>
      <c r="BB111" s="24" t="str">
        <f t="shared" si="12"/>
        <v/>
      </c>
      <c r="BC111" s="24" t="str">
        <f t="shared" si="12"/>
        <v/>
      </c>
      <c r="BD111" s="24" t="str">
        <f t="shared" si="12"/>
        <v/>
      </c>
      <c r="BE111" s="24" t="str">
        <f t="shared" si="12"/>
        <v/>
      </c>
      <c r="BF111" s="24" t="str">
        <f t="shared" si="12"/>
        <v/>
      </c>
      <c r="BG111" s="24" t="str">
        <f t="shared" si="12"/>
        <v/>
      </c>
      <c r="BH111" s="24" t="str">
        <f t="shared" si="10"/>
        <v/>
      </c>
      <c r="BI111" s="24">
        <f t="shared" si="12"/>
        <v>1</v>
      </c>
      <c r="BJ111" s="24" t="str">
        <f t="shared" si="11"/>
        <v/>
      </c>
    </row>
    <row r="112" spans="1:62" ht="15" customHeight="1" x14ac:dyDescent="0.25">
      <c r="A112" t="str">
        <f>"1568742914"</f>
        <v>1568742914</v>
      </c>
      <c r="B112" t="str">
        <f>"03939053"</f>
        <v>03939053</v>
      </c>
      <c r="C112" t="s">
        <v>5884</v>
      </c>
      <c r="D112" t="s">
        <v>5885</v>
      </c>
      <c r="E112" t="s">
        <v>5886</v>
      </c>
      <c r="G112" t="s">
        <v>579</v>
      </c>
      <c r="H112" t="s">
        <v>4305</v>
      </c>
      <c r="J112" t="s">
        <v>5851</v>
      </c>
      <c r="L112" t="s">
        <v>120</v>
      </c>
      <c r="M112" t="s">
        <v>108</v>
      </c>
      <c r="R112" t="s">
        <v>5887</v>
      </c>
      <c r="W112" t="s">
        <v>5888</v>
      </c>
      <c r="X112" t="s">
        <v>4308</v>
      </c>
      <c r="Y112" t="s">
        <v>293</v>
      </c>
      <c r="Z112" t="s">
        <v>111</v>
      </c>
      <c r="AA112" t="str">
        <f>"14850-5429"</f>
        <v>14850-5429</v>
      </c>
      <c r="AB112" t="s">
        <v>123</v>
      </c>
      <c r="AC112" t="s">
        <v>113</v>
      </c>
      <c r="AD112" t="s">
        <v>108</v>
      </c>
      <c r="AE112" t="s">
        <v>114</v>
      </c>
      <c r="AF112" t="s">
        <v>142</v>
      </c>
      <c r="AG112" t="s">
        <v>116</v>
      </c>
      <c r="AJ112" t="s">
        <v>7252</v>
      </c>
      <c r="AK112" t="str">
        <f t="shared" si="9"/>
        <v>Berlin Carol</v>
      </c>
      <c r="AL112" t="s">
        <v>5885</v>
      </c>
      <c r="AM112" t="s">
        <v>108</v>
      </c>
      <c r="AN112" t="s">
        <v>108</v>
      </c>
      <c r="AO112" t="s">
        <v>108</v>
      </c>
      <c r="AP112" t="s">
        <v>108</v>
      </c>
      <c r="AQ112" t="s">
        <v>108</v>
      </c>
      <c r="AR112" t="s">
        <v>108</v>
      </c>
      <c r="AS112" t="s">
        <v>108</v>
      </c>
      <c r="AT112" t="s">
        <v>108</v>
      </c>
      <c r="AU112">
        <v>0</v>
      </c>
      <c r="AV112" t="s">
        <v>108</v>
      </c>
      <c r="AW112" t="s">
        <v>108</v>
      </c>
      <c r="AX112" s="24">
        <f t="shared" si="13"/>
        <v>1</v>
      </c>
      <c r="AY112" s="24" t="str">
        <f t="shared" si="13"/>
        <v/>
      </c>
      <c r="AZ112" s="24" t="str">
        <f t="shared" si="12"/>
        <v/>
      </c>
      <c r="BA112" s="24" t="str">
        <f t="shared" si="12"/>
        <v/>
      </c>
      <c r="BB112" s="24" t="str">
        <f t="shared" si="12"/>
        <v/>
      </c>
      <c r="BC112" s="24" t="str">
        <f t="shared" si="12"/>
        <v/>
      </c>
      <c r="BD112" s="24" t="str">
        <f t="shared" si="12"/>
        <v/>
      </c>
      <c r="BE112" s="24" t="str">
        <f t="shared" si="12"/>
        <v/>
      </c>
      <c r="BF112" s="24" t="str">
        <f t="shared" si="12"/>
        <v/>
      </c>
      <c r="BG112" s="24" t="str">
        <f t="shared" si="12"/>
        <v/>
      </c>
      <c r="BH112" s="24" t="str">
        <f t="shared" si="10"/>
        <v/>
      </c>
      <c r="BI112" s="24">
        <f t="shared" si="12"/>
        <v>1</v>
      </c>
      <c r="BJ112" s="24" t="str">
        <f t="shared" si="11"/>
        <v/>
      </c>
    </row>
    <row r="113" spans="1:62" ht="15" customHeight="1" x14ac:dyDescent="0.25">
      <c r="A113" t="str">
        <f>"1619276375"</f>
        <v>1619276375</v>
      </c>
      <c r="B113" t="str">
        <f>"03914014"</f>
        <v>03914014</v>
      </c>
      <c r="C113" t="s">
        <v>6647</v>
      </c>
      <c r="D113" t="s">
        <v>6648</v>
      </c>
      <c r="E113" t="s">
        <v>6649</v>
      </c>
      <c r="G113" t="s">
        <v>6279</v>
      </c>
      <c r="H113" t="s">
        <v>5843</v>
      </c>
      <c r="J113" t="s">
        <v>6280</v>
      </c>
      <c r="L113" t="s">
        <v>6867</v>
      </c>
      <c r="M113" t="s">
        <v>108</v>
      </c>
      <c r="R113" t="s">
        <v>6650</v>
      </c>
      <c r="W113" t="s">
        <v>6649</v>
      </c>
      <c r="X113" t="s">
        <v>302</v>
      </c>
      <c r="Y113" t="s">
        <v>293</v>
      </c>
      <c r="Z113" t="s">
        <v>111</v>
      </c>
      <c r="AA113" t="str">
        <f>"14850-1342"</f>
        <v>14850-1342</v>
      </c>
      <c r="AB113" t="s">
        <v>123</v>
      </c>
      <c r="AC113" t="s">
        <v>113</v>
      </c>
      <c r="AD113" t="s">
        <v>108</v>
      </c>
      <c r="AE113" t="s">
        <v>114</v>
      </c>
      <c r="AF113" t="s">
        <v>142</v>
      </c>
      <c r="AG113" t="s">
        <v>116</v>
      </c>
      <c r="AJ113" t="s">
        <v>7250</v>
      </c>
      <c r="AK113" t="str">
        <f t="shared" si="9"/>
        <v>Berlin Michael</v>
      </c>
      <c r="AL113" t="s">
        <v>6648</v>
      </c>
      <c r="AM113" t="s">
        <v>108</v>
      </c>
      <c r="AN113" t="s">
        <v>108</v>
      </c>
      <c r="AO113" t="s">
        <v>108</v>
      </c>
      <c r="AP113" t="s">
        <v>108</v>
      </c>
      <c r="AQ113" t="s">
        <v>108</v>
      </c>
      <c r="AR113" t="s">
        <v>108</v>
      </c>
      <c r="AS113" t="s">
        <v>108</v>
      </c>
      <c r="AT113" t="s">
        <v>108</v>
      </c>
      <c r="AU113">
        <v>1</v>
      </c>
      <c r="AV113" t="s">
        <v>108</v>
      </c>
      <c r="AW113" t="s">
        <v>108</v>
      </c>
      <c r="AX113" s="24">
        <f t="shared" si="13"/>
        <v>1</v>
      </c>
      <c r="AY113" s="24">
        <f t="shared" si="13"/>
        <v>1</v>
      </c>
      <c r="AZ113" s="24" t="str">
        <f t="shared" si="12"/>
        <v/>
      </c>
      <c r="BA113" s="24" t="str">
        <f t="shared" si="12"/>
        <v/>
      </c>
      <c r="BB113" s="24" t="str">
        <f t="shared" si="12"/>
        <v/>
      </c>
      <c r="BC113" s="24" t="str">
        <f t="shared" si="12"/>
        <v/>
      </c>
      <c r="BD113" s="24" t="str">
        <f t="shared" si="12"/>
        <v/>
      </c>
      <c r="BE113" s="24" t="str">
        <f t="shared" si="12"/>
        <v/>
      </c>
      <c r="BF113" s="24" t="str">
        <f t="shared" si="12"/>
        <v/>
      </c>
      <c r="BG113" s="24" t="str">
        <f t="shared" si="12"/>
        <v/>
      </c>
      <c r="BH113" s="24" t="str">
        <f t="shared" si="10"/>
        <v/>
      </c>
      <c r="BI113" s="24">
        <f t="shared" si="12"/>
        <v>1</v>
      </c>
      <c r="BJ113" s="24" t="str">
        <f t="shared" si="11"/>
        <v/>
      </c>
    </row>
    <row r="114" spans="1:62" ht="15" customHeight="1" x14ac:dyDescent="0.25">
      <c r="A114" t="str">
        <f>"1225267982"</f>
        <v>1225267982</v>
      </c>
      <c r="B114" t="str">
        <f>"03463994"</f>
        <v>03463994</v>
      </c>
      <c r="C114" t="s">
        <v>2781</v>
      </c>
      <c r="D114" t="s">
        <v>2782</v>
      </c>
      <c r="E114" t="s">
        <v>2783</v>
      </c>
      <c r="G114" t="s">
        <v>6330</v>
      </c>
      <c r="H114" t="s">
        <v>6331</v>
      </c>
      <c r="J114" t="s">
        <v>6332</v>
      </c>
      <c r="L114" t="s">
        <v>120</v>
      </c>
      <c r="M114" t="s">
        <v>108</v>
      </c>
      <c r="R114" t="s">
        <v>2781</v>
      </c>
      <c r="W114" t="s">
        <v>2783</v>
      </c>
      <c r="X114" t="s">
        <v>978</v>
      </c>
      <c r="Y114" t="s">
        <v>979</v>
      </c>
      <c r="Z114" t="s">
        <v>111</v>
      </c>
      <c r="AA114" t="str">
        <f>"13760-1560"</f>
        <v>13760-1560</v>
      </c>
      <c r="AB114" t="s">
        <v>123</v>
      </c>
      <c r="AC114" t="s">
        <v>113</v>
      </c>
      <c r="AD114" t="s">
        <v>108</v>
      </c>
      <c r="AE114" t="s">
        <v>114</v>
      </c>
      <c r="AF114" t="s">
        <v>115</v>
      </c>
      <c r="AG114" t="s">
        <v>116</v>
      </c>
      <c r="AK114" t="str">
        <f t="shared" si="9"/>
        <v/>
      </c>
      <c r="AL114" t="s">
        <v>2782</v>
      </c>
      <c r="AM114">
        <v>1</v>
      </c>
      <c r="AN114">
        <v>1</v>
      </c>
      <c r="AO114">
        <v>0</v>
      </c>
      <c r="AP114">
        <v>1</v>
      </c>
      <c r="AQ114">
        <v>1</v>
      </c>
      <c r="AR114">
        <v>0</v>
      </c>
      <c r="AS114">
        <v>0</v>
      </c>
      <c r="AT114">
        <v>0</v>
      </c>
      <c r="AU114">
        <v>0</v>
      </c>
      <c r="AV114">
        <v>0</v>
      </c>
      <c r="AW114">
        <v>0</v>
      </c>
      <c r="AX114" s="24">
        <f t="shared" si="13"/>
        <v>1</v>
      </c>
      <c r="AY114" s="24" t="str">
        <f t="shared" si="13"/>
        <v/>
      </c>
      <c r="AZ114" s="24" t="str">
        <f t="shared" si="12"/>
        <v/>
      </c>
      <c r="BA114" s="24" t="str">
        <f t="shared" si="12"/>
        <v/>
      </c>
      <c r="BB114" s="24" t="str">
        <f t="shared" si="12"/>
        <v/>
      </c>
      <c r="BC114" s="24" t="str">
        <f t="shared" si="12"/>
        <v/>
      </c>
      <c r="BD114" s="24" t="str">
        <f t="shared" si="12"/>
        <v/>
      </c>
      <c r="BE114" s="24" t="str">
        <f t="shared" si="12"/>
        <v/>
      </c>
      <c r="BF114" s="24" t="str">
        <f t="shared" si="12"/>
        <v/>
      </c>
      <c r="BG114" s="24" t="str">
        <f t="shared" si="12"/>
        <v/>
      </c>
      <c r="BH114" s="24" t="str">
        <f t="shared" si="10"/>
        <v/>
      </c>
      <c r="BI114" s="24">
        <f t="shared" si="12"/>
        <v>1</v>
      </c>
      <c r="BJ114" s="24" t="str">
        <f t="shared" si="11"/>
        <v/>
      </c>
    </row>
    <row r="115" spans="1:62" ht="15" customHeight="1" x14ac:dyDescent="0.25">
      <c r="A115" t="str">
        <f>"1134358203"</f>
        <v>1134358203</v>
      </c>
      <c r="B115" t="str">
        <f>"03491316"</f>
        <v>03491316</v>
      </c>
      <c r="C115" t="s">
        <v>4037</v>
      </c>
      <c r="D115" t="s">
        <v>4038</v>
      </c>
      <c r="E115" t="s">
        <v>4039</v>
      </c>
      <c r="G115" t="s">
        <v>6330</v>
      </c>
      <c r="H115" t="s">
        <v>6331</v>
      </c>
      <c r="J115" t="s">
        <v>6332</v>
      </c>
      <c r="L115" t="s">
        <v>120</v>
      </c>
      <c r="M115" t="s">
        <v>108</v>
      </c>
      <c r="R115" t="s">
        <v>4037</v>
      </c>
      <c r="W115" t="s">
        <v>4039</v>
      </c>
      <c r="X115" t="s">
        <v>4040</v>
      </c>
      <c r="Y115" t="s">
        <v>966</v>
      </c>
      <c r="Z115" t="s">
        <v>111</v>
      </c>
      <c r="AA115" t="str">
        <f>"13850-3556"</f>
        <v>13850-3556</v>
      </c>
      <c r="AB115" t="s">
        <v>123</v>
      </c>
      <c r="AC115" t="s">
        <v>113</v>
      </c>
      <c r="AD115" t="s">
        <v>108</v>
      </c>
      <c r="AE115" t="s">
        <v>114</v>
      </c>
      <c r="AF115" t="s">
        <v>115</v>
      </c>
      <c r="AG115" t="s">
        <v>116</v>
      </c>
      <c r="AK115" t="str">
        <f t="shared" si="9"/>
        <v/>
      </c>
      <c r="AL115" t="s">
        <v>4038</v>
      </c>
      <c r="AM115">
        <v>1</v>
      </c>
      <c r="AN115">
        <v>1</v>
      </c>
      <c r="AO115">
        <v>0</v>
      </c>
      <c r="AP115">
        <v>1</v>
      </c>
      <c r="AQ115">
        <v>1</v>
      </c>
      <c r="AR115">
        <v>0</v>
      </c>
      <c r="AS115">
        <v>0</v>
      </c>
      <c r="AT115">
        <v>0</v>
      </c>
      <c r="AU115">
        <v>1</v>
      </c>
      <c r="AV115">
        <v>0</v>
      </c>
      <c r="AW115">
        <v>0</v>
      </c>
      <c r="AX115" s="24">
        <f t="shared" si="13"/>
        <v>1</v>
      </c>
      <c r="AY115" s="24" t="str">
        <f t="shared" si="13"/>
        <v/>
      </c>
      <c r="AZ115" s="24" t="str">
        <f t="shared" si="12"/>
        <v/>
      </c>
      <c r="BA115" s="24" t="str">
        <f t="shared" si="12"/>
        <v/>
      </c>
      <c r="BB115" s="24" t="str">
        <f t="shared" si="12"/>
        <v/>
      </c>
      <c r="BC115" s="24" t="str">
        <f t="shared" si="12"/>
        <v/>
      </c>
      <c r="BD115" s="24" t="str">
        <f t="shared" si="12"/>
        <v/>
      </c>
      <c r="BE115" s="24" t="str">
        <f t="shared" si="12"/>
        <v/>
      </c>
      <c r="BF115" s="24" t="str">
        <f t="shared" ref="AZ115:BI141" si="14">IF(ISERROR(FIND(BF$1,$L115,1)),"",1)</f>
        <v/>
      </c>
      <c r="BG115" s="24" t="str">
        <f t="shared" si="14"/>
        <v/>
      </c>
      <c r="BH115" s="24" t="str">
        <f t="shared" si="10"/>
        <v/>
      </c>
      <c r="BI115" s="24">
        <f t="shared" si="14"/>
        <v>1</v>
      </c>
      <c r="BJ115" s="24" t="str">
        <f t="shared" si="11"/>
        <v/>
      </c>
    </row>
    <row r="116" spans="1:62" ht="15" customHeight="1" x14ac:dyDescent="0.25">
      <c r="A116" t="str">
        <f>"1740255405"</f>
        <v>1740255405</v>
      </c>
      <c r="B116" t="str">
        <f>"03264211"</f>
        <v>03264211</v>
      </c>
      <c r="C116" t="s">
        <v>2948</v>
      </c>
      <c r="D116" t="s">
        <v>2949</v>
      </c>
      <c r="E116" t="s">
        <v>2950</v>
      </c>
      <c r="G116" t="s">
        <v>177</v>
      </c>
      <c r="H116" t="s">
        <v>178</v>
      </c>
      <c r="J116" t="s">
        <v>179</v>
      </c>
      <c r="L116" t="s">
        <v>247</v>
      </c>
      <c r="M116" t="s">
        <v>108</v>
      </c>
      <c r="R116" t="s">
        <v>2948</v>
      </c>
      <c r="W116" t="s">
        <v>2951</v>
      </c>
      <c r="X116" t="s">
        <v>196</v>
      </c>
      <c r="Y116" t="s">
        <v>181</v>
      </c>
      <c r="Z116" t="s">
        <v>182</v>
      </c>
      <c r="AA116" t="str">
        <f>"18840-1625"</f>
        <v>18840-1625</v>
      </c>
      <c r="AB116" t="s">
        <v>123</v>
      </c>
      <c r="AC116" t="s">
        <v>113</v>
      </c>
      <c r="AD116" t="s">
        <v>108</v>
      </c>
      <c r="AE116" t="s">
        <v>114</v>
      </c>
      <c r="AF116" t="s">
        <v>115</v>
      </c>
      <c r="AG116" t="s">
        <v>116</v>
      </c>
      <c r="AK116" t="str">
        <f t="shared" si="9"/>
        <v/>
      </c>
      <c r="AL116" t="s">
        <v>2949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0</v>
      </c>
      <c r="AX116" s="24" t="str">
        <f t="shared" si="13"/>
        <v/>
      </c>
      <c r="AY116" s="24">
        <f t="shared" si="13"/>
        <v>1</v>
      </c>
      <c r="AZ116" s="24" t="str">
        <f t="shared" si="14"/>
        <v/>
      </c>
      <c r="BA116" s="24" t="str">
        <f t="shared" si="14"/>
        <v/>
      </c>
      <c r="BB116" s="24" t="str">
        <f t="shared" si="14"/>
        <v/>
      </c>
      <c r="BC116" s="24" t="str">
        <f t="shared" si="14"/>
        <v/>
      </c>
      <c r="BD116" s="24" t="str">
        <f t="shared" si="14"/>
        <v/>
      </c>
      <c r="BE116" s="24" t="str">
        <f t="shared" si="14"/>
        <v/>
      </c>
      <c r="BF116" s="24" t="str">
        <f t="shared" si="14"/>
        <v/>
      </c>
      <c r="BG116" s="24" t="str">
        <f t="shared" si="14"/>
        <v/>
      </c>
      <c r="BH116" s="24" t="str">
        <f t="shared" si="10"/>
        <v/>
      </c>
      <c r="BI116" s="24" t="str">
        <f t="shared" si="14"/>
        <v/>
      </c>
      <c r="BJ116" s="24" t="str">
        <f t="shared" si="11"/>
        <v/>
      </c>
    </row>
    <row r="117" spans="1:62" ht="15" customHeight="1" x14ac:dyDescent="0.25">
      <c r="A117" t="str">
        <f>"1649266156"</f>
        <v>1649266156</v>
      </c>
      <c r="B117" t="str">
        <f>"02137204"</f>
        <v>02137204</v>
      </c>
      <c r="C117" t="s">
        <v>244</v>
      </c>
      <c r="D117" t="s">
        <v>245</v>
      </c>
      <c r="E117" t="s">
        <v>246</v>
      </c>
      <c r="G117" t="s">
        <v>229</v>
      </c>
      <c r="H117" t="s">
        <v>230</v>
      </c>
      <c r="J117" t="s">
        <v>231</v>
      </c>
      <c r="L117" t="s">
        <v>247</v>
      </c>
      <c r="M117" t="s">
        <v>108</v>
      </c>
      <c r="R117" t="s">
        <v>248</v>
      </c>
      <c r="W117" t="s">
        <v>246</v>
      </c>
      <c r="X117" t="s">
        <v>238</v>
      </c>
      <c r="Y117" t="s">
        <v>239</v>
      </c>
      <c r="Z117" t="s">
        <v>111</v>
      </c>
      <c r="AA117" t="str">
        <f>"13045-1206"</f>
        <v>13045-1206</v>
      </c>
      <c r="AB117" t="s">
        <v>123</v>
      </c>
      <c r="AC117" t="s">
        <v>113</v>
      </c>
      <c r="AD117" t="s">
        <v>108</v>
      </c>
      <c r="AE117" t="s">
        <v>114</v>
      </c>
      <c r="AF117" t="s">
        <v>142</v>
      </c>
      <c r="AG117" t="s">
        <v>116</v>
      </c>
      <c r="AK117" t="str">
        <f t="shared" si="9"/>
        <v/>
      </c>
      <c r="AL117" t="s">
        <v>245</v>
      </c>
      <c r="AM117">
        <v>1</v>
      </c>
      <c r="AN117">
        <v>1</v>
      </c>
      <c r="AO117">
        <v>0</v>
      </c>
      <c r="AP117">
        <v>0</v>
      </c>
      <c r="AQ117">
        <v>1</v>
      </c>
      <c r="AR117">
        <v>0</v>
      </c>
      <c r="AS117">
        <v>0</v>
      </c>
      <c r="AT117">
        <v>0</v>
      </c>
      <c r="AU117">
        <v>0</v>
      </c>
      <c r="AV117">
        <v>0</v>
      </c>
      <c r="AW117">
        <v>0</v>
      </c>
      <c r="AX117" s="24" t="str">
        <f t="shared" si="13"/>
        <v/>
      </c>
      <c r="AY117" s="24">
        <f t="shared" si="13"/>
        <v>1</v>
      </c>
      <c r="AZ117" s="24" t="str">
        <f t="shared" si="14"/>
        <v/>
      </c>
      <c r="BA117" s="24" t="str">
        <f t="shared" si="14"/>
        <v/>
      </c>
      <c r="BB117" s="24" t="str">
        <f t="shared" si="14"/>
        <v/>
      </c>
      <c r="BC117" s="24" t="str">
        <f t="shared" si="14"/>
        <v/>
      </c>
      <c r="BD117" s="24" t="str">
        <f t="shared" si="14"/>
        <v/>
      </c>
      <c r="BE117" s="24" t="str">
        <f t="shared" si="14"/>
        <v/>
      </c>
      <c r="BF117" s="24" t="str">
        <f t="shared" si="14"/>
        <v/>
      </c>
      <c r="BG117" s="24" t="str">
        <f t="shared" si="14"/>
        <v/>
      </c>
      <c r="BH117" s="24" t="str">
        <f t="shared" si="10"/>
        <v/>
      </c>
      <c r="BI117" s="24" t="str">
        <f t="shared" si="14"/>
        <v/>
      </c>
      <c r="BJ117" s="24" t="str">
        <f t="shared" si="11"/>
        <v/>
      </c>
    </row>
    <row r="118" spans="1:62" ht="15" customHeight="1" x14ac:dyDescent="0.25">
      <c r="A118" t="str">
        <f>"1982833646"</f>
        <v>1982833646</v>
      </c>
      <c r="B118" t="str">
        <f>"03497918"</f>
        <v>03497918</v>
      </c>
      <c r="C118" t="s">
        <v>5532</v>
      </c>
      <c r="D118" t="s">
        <v>5533</v>
      </c>
      <c r="E118" t="s">
        <v>5534</v>
      </c>
      <c r="G118" t="s">
        <v>5532</v>
      </c>
      <c r="H118" t="s">
        <v>5535</v>
      </c>
      <c r="J118" t="s">
        <v>5536</v>
      </c>
      <c r="L118" t="s">
        <v>120</v>
      </c>
      <c r="M118" t="s">
        <v>108</v>
      </c>
      <c r="R118" t="s">
        <v>5537</v>
      </c>
      <c r="W118" t="s">
        <v>5538</v>
      </c>
      <c r="X118" t="s">
        <v>5539</v>
      </c>
      <c r="Y118" t="s">
        <v>5540</v>
      </c>
      <c r="Z118" t="s">
        <v>111</v>
      </c>
      <c r="AA118" t="str">
        <f>"11557-1405"</f>
        <v>11557-1405</v>
      </c>
      <c r="AB118" t="s">
        <v>123</v>
      </c>
      <c r="AC118" t="s">
        <v>113</v>
      </c>
      <c r="AD118" t="s">
        <v>108</v>
      </c>
      <c r="AE118" t="s">
        <v>114</v>
      </c>
      <c r="AF118" t="s">
        <v>115</v>
      </c>
      <c r="AG118" t="s">
        <v>116</v>
      </c>
      <c r="AK118" t="str">
        <f t="shared" si="9"/>
        <v/>
      </c>
      <c r="AL118" t="s">
        <v>5533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0</v>
      </c>
      <c r="AW118">
        <v>0</v>
      </c>
      <c r="AX118" s="24">
        <f t="shared" si="13"/>
        <v>1</v>
      </c>
      <c r="AY118" s="24" t="str">
        <f t="shared" si="13"/>
        <v/>
      </c>
      <c r="AZ118" s="24" t="str">
        <f t="shared" si="14"/>
        <v/>
      </c>
      <c r="BA118" s="24" t="str">
        <f t="shared" si="14"/>
        <v/>
      </c>
      <c r="BB118" s="24" t="str">
        <f t="shared" si="14"/>
        <v/>
      </c>
      <c r="BC118" s="24" t="str">
        <f t="shared" si="14"/>
        <v/>
      </c>
      <c r="BD118" s="24" t="str">
        <f t="shared" si="14"/>
        <v/>
      </c>
      <c r="BE118" s="24" t="str">
        <f t="shared" si="14"/>
        <v/>
      </c>
      <c r="BF118" s="24" t="str">
        <f t="shared" si="14"/>
        <v/>
      </c>
      <c r="BG118" s="24" t="str">
        <f t="shared" si="14"/>
        <v/>
      </c>
      <c r="BH118" s="24" t="str">
        <f t="shared" si="10"/>
        <v/>
      </c>
      <c r="BI118" s="24">
        <f t="shared" si="14"/>
        <v>1</v>
      </c>
      <c r="BJ118" s="24" t="str">
        <f t="shared" si="11"/>
        <v/>
      </c>
    </row>
    <row r="119" spans="1:62" ht="15" customHeight="1" x14ac:dyDescent="0.25">
      <c r="A119" t="str">
        <f>"1134348196"</f>
        <v>1134348196</v>
      </c>
      <c r="B119" t="str">
        <f>"03030504"</f>
        <v>03030504</v>
      </c>
      <c r="C119" t="s">
        <v>3849</v>
      </c>
      <c r="D119" t="s">
        <v>3850</v>
      </c>
      <c r="E119" t="s">
        <v>3851</v>
      </c>
      <c r="G119" t="s">
        <v>6330</v>
      </c>
      <c r="H119" t="s">
        <v>6331</v>
      </c>
      <c r="J119" t="s">
        <v>6332</v>
      </c>
      <c r="L119" t="s">
        <v>120</v>
      </c>
      <c r="M119" t="s">
        <v>139</v>
      </c>
      <c r="R119" t="s">
        <v>3849</v>
      </c>
      <c r="W119" t="s">
        <v>3852</v>
      </c>
      <c r="X119" t="s">
        <v>3853</v>
      </c>
      <c r="Y119" t="s">
        <v>471</v>
      </c>
      <c r="Z119" t="s">
        <v>111</v>
      </c>
      <c r="AA119" t="str">
        <f>"14213-1573"</f>
        <v>14213-1573</v>
      </c>
      <c r="AB119" t="s">
        <v>123</v>
      </c>
      <c r="AC119" t="s">
        <v>113</v>
      </c>
      <c r="AD119" t="s">
        <v>108</v>
      </c>
      <c r="AE119" t="s">
        <v>114</v>
      </c>
      <c r="AF119" t="s">
        <v>115</v>
      </c>
      <c r="AG119" t="s">
        <v>116</v>
      </c>
      <c r="AK119" t="str">
        <f t="shared" si="9"/>
        <v/>
      </c>
      <c r="AL119" t="s">
        <v>3850</v>
      </c>
      <c r="AM119">
        <v>1</v>
      </c>
      <c r="AN119">
        <v>1</v>
      </c>
      <c r="AO119">
        <v>0</v>
      </c>
      <c r="AP119">
        <v>1</v>
      </c>
      <c r="AQ119">
        <v>1</v>
      </c>
      <c r="AR119">
        <v>0</v>
      </c>
      <c r="AS119">
        <v>0</v>
      </c>
      <c r="AT119">
        <v>0</v>
      </c>
      <c r="AU119">
        <v>1</v>
      </c>
      <c r="AV119">
        <v>0</v>
      </c>
      <c r="AW119">
        <v>0</v>
      </c>
      <c r="AX119" s="24">
        <f t="shared" si="13"/>
        <v>1</v>
      </c>
      <c r="AY119" s="24" t="str">
        <f t="shared" si="13"/>
        <v/>
      </c>
      <c r="AZ119" s="24" t="str">
        <f t="shared" si="14"/>
        <v/>
      </c>
      <c r="BA119" s="24" t="str">
        <f t="shared" si="14"/>
        <v/>
      </c>
      <c r="BB119" s="24" t="str">
        <f t="shared" si="14"/>
        <v/>
      </c>
      <c r="BC119" s="24" t="str">
        <f t="shared" si="14"/>
        <v/>
      </c>
      <c r="BD119" s="24" t="str">
        <f t="shared" si="14"/>
        <v/>
      </c>
      <c r="BE119" s="24" t="str">
        <f t="shared" si="14"/>
        <v/>
      </c>
      <c r="BF119" s="24" t="str">
        <f t="shared" si="14"/>
        <v/>
      </c>
      <c r="BG119" s="24" t="str">
        <f t="shared" si="14"/>
        <v/>
      </c>
      <c r="BH119" s="24" t="str">
        <f t="shared" si="10"/>
        <v/>
      </c>
      <c r="BI119" s="24">
        <f t="shared" si="14"/>
        <v>1</v>
      </c>
      <c r="BJ119" s="24" t="str">
        <f t="shared" si="11"/>
        <v/>
      </c>
    </row>
    <row r="120" spans="1:62" ht="15" customHeight="1" x14ac:dyDescent="0.25">
      <c r="A120" t="str">
        <f>"1952378705"</f>
        <v>1952378705</v>
      </c>
      <c r="B120" t="str">
        <f>"02326209"</f>
        <v>02326209</v>
      </c>
      <c r="C120" t="s">
        <v>4552</v>
      </c>
      <c r="D120" t="s">
        <v>4553</v>
      </c>
      <c r="E120" t="s">
        <v>4554</v>
      </c>
      <c r="L120" t="s">
        <v>138</v>
      </c>
      <c r="M120" t="s">
        <v>108</v>
      </c>
      <c r="R120" t="s">
        <v>4552</v>
      </c>
      <c r="W120" t="s">
        <v>4554</v>
      </c>
      <c r="X120" t="s">
        <v>1905</v>
      </c>
      <c r="Y120" t="s">
        <v>129</v>
      </c>
      <c r="Z120" t="s">
        <v>111</v>
      </c>
      <c r="AA120" t="str">
        <f>"13790-2176"</f>
        <v>13790-2176</v>
      </c>
      <c r="AB120" t="s">
        <v>123</v>
      </c>
      <c r="AC120" t="s">
        <v>113</v>
      </c>
      <c r="AD120" t="s">
        <v>108</v>
      </c>
      <c r="AE120" t="s">
        <v>114</v>
      </c>
      <c r="AF120" t="s">
        <v>115</v>
      </c>
      <c r="AG120" t="s">
        <v>116</v>
      </c>
      <c r="AK120" t="str">
        <f t="shared" si="9"/>
        <v/>
      </c>
      <c r="AL120" t="s">
        <v>4553</v>
      </c>
      <c r="AM120">
        <v>1</v>
      </c>
      <c r="AN120">
        <v>1</v>
      </c>
      <c r="AO120">
        <v>0</v>
      </c>
      <c r="AP120">
        <v>1</v>
      </c>
      <c r="AQ120">
        <v>1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0</v>
      </c>
      <c r="AX120" s="24" t="str">
        <f t="shared" si="13"/>
        <v/>
      </c>
      <c r="AY120" s="24">
        <f t="shared" si="13"/>
        <v>1</v>
      </c>
      <c r="AZ120" s="24" t="str">
        <f t="shared" si="14"/>
        <v/>
      </c>
      <c r="BA120" s="24" t="str">
        <f t="shared" si="14"/>
        <v/>
      </c>
      <c r="BB120" s="24" t="str">
        <f t="shared" si="14"/>
        <v/>
      </c>
      <c r="BC120" s="24" t="str">
        <f t="shared" si="14"/>
        <v/>
      </c>
      <c r="BD120" s="24" t="str">
        <f t="shared" si="14"/>
        <v/>
      </c>
      <c r="BE120" s="24" t="str">
        <f t="shared" si="14"/>
        <v/>
      </c>
      <c r="BF120" s="24" t="str">
        <f t="shared" si="14"/>
        <v/>
      </c>
      <c r="BG120" s="24" t="str">
        <f t="shared" si="14"/>
        <v/>
      </c>
      <c r="BH120" s="24" t="str">
        <f t="shared" si="10"/>
        <v/>
      </c>
      <c r="BI120" s="24">
        <f t="shared" si="14"/>
        <v>1</v>
      </c>
      <c r="BJ120" s="24" t="str">
        <f t="shared" si="11"/>
        <v/>
      </c>
    </row>
    <row r="121" spans="1:62" ht="15" customHeight="1" x14ac:dyDescent="0.25">
      <c r="A121" t="str">
        <f>"1346245008"</f>
        <v>1346245008</v>
      </c>
      <c r="B121" t="str">
        <f>"02562903"</f>
        <v>02562903</v>
      </c>
      <c r="C121" t="s">
        <v>3292</v>
      </c>
      <c r="D121" t="s">
        <v>3293</v>
      </c>
      <c r="E121" t="s">
        <v>3294</v>
      </c>
      <c r="G121" t="s">
        <v>786</v>
      </c>
      <c r="H121" t="s">
        <v>787</v>
      </c>
      <c r="J121" t="s">
        <v>788</v>
      </c>
      <c r="L121" t="s">
        <v>247</v>
      </c>
      <c r="M121" t="s">
        <v>139</v>
      </c>
      <c r="R121" t="s">
        <v>3292</v>
      </c>
      <c r="W121" t="s">
        <v>3294</v>
      </c>
      <c r="X121" t="s">
        <v>3295</v>
      </c>
      <c r="Y121" t="s">
        <v>239</v>
      </c>
      <c r="Z121" t="s">
        <v>111</v>
      </c>
      <c r="AA121" t="str">
        <f>"13045-2014"</f>
        <v>13045-2014</v>
      </c>
      <c r="AB121" t="s">
        <v>1872</v>
      </c>
      <c r="AC121" t="s">
        <v>113</v>
      </c>
      <c r="AD121" t="s">
        <v>108</v>
      </c>
      <c r="AE121" t="s">
        <v>114</v>
      </c>
      <c r="AF121" t="s">
        <v>142</v>
      </c>
      <c r="AG121" t="s">
        <v>116</v>
      </c>
      <c r="AK121" t="str">
        <f t="shared" si="9"/>
        <v/>
      </c>
      <c r="AL121" t="s">
        <v>3293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 s="24" t="str">
        <f t="shared" si="13"/>
        <v/>
      </c>
      <c r="AY121" s="24">
        <f t="shared" si="13"/>
        <v>1</v>
      </c>
      <c r="AZ121" s="24" t="str">
        <f t="shared" si="14"/>
        <v/>
      </c>
      <c r="BA121" s="24" t="str">
        <f t="shared" si="14"/>
        <v/>
      </c>
      <c r="BB121" s="24" t="str">
        <f t="shared" si="14"/>
        <v/>
      </c>
      <c r="BC121" s="24" t="str">
        <f t="shared" si="14"/>
        <v/>
      </c>
      <c r="BD121" s="24" t="str">
        <f t="shared" si="14"/>
        <v/>
      </c>
      <c r="BE121" s="24" t="str">
        <f t="shared" si="14"/>
        <v/>
      </c>
      <c r="BF121" s="24" t="str">
        <f t="shared" si="14"/>
        <v/>
      </c>
      <c r="BG121" s="24" t="str">
        <f t="shared" si="14"/>
        <v/>
      </c>
      <c r="BH121" s="24" t="str">
        <f t="shared" si="10"/>
        <v/>
      </c>
      <c r="BI121" s="24" t="str">
        <f t="shared" si="14"/>
        <v/>
      </c>
      <c r="BJ121" s="24" t="str">
        <f t="shared" si="11"/>
        <v/>
      </c>
    </row>
    <row r="122" spans="1:62" ht="15" customHeight="1" x14ac:dyDescent="0.25">
      <c r="A122" t="str">
        <f>"1447327556"</f>
        <v>1447327556</v>
      </c>
      <c r="B122" t="str">
        <f>"02682039"</f>
        <v>02682039</v>
      </c>
      <c r="C122" t="s">
        <v>6829</v>
      </c>
      <c r="D122" t="s">
        <v>7115</v>
      </c>
      <c r="E122" t="s">
        <v>6974</v>
      </c>
      <c r="G122" t="s">
        <v>815</v>
      </c>
      <c r="H122" t="s">
        <v>816</v>
      </c>
      <c r="J122" t="s">
        <v>817</v>
      </c>
      <c r="L122" t="s">
        <v>6867</v>
      </c>
      <c r="M122" t="s">
        <v>108</v>
      </c>
      <c r="R122" t="s">
        <v>6829</v>
      </c>
      <c r="W122" t="s">
        <v>6974</v>
      </c>
      <c r="X122" t="s">
        <v>1811</v>
      </c>
      <c r="Y122" t="s">
        <v>110</v>
      </c>
      <c r="Z122" t="s">
        <v>111</v>
      </c>
      <c r="AA122" t="str">
        <f>"13905-4178"</f>
        <v>13905-4178</v>
      </c>
      <c r="AB122" t="s">
        <v>123</v>
      </c>
      <c r="AC122" t="s">
        <v>113</v>
      </c>
      <c r="AD122" t="s">
        <v>108</v>
      </c>
      <c r="AE122" t="s">
        <v>114</v>
      </c>
      <c r="AF122" t="s">
        <v>115</v>
      </c>
      <c r="AG122" t="s">
        <v>116</v>
      </c>
      <c r="AJ122" t="s">
        <v>7249</v>
      </c>
      <c r="AK122" t="str">
        <f t="shared" si="9"/>
        <v>BISHOP LAURA</v>
      </c>
      <c r="AL122" t="s">
        <v>7115</v>
      </c>
      <c r="AM122" t="s">
        <v>108</v>
      </c>
      <c r="AN122" t="s">
        <v>108</v>
      </c>
      <c r="AO122" t="s">
        <v>108</v>
      </c>
      <c r="AP122" t="s">
        <v>108</v>
      </c>
      <c r="AQ122" t="s">
        <v>108</v>
      </c>
      <c r="AR122" t="s">
        <v>108</v>
      </c>
      <c r="AS122" t="s">
        <v>108</v>
      </c>
      <c r="AT122" t="s">
        <v>108</v>
      </c>
      <c r="AU122">
        <v>0</v>
      </c>
      <c r="AV122" t="s">
        <v>108</v>
      </c>
      <c r="AW122" t="s">
        <v>108</v>
      </c>
      <c r="AX122" s="24">
        <f t="shared" si="13"/>
        <v>1</v>
      </c>
      <c r="AY122" s="24">
        <f t="shared" si="13"/>
        <v>1</v>
      </c>
      <c r="AZ122" s="24" t="str">
        <f t="shared" si="14"/>
        <v/>
      </c>
      <c r="BA122" s="24" t="str">
        <f t="shared" si="14"/>
        <v/>
      </c>
      <c r="BB122" s="24" t="str">
        <f t="shared" si="14"/>
        <v/>
      </c>
      <c r="BC122" s="24" t="str">
        <f t="shared" si="14"/>
        <v/>
      </c>
      <c r="BD122" s="24" t="str">
        <f t="shared" si="14"/>
        <v/>
      </c>
      <c r="BE122" s="24" t="str">
        <f t="shared" si="14"/>
        <v/>
      </c>
      <c r="BF122" s="24" t="str">
        <f t="shared" si="14"/>
        <v/>
      </c>
      <c r="BG122" s="24" t="str">
        <f t="shared" si="14"/>
        <v/>
      </c>
      <c r="BH122" s="24" t="str">
        <f t="shared" si="10"/>
        <v/>
      </c>
      <c r="BI122" s="24">
        <f t="shared" si="14"/>
        <v>1</v>
      </c>
      <c r="BJ122" s="24" t="str">
        <f t="shared" si="11"/>
        <v/>
      </c>
    </row>
    <row r="123" spans="1:62" ht="15" customHeight="1" x14ac:dyDescent="0.25">
      <c r="A123" t="str">
        <f>"1629358742"</f>
        <v>1629358742</v>
      </c>
      <c r="B123" t="str">
        <f>"03468664"</f>
        <v>03468664</v>
      </c>
      <c r="C123" t="s">
        <v>3961</v>
      </c>
      <c r="D123" t="s">
        <v>3962</v>
      </c>
      <c r="E123" t="s">
        <v>3961</v>
      </c>
      <c r="G123" t="s">
        <v>699</v>
      </c>
      <c r="H123" t="s">
        <v>700</v>
      </c>
      <c r="J123" t="s">
        <v>701</v>
      </c>
      <c r="L123" t="s">
        <v>442</v>
      </c>
      <c r="M123" t="s">
        <v>108</v>
      </c>
      <c r="R123" t="s">
        <v>3961</v>
      </c>
      <c r="W123" t="s">
        <v>3961</v>
      </c>
      <c r="X123" t="s">
        <v>3963</v>
      </c>
      <c r="Y123" t="s">
        <v>717</v>
      </c>
      <c r="Z123" t="s">
        <v>182</v>
      </c>
      <c r="AA123" t="str">
        <f>"18848-0004"</f>
        <v>18848-0004</v>
      </c>
      <c r="AB123" t="s">
        <v>123</v>
      </c>
      <c r="AC123" t="s">
        <v>113</v>
      </c>
      <c r="AD123" t="s">
        <v>108</v>
      </c>
      <c r="AE123" t="s">
        <v>114</v>
      </c>
      <c r="AF123" t="s">
        <v>115</v>
      </c>
      <c r="AG123" t="s">
        <v>116</v>
      </c>
      <c r="AK123" t="str">
        <f t="shared" si="9"/>
        <v/>
      </c>
      <c r="AL123" t="s">
        <v>3962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0</v>
      </c>
      <c r="AW123">
        <v>0</v>
      </c>
      <c r="AX123" s="24">
        <f t="shared" si="13"/>
        <v>1</v>
      </c>
      <c r="AY123" s="24" t="str">
        <f t="shared" si="13"/>
        <v/>
      </c>
      <c r="AZ123" s="24" t="str">
        <f t="shared" si="14"/>
        <v/>
      </c>
      <c r="BA123" s="24" t="str">
        <f t="shared" si="14"/>
        <v/>
      </c>
      <c r="BB123" s="24" t="str">
        <f t="shared" si="14"/>
        <v/>
      </c>
      <c r="BC123" s="24" t="str">
        <f t="shared" si="14"/>
        <v/>
      </c>
      <c r="BD123" s="24" t="str">
        <f t="shared" si="14"/>
        <v/>
      </c>
      <c r="BE123" s="24" t="str">
        <f t="shared" si="14"/>
        <v/>
      </c>
      <c r="BF123" s="24" t="str">
        <f t="shared" si="14"/>
        <v/>
      </c>
      <c r="BG123" s="24" t="str">
        <f t="shared" si="14"/>
        <v/>
      </c>
      <c r="BH123" s="24" t="str">
        <f t="shared" si="10"/>
        <v/>
      </c>
      <c r="BI123" s="24" t="str">
        <f t="shared" si="14"/>
        <v/>
      </c>
      <c r="BJ123" s="24" t="str">
        <f t="shared" si="11"/>
        <v/>
      </c>
    </row>
    <row r="124" spans="1:62" ht="15" customHeight="1" x14ac:dyDescent="0.25">
      <c r="A124" t="str">
        <f>"1255327854"</f>
        <v>1255327854</v>
      </c>
      <c r="B124" t="str">
        <f>"01267023"</f>
        <v>01267023</v>
      </c>
      <c r="C124" t="s">
        <v>4439</v>
      </c>
      <c r="D124" t="s">
        <v>4440</v>
      </c>
      <c r="E124" t="s">
        <v>4441</v>
      </c>
      <c r="L124" t="s">
        <v>138</v>
      </c>
      <c r="M124" t="s">
        <v>108</v>
      </c>
      <c r="R124" t="s">
        <v>4439</v>
      </c>
      <c r="W124" t="s">
        <v>4441</v>
      </c>
      <c r="X124" t="s">
        <v>4442</v>
      </c>
      <c r="Y124" t="s">
        <v>1203</v>
      </c>
      <c r="Z124" t="s">
        <v>111</v>
      </c>
      <c r="AA124" t="str">
        <f>"14891-1217"</f>
        <v>14891-1217</v>
      </c>
      <c r="AB124" t="s">
        <v>4443</v>
      </c>
      <c r="AC124" t="s">
        <v>113</v>
      </c>
      <c r="AD124" t="s">
        <v>108</v>
      </c>
      <c r="AE124" t="s">
        <v>114</v>
      </c>
      <c r="AF124" t="s">
        <v>142</v>
      </c>
      <c r="AG124" t="s">
        <v>116</v>
      </c>
      <c r="AK124" t="str">
        <f t="shared" si="9"/>
        <v/>
      </c>
      <c r="AL124" t="s">
        <v>4440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0</v>
      </c>
      <c r="AW124">
        <v>0</v>
      </c>
      <c r="AX124" s="24" t="str">
        <f t="shared" si="13"/>
        <v/>
      </c>
      <c r="AY124" s="24">
        <f t="shared" si="13"/>
        <v>1</v>
      </c>
      <c r="AZ124" s="24" t="str">
        <f t="shared" si="14"/>
        <v/>
      </c>
      <c r="BA124" s="24" t="str">
        <f t="shared" si="14"/>
        <v/>
      </c>
      <c r="BB124" s="24" t="str">
        <f t="shared" si="14"/>
        <v/>
      </c>
      <c r="BC124" s="24" t="str">
        <f t="shared" si="14"/>
        <v/>
      </c>
      <c r="BD124" s="24" t="str">
        <f t="shared" si="14"/>
        <v/>
      </c>
      <c r="BE124" s="24" t="str">
        <f t="shared" si="14"/>
        <v/>
      </c>
      <c r="BF124" s="24" t="str">
        <f t="shared" si="14"/>
        <v/>
      </c>
      <c r="BG124" s="24" t="str">
        <f t="shared" si="14"/>
        <v/>
      </c>
      <c r="BH124" s="24" t="str">
        <f t="shared" si="10"/>
        <v/>
      </c>
      <c r="BI124" s="24">
        <f t="shared" si="14"/>
        <v>1</v>
      </c>
      <c r="BJ124" s="24" t="str">
        <f t="shared" si="11"/>
        <v/>
      </c>
    </row>
    <row r="125" spans="1:62" ht="15" customHeight="1" x14ac:dyDescent="0.25">
      <c r="A125" t="str">
        <f>"1013980770"</f>
        <v>1013980770</v>
      </c>
      <c r="B125" t="str">
        <f>"00365962"</f>
        <v>00365962</v>
      </c>
      <c r="C125" t="s">
        <v>3964</v>
      </c>
      <c r="D125" t="s">
        <v>3965</v>
      </c>
      <c r="E125" t="s">
        <v>3964</v>
      </c>
      <c r="G125" t="s">
        <v>699</v>
      </c>
      <c r="H125" t="s">
        <v>700</v>
      </c>
      <c r="J125" t="s">
        <v>701</v>
      </c>
      <c r="L125" t="s">
        <v>6868</v>
      </c>
      <c r="M125" t="s">
        <v>108</v>
      </c>
      <c r="R125" t="s">
        <v>3966</v>
      </c>
      <c r="W125" t="s">
        <v>3964</v>
      </c>
      <c r="X125" t="s">
        <v>186</v>
      </c>
      <c r="Y125" t="s">
        <v>181</v>
      </c>
      <c r="Z125" t="s">
        <v>182</v>
      </c>
      <c r="AA125" t="str">
        <f>"18840"</f>
        <v>18840</v>
      </c>
      <c r="AB125" t="s">
        <v>123</v>
      </c>
      <c r="AC125" t="s">
        <v>113</v>
      </c>
      <c r="AD125" t="s">
        <v>108</v>
      </c>
      <c r="AE125" t="s">
        <v>114</v>
      </c>
      <c r="AF125" t="s">
        <v>115</v>
      </c>
      <c r="AG125" t="s">
        <v>116</v>
      </c>
      <c r="AK125" t="str">
        <f t="shared" si="9"/>
        <v/>
      </c>
      <c r="AL125" t="s">
        <v>3965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0</v>
      </c>
      <c r="AW125">
        <v>0</v>
      </c>
      <c r="AX125" s="24">
        <f t="shared" si="13"/>
        <v>1</v>
      </c>
      <c r="AY125" s="24">
        <f t="shared" si="13"/>
        <v>1</v>
      </c>
      <c r="AZ125" s="24" t="str">
        <f t="shared" si="14"/>
        <v/>
      </c>
      <c r="BA125" s="24" t="str">
        <f t="shared" si="14"/>
        <v/>
      </c>
      <c r="BB125" s="24" t="str">
        <f t="shared" si="14"/>
        <v/>
      </c>
      <c r="BC125" s="24" t="str">
        <f t="shared" si="14"/>
        <v/>
      </c>
      <c r="BD125" s="24" t="str">
        <f t="shared" si="14"/>
        <v/>
      </c>
      <c r="BE125" s="24" t="str">
        <f t="shared" si="14"/>
        <v/>
      </c>
      <c r="BF125" s="24" t="str">
        <f t="shared" si="14"/>
        <v/>
      </c>
      <c r="BG125" s="24" t="str">
        <f t="shared" si="14"/>
        <v/>
      </c>
      <c r="BH125" s="24" t="str">
        <f t="shared" si="10"/>
        <v/>
      </c>
      <c r="BI125" s="24" t="str">
        <f t="shared" si="14"/>
        <v/>
      </c>
      <c r="BJ125" s="24" t="str">
        <f t="shared" si="11"/>
        <v/>
      </c>
    </row>
    <row r="126" spans="1:62" ht="15" customHeight="1" x14ac:dyDescent="0.25">
      <c r="A126" t="str">
        <f>"1932174315"</f>
        <v>1932174315</v>
      </c>
      <c r="B126" t="str">
        <f>"03986110"</f>
        <v>03986110</v>
      </c>
      <c r="C126" t="s">
        <v>5878</v>
      </c>
      <c r="D126" t="s">
        <v>5879</v>
      </c>
      <c r="E126" t="s">
        <v>5880</v>
      </c>
      <c r="G126" t="s">
        <v>5881</v>
      </c>
      <c r="H126" t="s">
        <v>700</v>
      </c>
      <c r="J126" t="s">
        <v>701</v>
      </c>
      <c r="L126" t="s">
        <v>138</v>
      </c>
      <c r="M126" t="s">
        <v>108</v>
      </c>
      <c r="R126" t="s">
        <v>5882</v>
      </c>
      <c r="W126" t="s">
        <v>5883</v>
      </c>
      <c r="X126" t="s">
        <v>196</v>
      </c>
      <c r="Y126" t="s">
        <v>181</v>
      </c>
      <c r="Z126" t="s">
        <v>182</v>
      </c>
      <c r="AA126" t="str">
        <f>"18840-1625"</f>
        <v>18840-1625</v>
      </c>
      <c r="AB126" t="s">
        <v>123</v>
      </c>
      <c r="AC126" t="s">
        <v>113</v>
      </c>
      <c r="AD126" t="s">
        <v>108</v>
      </c>
      <c r="AE126" t="s">
        <v>114</v>
      </c>
      <c r="AF126" t="s">
        <v>149</v>
      </c>
      <c r="AG126" t="s">
        <v>116</v>
      </c>
      <c r="AJ126" t="s">
        <v>7253</v>
      </c>
      <c r="AK126" t="str">
        <f t="shared" si="9"/>
        <v>Bloom Frederick</v>
      </c>
      <c r="AL126" t="s">
        <v>5879</v>
      </c>
      <c r="AM126" t="s">
        <v>108</v>
      </c>
      <c r="AN126" t="s">
        <v>108</v>
      </c>
      <c r="AO126" t="s">
        <v>108</v>
      </c>
      <c r="AP126" t="s">
        <v>108</v>
      </c>
      <c r="AQ126" t="s">
        <v>108</v>
      </c>
      <c r="AR126" t="s">
        <v>108</v>
      </c>
      <c r="AS126" t="s">
        <v>108</v>
      </c>
      <c r="AT126" t="s">
        <v>108</v>
      </c>
      <c r="AU126">
        <v>0</v>
      </c>
      <c r="AV126" t="s">
        <v>108</v>
      </c>
      <c r="AW126" t="s">
        <v>108</v>
      </c>
      <c r="AX126" s="24" t="str">
        <f t="shared" si="13"/>
        <v/>
      </c>
      <c r="AY126" s="24">
        <f t="shared" si="13"/>
        <v>1</v>
      </c>
      <c r="AZ126" s="24" t="str">
        <f t="shared" si="14"/>
        <v/>
      </c>
      <c r="BA126" s="24" t="str">
        <f t="shared" si="14"/>
        <v/>
      </c>
      <c r="BB126" s="24" t="str">
        <f t="shared" si="14"/>
        <v/>
      </c>
      <c r="BC126" s="24" t="str">
        <f t="shared" si="14"/>
        <v/>
      </c>
      <c r="BD126" s="24" t="str">
        <f t="shared" si="14"/>
        <v/>
      </c>
      <c r="BE126" s="24" t="str">
        <f t="shared" si="14"/>
        <v/>
      </c>
      <c r="BF126" s="24" t="str">
        <f t="shared" si="14"/>
        <v/>
      </c>
      <c r="BG126" s="24" t="str">
        <f t="shared" si="14"/>
        <v/>
      </c>
      <c r="BH126" s="24" t="str">
        <f t="shared" si="10"/>
        <v/>
      </c>
      <c r="BI126" s="24">
        <f t="shared" si="14"/>
        <v>1</v>
      </c>
      <c r="BJ126" s="24" t="str">
        <f t="shared" si="11"/>
        <v/>
      </c>
    </row>
    <row r="127" spans="1:62" ht="15" customHeight="1" x14ac:dyDescent="0.25">
      <c r="A127" t="str">
        <f>"1073745659"</f>
        <v>1073745659</v>
      </c>
      <c r="B127" t="str">
        <f>"03488144"</f>
        <v>03488144</v>
      </c>
      <c r="C127" t="s">
        <v>6804</v>
      </c>
      <c r="D127" t="s">
        <v>7082</v>
      </c>
      <c r="E127" t="s">
        <v>6804</v>
      </c>
      <c r="G127" t="s">
        <v>6330</v>
      </c>
      <c r="H127" t="s">
        <v>6331</v>
      </c>
      <c r="J127" t="s">
        <v>6332</v>
      </c>
      <c r="L127" t="s">
        <v>120</v>
      </c>
      <c r="M127" t="s">
        <v>108</v>
      </c>
      <c r="R127" t="s">
        <v>6804</v>
      </c>
      <c r="W127" t="s">
        <v>6804</v>
      </c>
      <c r="X127" t="s">
        <v>876</v>
      </c>
      <c r="Y127" t="s">
        <v>877</v>
      </c>
      <c r="Z127" t="s">
        <v>111</v>
      </c>
      <c r="AA127" t="str">
        <f>"13865-4109"</f>
        <v>13865-4109</v>
      </c>
      <c r="AB127" t="s">
        <v>123</v>
      </c>
      <c r="AC127" t="s">
        <v>113</v>
      </c>
      <c r="AD127" t="s">
        <v>108</v>
      </c>
      <c r="AE127" t="s">
        <v>114</v>
      </c>
      <c r="AF127" t="s">
        <v>115</v>
      </c>
      <c r="AG127" t="s">
        <v>116</v>
      </c>
      <c r="AJ127" t="s">
        <v>7248</v>
      </c>
      <c r="AK127" t="str">
        <f t="shared" si="9"/>
        <v>BOAKYE KWABENA</v>
      </c>
      <c r="AL127" t="s">
        <v>7082</v>
      </c>
      <c r="AM127" t="s">
        <v>108</v>
      </c>
      <c r="AN127" t="s">
        <v>108</v>
      </c>
      <c r="AO127" t="s">
        <v>108</v>
      </c>
      <c r="AP127" t="s">
        <v>108</v>
      </c>
      <c r="AQ127" t="s">
        <v>108</v>
      </c>
      <c r="AR127" t="s">
        <v>108</v>
      </c>
      <c r="AS127" t="s">
        <v>108</v>
      </c>
      <c r="AT127" t="s">
        <v>108</v>
      </c>
      <c r="AU127">
        <v>0</v>
      </c>
      <c r="AV127" t="s">
        <v>108</v>
      </c>
      <c r="AW127" t="s">
        <v>108</v>
      </c>
      <c r="AX127" s="24">
        <f t="shared" si="13"/>
        <v>1</v>
      </c>
      <c r="AY127" s="24" t="str">
        <f t="shared" si="13"/>
        <v/>
      </c>
      <c r="AZ127" s="24" t="str">
        <f t="shared" si="14"/>
        <v/>
      </c>
      <c r="BA127" s="24" t="str">
        <f t="shared" si="14"/>
        <v/>
      </c>
      <c r="BB127" s="24" t="str">
        <f t="shared" si="14"/>
        <v/>
      </c>
      <c r="BC127" s="24" t="str">
        <f t="shared" si="14"/>
        <v/>
      </c>
      <c r="BD127" s="24" t="str">
        <f t="shared" si="14"/>
        <v/>
      </c>
      <c r="BE127" s="24" t="str">
        <f t="shared" si="14"/>
        <v/>
      </c>
      <c r="BF127" s="24" t="str">
        <f t="shared" si="14"/>
        <v/>
      </c>
      <c r="BG127" s="24" t="str">
        <f t="shared" si="14"/>
        <v/>
      </c>
      <c r="BH127" s="24" t="str">
        <f t="shared" si="10"/>
        <v/>
      </c>
      <c r="BI127" s="24">
        <f t="shared" si="14"/>
        <v>1</v>
      </c>
      <c r="BJ127" s="24" t="str">
        <f t="shared" si="11"/>
        <v/>
      </c>
    </row>
    <row r="128" spans="1:62" ht="15" customHeight="1" x14ac:dyDescent="0.25">
      <c r="A128" t="str">
        <f>"1194036475"</f>
        <v>1194036475</v>
      </c>
      <c r="B128" t="str">
        <f>"03395324"</f>
        <v>03395324</v>
      </c>
      <c r="C128" t="s">
        <v>4071</v>
      </c>
      <c r="D128" t="s">
        <v>4072</v>
      </c>
      <c r="E128" t="s">
        <v>4073</v>
      </c>
      <c r="L128" t="s">
        <v>138</v>
      </c>
      <c r="M128" t="s">
        <v>108</v>
      </c>
      <c r="R128" t="s">
        <v>4071</v>
      </c>
      <c r="W128" t="s">
        <v>4073</v>
      </c>
      <c r="X128" t="s">
        <v>128</v>
      </c>
      <c r="Y128" t="s">
        <v>129</v>
      </c>
      <c r="Z128" t="s">
        <v>111</v>
      </c>
      <c r="AA128" t="str">
        <f>"13790-2544"</f>
        <v>13790-2544</v>
      </c>
      <c r="AB128" t="s">
        <v>123</v>
      </c>
      <c r="AC128" t="s">
        <v>113</v>
      </c>
      <c r="AD128" t="s">
        <v>108</v>
      </c>
      <c r="AE128" t="s">
        <v>114</v>
      </c>
      <c r="AF128" t="s">
        <v>115</v>
      </c>
      <c r="AG128" t="s">
        <v>116</v>
      </c>
      <c r="AK128" t="str">
        <f t="shared" si="9"/>
        <v/>
      </c>
      <c r="AL128" t="s">
        <v>4072</v>
      </c>
      <c r="AM128">
        <v>1</v>
      </c>
      <c r="AN128">
        <v>1</v>
      </c>
      <c r="AO128">
        <v>0</v>
      </c>
      <c r="AP128">
        <v>1</v>
      </c>
      <c r="AQ128">
        <v>1</v>
      </c>
      <c r="AR128">
        <v>0</v>
      </c>
      <c r="AS128">
        <v>0</v>
      </c>
      <c r="AT128">
        <v>0</v>
      </c>
      <c r="AU128">
        <v>0</v>
      </c>
      <c r="AV128">
        <v>0</v>
      </c>
      <c r="AW128">
        <v>0</v>
      </c>
      <c r="AX128" s="24" t="str">
        <f t="shared" si="13"/>
        <v/>
      </c>
      <c r="AY128" s="24">
        <f t="shared" si="13"/>
        <v>1</v>
      </c>
      <c r="AZ128" s="24" t="str">
        <f t="shared" si="14"/>
        <v/>
      </c>
      <c r="BA128" s="24" t="str">
        <f t="shared" si="14"/>
        <v/>
      </c>
      <c r="BB128" s="24" t="str">
        <f t="shared" si="14"/>
        <v/>
      </c>
      <c r="BC128" s="24" t="str">
        <f t="shared" si="14"/>
        <v/>
      </c>
      <c r="BD128" s="24" t="str">
        <f t="shared" si="14"/>
        <v/>
      </c>
      <c r="BE128" s="24" t="str">
        <f t="shared" si="14"/>
        <v/>
      </c>
      <c r="BF128" s="24" t="str">
        <f t="shared" si="14"/>
        <v/>
      </c>
      <c r="BG128" s="24" t="str">
        <f t="shared" si="14"/>
        <v/>
      </c>
      <c r="BH128" s="24" t="str">
        <f t="shared" si="10"/>
        <v/>
      </c>
      <c r="BI128" s="24">
        <f t="shared" si="14"/>
        <v>1</v>
      </c>
      <c r="BJ128" s="24" t="str">
        <f t="shared" si="11"/>
        <v/>
      </c>
    </row>
    <row r="129" spans="1:62" ht="15" customHeight="1" x14ac:dyDescent="0.25">
      <c r="A129" t="str">
        <f>"1275608226"</f>
        <v>1275608226</v>
      </c>
      <c r="B129" t="str">
        <f>"02163808"</f>
        <v>02163808</v>
      </c>
      <c r="C129" t="s">
        <v>4123</v>
      </c>
      <c r="D129" t="s">
        <v>4124</v>
      </c>
      <c r="E129" t="s">
        <v>4125</v>
      </c>
      <c r="L129" t="s">
        <v>138</v>
      </c>
      <c r="M129" t="s">
        <v>139</v>
      </c>
      <c r="R129" t="s">
        <v>4123</v>
      </c>
      <c r="W129" t="s">
        <v>4125</v>
      </c>
      <c r="X129" t="s">
        <v>238</v>
      </c>
      <c r="Y129" t="s">
        <v>239</v>
      </c>
      <c r="Z129" t="s">
        <v>111</v>
      </c>
      <c r="AA129" t="str">
        <f>"13045-1206"</f>
        <v>13045-1206</v>
      </c>
      <c r="AB129" t="s">
        <v>2027</v>
      </c>
      <c r="AC129" t="s">
        <v>113</v>
      </c>
      <c r="AD129" t="s">
        <v>108</v>
      </c>
      <c r="AE129" t="s">
        <v>114</v>
      </c>
      <c r="AF129" t="s">
        <v>142</v>
      </c>
      <c r="AG129" t="s">
        <v>116</v>
      </c>
      <c r="AK129" t="str">
        <f t="shared" si="9"/>
        <v/>
      </c>
      <c r="AL129" t="s">
        <v>4124</v>
      </c>
      <c r="AM129">
        <v>1</v>
      </c>
      <c r="AN129">
        <v>1</v>
      </c>
      <c r="AO129">
        <v>0</v>
      </c>
      <c r="AP129">
        <v>0</v>
      </c>
      <c r="AQ129">
        <v>1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0</v>
      </c>
      <c r="AX129" s="24" t="str">
        <f t="shared" si="13"/>
        <v/>
      </c>
      <c r="AY129" s="24">
        <f t="shared" si="13"/>
        <v>1</v>
      </c>
      <c r="AZ129" s="24" t="str">
        <f t="shared" si="14"/>
        <v/>
      </c>
      <c r="BA129" s="24" t="str">
        <f t="shared" si="14"/>
        <v/>
      </c>
      <c r="BB129" s="24" t="str">
        <f t="shared" si="14"/>
        <v/>
      </c>
      <c r="BC129" s="24" t="str">
        <f t="shared" si="14"/>
        <v/>
      </c>
      <c r="BD129" s="24" t="str">
        <f t="shared" si="14"/>
        <v/>
      </c>
      <c r="BE129" s="24" t="str">
        <f t="shared" si="14"/>
        <v/>
      </c>
      <c r="BF129" s="24" t="str">
        <f t="shared" si="14"/>
        <v/>
      </c>
      <c r="BG129" s="24" t="str">
        <f t="shared" si="14"/>
        <v/>
      </c>
      <c r="BH129" s="24" t="str">
        <f t="shared" si="10"/>
        <v/>
      </c>
      <c r="BI129" s="24">
        <f t="shared" si="14"/>
        <v>1</v>
      </c>
      <c r="BJ129" s="24" t="str">
        <f t="shared" si="11"/>
        <v/>
      </c>
    </row>
    <row r="130" spans="1:62" ht="15" customHeight="1" x14ac:dyDescent="0.25">
      <c r="A130" t="str">
        <f>"1326167768"</f>
        <v>1326167768</v>
      </c>
      <c r="B130" t="str">
        <f>"01407258"</f>
        <v>01407258</v>
      </c>
      <c r="C130" t="s">
        <v>5094</v>
      </c>
      <c r="D130" t="s">
        <v>5095</v>
      </c>
      <c r="E130" t="s">
        <v>5096</v>
      </c>
      <c r="L130" t="s">
        <v>247</v>
      </c>
      <c r="M130" t="s">
        <v>108</v>
      </c>
      <c r="R130" t="s">
        <v>5094</v>
      </c>
      <c r="W130" t="s">
        <v>5096</v>
      </c>
      <c r="X130" t="s">
        <v>5097</v>
      </c>
      <c r="Y130" t="s">
        <v>239</v>
      </c>
      <c r="Z130" t="s">
        <v>111</v>
      </c>
      <c r="AA130" t="str">
        <f>"13045"</f>
        <v>13045</v>
      </c>
      <c r="AB130" t="s">
        <v>123</v>
      </c>
      <c r="AC130" t="s">
        <v>113</v>
      </c>
      <c r="AD130" t="s">
        <v>108</v>
      </c>
      <c r="AE130" t="s">
        <v>114</v>
      </c>
      <c r="AF130" t="s">
        <v>142</v>
      </c>
      <c r="AG130" t="s">
        <v>116</v>
      </c>
      <c r="AK130" t="str">
        <f t="shared" ref="AK130:AK193" si="15">IF(AM130="No",C130,"")</f>
        <v/>
      </c>
      <c r="AL130" t="s">
        <v>5095</v>
      </c>
      <c r="AM130">
        <v>1</v>
      </c>
      <c r="AN130">
        <v>1</v>
      </c>
      <c r="AO130">
        <v>0</v>
      </c>
      <c r="AP130">
        <v>1</v>
      </c>
      <c r="AQ130">
        <v>1</v>
      </c>
      <c r="AR130">
        <v>0</v>
      </c>
      <c r="AS130">
        <v>0</v>
      </c>
      <c r="AT130">
        <v>0</v>
      </c>
      <c r="AU130">
        <v>0</v>
      </c>
      <c r="AV130">
        <v>0</v>
      </c>
      <c r="AW130">
        <v>0</v>
      </c>
      <c r="AX130" s="24" t="str">
        <f t="shared" si="13"/>
        <v/>
      </c>
      <c r="AY130" s="24">
        <f t="shared" si="13"/>
        <v>1</v>
      </c>
      <c r="AZ130" s="24" t="str">
        <f t="shared" si="14"/>
        <v/>
      </c>
      <c r="BA130" s="24" t="str">
        <f t="shared" si="14"/>
        <v/>
      </c>
      <c r="BB130" s="24" t="str">
        <f t="shared" si="14"/>
        <v/>
      </c>
      <c r="BC130" s="24" t="str">
        <f t="shared" si="14"/>
        <v/>
      </c>
      <c r="BD130" s="24" t="str">
        <f t="shared" si="14"/>
        <v/>
      </c>
      <c r="BE130" s="24" t="str">
        <f t="shared" si="14"/>
        <v/>
      </c>
      <c r="BF130" s="24" t="str">
        <f t="shared" si="14"/>
        <v/>
      </c>
      <c r="BG130" s="24" t="str">
        <f t="shared" si="14"/>
        <v/>
      </c>
      <c r="BH130" s="24" t="str">
        <f t="shared" si="10"/>
        <v/>
      </c>
      <c r="BI130" s="24" t="str">
        <f t="shared" si="14"/>
        <v/>
      </c>
      <c r="BJ130" s="24" t="str">
        <f t="shared" si="11"/>
        <v/>
      </c>
    </row>
    <row r="131" spans="1:62" ht="15" customHeight="1" x14ac:dyDescent="0.25">
      <c r="A131" t="str">
        <f>"1285639708"</f>
        <v>1285639708</v>
      </c>
      <c r="B131" t="str">
        <f>"02620006"</f>
        <v>02620006</v>
      </c>
      <c r="C131" t="s">
        <v>6812</v>
      </c>
      <c r="D131" t="s">
        <v>7093</v>
      </c>
      <c r="E131" t="s">
        <v>6952</v>
      </c>
      <c r="G131" t="s">
        <v>1352</v>
      </c>
      <c r="H131" t="s">
        <v>1301</v>
      </c>
      <c r="J131" t="s">
        <v>1354</v>
      </c>
      <c r="L131" t="s">
        <v>138</v>
      </c>
      <c r="M131" t="s">
        <v>108</v>
      </c>
      <c r="R131" t="s">
        <v>6812</v>
      </c>
      <c r="W131" t="s">
        <v>6952</v>
      </c>
      <c r="X131" t="s">
        <v>6953</v>
      </c>
      <c r="Y131" t="s">
        <v>1272</v>
      </c>
      <c r="Z131" t="s">
        <v>111</v>
      </c>
      <c r="AA131" t="str">
        <f>"13021-4045"</f>
        <v>13021-4045</v>
      </c>
      <c r="AB131" t="s">
        <v>123</v>
      </c>
      <c r="AC131" t="s">
        <v>113</v>
      </c>
      <c r="AD131" t="s">
        <v>108</v>
      </c>
      <c r="AE131" t="s">
        <v>114</v>
      </c>
      <c r="AF131" t="s">
        <v>142</v>
      </c>
      <c r="AG131" t="s">
        <v>116</v>
      </c>
      <c r="AJ131" t="s">
        <v>7251</v>
      </c>
      <c r="AK131" t="str">
        <f t="shared" si="15"/>
        <v>BOUFAL MARGARET</v>
      </c>
      <c r="AL131" t="s">
        <v>7093</v>
      </c>
      <c r="AM131" t="s">
        <v>108</v>
      </c>
      <c r="AN131" t="s">
        <v>108</v>
      </c>
      <c r="AO131" t="s">
        <v>108</v>
      </c>
      <c r="AP131" t="s">
        <v>108</v>
      </c>
      <c r="AQ131" t="s">
        <v>108</v>
      </c>
      <c r="AR131" t="s">
        <v>108</v>
      </c>
      <c r="AS131" t="s">
        <v>108</v>
      </c>
      <c r="AT131" t="s">
        <v>108</v>
      </c>
      <c r="AU131">
        <v>0</v>
      </c>
      <c r="AV131" t="s">
        <v>108</v>
      </c>
      <c r="AW131" t="s">
        <v>108</v>
      </c>
      <c r="AX131" s="24" t="str">
        <f t="shared" si="13"/>
        <v/>
      </c>
      <c r="AY131" s="24">
        <f t="shared" si="13"/>
        <v>1</v>
      </c>
      <c r="AZ131" s="24" t="str">
        <f t="shared" si="14"/>
        <v/>
      </c>
      <c r="BA131" s="24" t="str">
        <f t="shared" si="14"/>
        <v/>
      </c>
      <c r="BB131" s="24" t="str">
        <f t="shared" si="14"/>
        <v/>
      </c>
      <c r="BC131" s="24" t="str">
        <f t="shared" si="14"/>
        <v/>
      </c>
      <c r="BD131" s="24" t="str">
        <f t="shared" si="14"/>
        <v/>
      </c>
      <c r="BE131" s="24" t="str">
        <f t="shared" si="14"/>
        <v/>
      </c>
      <c r="BF131" s="24" t="str">
        <f t="shared" si="14"/>
        <v/>
      </c>
      <c r="BG131" s="24" t="str">
        <f t="shared" si="14"/>
        <v/>
      </c>
      <c r="BH131" s="24" t="str">
        <f t="shared" ref="BH131:BH194" si="16">IF(ISERROR(FIND("CBO",$L131,1)),"",1)</f>
        <v/>
      </c>
      <c r="BI131" s="24">
        <f t="shared" si="14"/>
        <v>1</v>
      </c>
      <c r="BJ131" s="24" t="str">
        <f t="shared" si="11"/>
        <v/>
      </c>
    </row>
    <row r="132" spans="1:62" ht="15" customHeight="1" x14ac:dyDescent="0.25">
      <c r="A132" t="str">
        <f>"1184724676"</f>
        <v>1184724676</v>
      </c>
      <c r="B132" t="str">
        <f>"00893903"</f>
        <v>00893903</v>
      </c>
      <c r="C132" t="s">
        <v>1763</v>
      </c>
      <c r="D132" t="s">
        <v>1764</v>
      </c>
      <c r="E132" t="s">
        <v>1765</v>
      </c>
      <c r="G132" t="s">
        <v>815</v>
      </c>
      <c r="H132" t="s">
        <v>816</v>
      </c>
      <c r="J132" t="s">
        <v>817</v>
      </c>
      <c r="L132" t="s">
        <v>120</v>
      </c>
      <c r="M132" t="s">
        <v>108</v>
      </c>
      <c r="R132" t="s">
        <v>1763</v>
      </c>
      <c r="W132" t="s">
        <v>1765</v>
      </c>
      <c r="Y132" t="s">
        <v>110</v>
      </c>
      <c r="Z132" t="s">
        <v>111</v>
      </c>
      <c r="AA132" t="str">
        <f>"13904-1505"</f>
        <v>13904-1505</v>
      </c>
      <c r="AB132" t="s">
        <v>123</v>
      </c>
      <c r="AC132" t="s">
        <v>113</v>
      </c>
      <c r="AD132" t="s">
        <v>108</v>
      </c>
      <c r="AE132" t="s">
        <v>114</v>
      </c>
      <c r="AF132" t="s">
        <v>115</v>
      </c>
      <c r="AG132" t="s">
        <v>116</v>
      </c>
      <c r="AK132" t="str">
        <f t="shared" si="15"/>
        <v/>
      </c>
      <c r="AL132" t="s">
        <v>1764</v>
      </c>
      <c r="AM132">
        <v>1</v>
      </c>
      <c r="AN132">
        <v>1</v>
      </c>
      <c r="AO132">
        <v>0</v>
      </c>
      <c r="AP132">
        <v>1</v>
      </c>
      <c r="AQ132">
        <v>1</v>
      </c>
      <c r="AR132">
        <v>1</v>
      </c>
      <c r="AS132">
        <v>0</v>
      </c>
      <c r="AT132">
        <v>1</v>
      </c>
      <c r="AU132">
        <v>0</v>
      </c>
      <c r="AV132">
        <v>0</v>
      </c>
      <c r="AW132">
        <v>1</v>
      </c>
      <c r="AX132" s="24">
        <f t="shared" si="13"/>
        <v>1</v>
      </c>
      <c r="AY132" s="24" t="str">
        <f t="shared" si="13"/>
        <v/>
      </c>
      <c r="AZ132" s="24" t="str">
        <f t="shared" si="14"/>
        <v/>
      </c>
      <c r="BA132" s="24" t="str">
        <f t="shared" si="14"/>
        <v/>
      </c>
      <c r="BB132" s="24" t="str">
        <f t="shared" si="14"/>
        <v/>
      </c>
      <c r="BC132" s="24" t="str">
        <f t="shared" si="14"/>
        <v/>
      </c>
      <c r="BD132" s="24" t="str">
        <f t="shared" si="14"/>
        <v/>
      </c>
      <c r="BE132" s="24" t="str">
        <f t="shared" si="14"/>
        <v/>
      </c>
      <c r="BF132" s="24" t="str">
        <f t="shared" si="14"/>
        <v/>
      </c>
      <c r="BG132" s="24" t="str">
        <f t="shared" si="14"/>
        <v/>
      </c>
      <c r="BH132" s="24" t="str">
        <f t="shared" si="16"/>
        <v/>
      </c>
      <c r="BI132" s="24">
        <f t="shared" si="14"/>
        <v>1</v>
      </c>
      <c r="BJ132" s="24" t="str">
        <f t="shared" si="11"/>
        <v/>
      </c>
    </row>
    <row r="133" spans="1:62" ht="15" customHeight="1" x14ac:dyDescent="0.25">
      <c r="A133" t="str">
        <f>"1699760967"</f>
        <v>1699760967</v>
      </c>
      <c r="B133" t="str">
        <f>"02056173"</f>
        <v>02056173</v>
      </c>
      <c r="C133" t="s">
        <v>1229</v>
      </c>
      <c r="D133" t="s">
        <v>1230</v>
      </c>
      <c r="E133" t="s">
        <v>1231</v>
      </c>
      <c r="G133" t="s">
        <v>1229</v>
      </c>
      <c r="H133" t="s">
        <v>467</v>
      </c>
      <c r="J133" t="s">
        <v>1232</v>
      </c>
      <c r="L133" t="s">
        <v>138</v>
      </c>
      <c r="M133" t="s">
        <v>108</v>
      </c>
      <c r="R133" t="s">
        <v>1233</v>
      </c>
      <c r="W133" t="s">
        <v>1233</v>
      </c>
      <c r="X133" t="s">
        <v>406</v>
      </c>
      <c r="Y133" t="s">
        <v>129</v>
      </c>
      <c r="Z133" t="s">
        <v>111</v>
      </c>
      <c r="AA133" t="str">
        <f>"13790-2107"</f>
        <v>13790-2107</v>
      </c>
      <c r="AB133" t="s">
        <v>123</v>
      </c>
      <c r="AC133" t="s">
        <v>113</v>
      </c>
      <c r="AD133" t="s">
        <v>108</v>
      </c>
      <c r="AE133" t="s">
        <v>114</v>
      </c>
      <c r="AF133" t="s">
        <v>115</v>
      </c>
      <c r="AG133" t="s">
        <v>116</v>
      </c>
      <c r="AK133" t="str">
        <f t="shared" si="15"/>
        <v/>
      </c>
      <c r="AL133" t="s">
        <v>1230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0</v>
      </c>
      <c r="AW133">
        <v>0</v>
      </c>
      <c r="AX133" s="24" t="str">
        <f t="shared" si="13"/>
        <v/>
      </c>
      <c r="AY133" s="24">
        <f t="shared" si="13"/>
        <v>1</v>
      </c>
      <c r="AZ133" s="24" t="str">
        <f t="shared" si="14"/>
        <v/>
      </c>
      <c r="BA133" s="24" t="str">
        <f t="shared" si="14"/>
        <v/>
      </c>
      <c r="BB133" s="24" t="str">
        <f t="shared" si="14"/>
        <v/>
      </c>
      <c r="BC133" s="24" t="str">
        <f t="shared" si="14"/>
        <v/>
      </c>
      <c r="BD133" s="24" t="str">
        <f t="shared" si="14"/>
        <v/>
      </c>
      <c r="BE133" s="24" t="str">
        <f t="shared" si="14"/>
        <v/>
      </c>
      <c r="BF133" s="24" t="str">
        <f t="shared" si="14"/>
        <v/>
      </c>
      <c r="BG133" s="24" t="str">
        <f t="shared" si="14"/>
        <v/>
      </c>
      <c r="BH133" s="24" t="str">
        <f t="shared" si="16"/>
        <v/>
      </c>
      <c r="BI133" s="24">
        <f t="shared" si="14"/>
        <v>1</v>
      </c>
      <c r="BJ133" s="24" t="str">
        <f t="shared" si="11"/>
        <v/>
      </c>
    </row>
    <row r="134" spans="1:62" ht="15" customHeight="1" x14ac:dyDescent="0.25">
      <c r="A134" t="str">
        <f>"1659698991"</f>
        <v>1659698991</v>
      </c>
      <c r="B134" t="str">
        <f>"03686931"</f>
        <v>03686931</v>
      </c>
      <c r="C134" t="s">
        <v>1476</v>
      </c>
      <c r="D134" t="s">
        <v>1477</v>
      </c>
      <c r="E134" t="s">
        <v>1478</v>
      </c>
      <c r="G134" t="s">
        <v>1476</v>
      </c>
      <c r="H134" t="s">
        <v>1479</v>
      </c>
      <c r="J134" t="s">
        <v>1480</v>
      </c>
      <c r="L134" t="s">
        <v>138</v>
      </c>
      <c r="M134" t="s">
        <v>108</v>
      </c>
      <c r="R134" t="s">
        <v>1478</v>
      </c>
      <c r="W134" t="s">
        <v>1478</v>
      </c>
      <c r="X134" t="s">
        <v>412</v>
      </c>
      <c r="Y134" t="s">
        <v>110</v>
      </c>
      <c r="Z134" t="s">
        <v>111</v>
      </c>
      <c r="AA134" t="str">
        <f>"13903-1651"</f>
        <v>13903-1651</v>
      </c>
      <c r="AB134" t="s">
        <v>609</v>
      </c>
      <c r="AC134" t="s">
        <v>113</v>
      </c>
      <c r="AD134" t="s">
        <v>108</v>
      </c>
      <c r="AE134" t="s">
        <v>114</v>
      </c>
      <c r="AF134" t="s">
        <v>115</v>
      </c>
      <c r="AG134" t="s">
        <v>116</v>
      </c>
      <c r="AK134" t="str">
        <f t="shared" si="15"/>
        <v/>
      </c>
      <c r="AL134" t="s">
        <v>1477</v>
      </c>
      <c r="AM134">
        <v>1</v>
      </c>
      <c r="AN134">
        <v>1</v>
      </c>
      <c r="AO134">
        <v>0</v>
      </c>
      <c r="AP134">
        <v>1</v>
      </c>
      <c r="AQ134">
        <v>1</v>
      </c>
      <c r="AR134">
        <v>0</v>
      </c>
      <c r="AS134">
        <v>0</v>
      </c>
      <c r="AT134">
        <v>0</v>
      </c>
      <c r="AU134">
        <v>0</v>
      </c>
      <c r="AV134">
        <v>0</v>
      </c>
      <c r="AW134">
        <v>0</v>
      </c>
      <c r="AX134" s="24" t="str">
        <f t="shared" si="13"/>
        <v/>
      </c>
      <c r="AY134" s="24">
        <f t="shared" si="13"/>
        <v>1</v>
      </c>
      <c r="AZ134" s="24" t="str">
        <f t="shared" si="14"/>
        <v/>
      </c>
      <c r="BA134" s="24" t="str">
        <f t="shared" si="14"/>
        <v/>
      </c>
      <c r="BB134" s="24" t="str">
        <f t="shared" si="14"/>
        <v/>
      </c>
      <c r="BC134" s="24" t="str">
        <f t="shared" si="14"/>
        <v/>
      </c>
      <c r="BD134" s="24" t="str">
        <f t="shared" si="14"/>
        <v/>
      </c>
      <c r="BE134" s="24" t="str">
        <f t="shared" si="14"/>
        <v/>
      </c>
      <c r="BF134" s="24" t="str">
        <f t="shared" si="14"/>
        <v/>
      </c>
      <c r="BG134" s="24" t="str">
        <f t="shared" si="14"/>
        <v/>
      </c>
      <c r="BH134" s="24" t="str">
        <f t="shared" si="16"/>
        <v/>
      </c>
      <c r="BI134" s="24">
        <f t="shared" si="14"/>
        <v>1</v>
      </c>
      <c r="BJ134" s="24" t="str">
        <f t="shared" si="11"/>
        <v/>
      </c>
    </row>
    <row r="135" spans="1:62" ht="15" customHeight="1" x14ac:dyDescent="0.25">
      <c r="A135" t="str">
        <f>"1710950423"</f>
        <v>1710950423</v>
      </c>
      <c r="B135" t="str">
        <f>"01297263"</f>
        <v>01297263</v>
      </c>
      <c r="C135" t="s">
        <v>2279</v>
      </c>
      <c r="D135" t="s">
        <v>2280</v>
      </c>
      <c r="E135" t="s">
        <v>2281</v>
      </c>
      <c r="G135" t="s">
        <v>177</v>
      </c>
      <c r="H135" t="s">
        <v>178</v>
      </c>
      <c r="J135" t="s">
        <v>179</v>
      </c>
      <c r="L135" t="s">
        <v>138</v>
      </c>
      <c r="M135" t="s">
        <v>108</v>
      </c>
      <c r="R135" t="s">
        <v>2279</v>
      </c>
      <c r="W135" t="s">
        <v>2282</v>
      </c>
      <c r="X135" t="s">
        <v>180</v>
      </c>
      <c r="Y135" t="s">
        <v>181</v>
      </c>
      <c r="Z135" t="s">
        <v>182</v>
      </c>
      <c r="AA135" t="str">
        <f>"18840"</f>
        <v>18840</v>
      </c>
      <c r="AB135" t="s">
        <v>123</v>
      </c>
      <c r="AC135" t="s">
        <v>113</v>
      </c>
      <c r="AD135" t="s">
        <v>108</v>
      </c>
      <c r="AE135" t="s">
        <v>114</v>
      </c>
      <c r="AF135" t="s">
        <v>115</v>
      </c>
      <c r="AG135" t="s">
        <v>116</v>
      </c>
      <c r="AK135" t="str">
        <f t="shared" si="15"/>
        <v/>
      </c>
      <c r="AL135" t="s">
        <v>2280</v>
      </c>
      <c r="AM135">
        <v>1</v>
      </c>
      <c r="AN135">
        <v>1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1</v>
      </c>
      <c r="AW135">
        <v>0</v>
      </c>
      <c r="AX135" s="24" t="str">
        <f t="shared" si="13"/>
        <v/>
      </c>
      <c r="AY135" s="24">
        <f t="shared" si="13"/>
        <v>1</v>
      </c>
      <c r="AZ135" s="24" t="str">
        <f t="shared" si="14"/>
        <v/>
      </c>
      <c r="BA135" s="24" t="str">
        <f t="shared" si="14"/>
        <v/>
      </c>
      <c r="BB135" s="24" t="str">
        <f t="shared" si="14"/>
        <v/>
      </c>
      <c r="BC135" s="24" t="str">
        <f t="shared" si="14"/>
        <v/>
      </c>
      <c r="BD135" s="24" t="str">
        <f t="shared" si="14"/>
        <v/>
      </c>
      <c r="BE135" s="24" t="str">
        <f t="shared" si="14"/>
        <v/>
      </c>
      <c r="BF135" s="24" t="str">
        <f t="shared" si="14"/>
        <v/>
      </c>
      <c r="BG135" s="24" t="str">
        <f t="shared" si="14"/>
        <v/>
      </c>
      <c r="BH135" s="24" t="str">
        <f t="shared" si="16"/>
        <v/>
      </c>
      <c r="BI135" s="24">
        <f t="shared" si="14"/>
        <v>1</v>
      </c>
      <c r="BJ135" s="24" t="str">
        <f t="shared" si="11"/>
        <v/>
      </c>
    </row>
    <row r="136" spans="1:62" ht="15" customHeight="1" x14ac:dyDescent="0.25">
      <c r="A136" t="str">
        <f>"1588911341"</f>
        <v>1588911341</v>
      </c>
      <c r="B136" t="str">
        <f>"03488548"</f>
        <v>03488548</v>
      </c>
      <c r="C136" t="s">
        <v>1534</v>
      </c>
      <c r="D136" t="s">
        <v>1535</v>
      </c>
      <c r="E136" t="s">
        <v>1536</v>
      </c>
      <c r="G136" t="s">
        <v>1534</v>
      </c>
      <c r="H136" t="s">
        <v>440</v>
      </c>
      <c r="J136" t="s">
        <v>1537</v>
      </c>
      <c r="L136" t="s">
        <v>6868</v>
      </c>
      <c r="M136" t="s">
        <v>108</v>
      </c>
      <c r="R136" t="s">
        <v>1538</v>
      </c>
      <c r="W136" t="s">
        <v>1536</v>
      </c>
      <c r="X136" t="s">
        <v>406</v>
      </c>
      <c r="Y136" t="s">
        <v>129</v>
      </c>
      <c r="Z136" t="s">
        <v>111</v>
      </c>
      <c r="AA136" t="str">
        <f>"13790-2107"</f>
        <v>13790-2107</v>
      </c>
      <c r="AB136" t="s">
        <v>123</v>
      </c>
      <c r="AC136" t="s">
        <v>113</v>
      </c>
      <c r="AD136" t="s">
        <v>108</v>
      </c>
      <c r="AE136" t="s">
        <v>114</v>
      </c>
      <c r="AF136" t="s">
        <v>115</v>
      </c>
      <c r="AG136" t="s">
        <v>116</v>
      </c>
      <c r="AK136" t="str">
        <f t="shared" si="15"/>
        <v/>
      </c>
      <c r="AL136" t="s">
        <v>1535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0</v>
      </c>
      <c r="AT136">
        <v>0</v>
      </c>
      <c r="AU136">
        <v>0</v>
      </c>
      <c r="AV136">
        <v>0</v>
      </c>
      <c r="AW136">
        <v>0</v>
      </c>
      <c r="AX136" s="24">
        <f t="shared" si="13"/>
        <v>1</v>
      </c>
      <c r="AY136" s="24">
        <f t="shared" si="13"/>
        <v>1</v>
      </c>
      <c r="AZ136" s="24" t="str">
        <f t="shared" si="14"/>
        <v/>
      </c>
      <c r="BA136" s="24" t="str">
        <f t="shared" si="14"/>
        <v/>
      </c>
      <c r="BB136" s="24" t="str">
        <f t="shared" si="14"/>
        <v/>
      </c>
      <c r="BC136" s="24" t="str">
        <f t="shared" si="14"/>
        <v/>
      </c>
      <c r="BD136" s="24" t="str">
        <f t="shared" si="14"/>
        <v/>
      </c>
      <c r="BE136" s="24" t="str">
        <f t="shared" si="14"/>
        <v/>
      </c>
      <c r="BF136" s="24" t="str">
        <f t="shared" si="14"/>
        <v/>
      </c>
      <c r="BG136" s="24" t="str">
        <f t="shared" si="14"/>
        <v/>
      </c>
      <c r="BH136" s="24" t="str">
        <f t="shared" si="16"/>
        <v/>
      </c>
      <c r="BI136" s="24" t="str">
        <f t="shared" si="14"/>
        <v/>
      </c>
      <c r="BJ136" s="24" t="str">
        <f t="shared" si="11"/>
        <v/>
      </c>
    </row>
    <row r="137" spans="1:62" ht="15" customHeight="1" x14ac:dyDescent="0.25">
      <c r="A137" t="str">
        <f>"1174523443"</f>
        <v>1174523443</v>
      </c>
      <c r="B137" t="str">
        <f>"02082319"</f>
        <v>02082319</v>
      </c>
      <c r="C137" t="s">
        <v>4052</v>
      </c>
      <c r="D137" t="s">
        <v>4053</v>
      </c>
      <c r="E137" t="s">
        <v>4054</v>
      </c>
      <c r="L137" t="s">
        <v>138</v>
      </c>
      <c r="M137" t="s">
        <v>108</v>
      </c>
      <c r="R137" t="s">
        <v>4052</v>
      </c>
      <c r="W137" t="s">
        <v>4054</v>
      </c>
      <c r="X137" t="s">
        <v>134</v>
      </c>
      <c r="Y137" t="s">
        <v>129</v>
      </c>
      <c r="Z137" t="s">
        <v>111</v>
      </c>
      <c r="AA137" t="str">
        <f>"13790-2558"</f>
        <v>13790-2558</v>
      </c>
      <c r="AB137" t="s">
        <v>123</v>
      </c>
      <c r="AC137" t="s">
        <v>113</v>
      </c>
      <c r="AD137" t="s">
        <v>108</v>
      </c>
      <c r="AE137" t="s">
        <v>114</v>
      </c>
      <c r="AF137" t="s">
        <v>115</v>
      </c>
      <c r="AG137" t="s">
        <v>116</v>
      </c>
      <c r="AK137" t="str">
        <f t="shared" si="15"/>
        <v/>
      </c>
      <c r="AL137" t="s">
        <v>4053</v>
      </c>
      <c r="AM137">
        <v>1</v>
      </c>
      <c r="AN137">
        <v>1</v>
      </c>
      <c r="AO137">
        <v>0</v>
      </c>
      <c r="AP137">
        <v>1</v>
      </c>
      <c r="AQ137">
        <v>1</v>
      </c>
      <c r="AR137">
        <v>0</v>
      </c>
      <c r="AS137">
        <v>0</v>
      </c>
      <c r="AT137">
        <v>0</v>
      </c>
      <c r="AU137">
        <v>0</v>
      </c>
      <c r="AV137">
        <v>0</v>
      </c>
      <c r="AW137">
        <v>0</v>
      </c>
      <c r="AX137" s="24" t="str">
        <f t="shared" si="13"/>
        <v/>
      </c>
      <c r="AY137" s="24">
        <f t="shared" si="13"/>
        <v>1</v>
      </c>
      <c r="AZ137" s="24" t="str">
        <f t="shared" si="14"/>
        <v/>
      </c>
      <c r="BA137" s="24" t="str">
        <f t="shared" si="14"/>
        <v/>
      </c>
      <c r="BB137" s="24" t="str">
        <f t="shared" si="14"/>
        <v/>
      </c>
      <c r="BC137" s="24" t="str">
        <f t="shared" si="14"/>
        <v/>
      </c>
      <c r="BD137" s="24" t="str">
        <f t="shared" si="14"/>
        <v/>
      </c>
      <c r="BE137" s="24" t="str">
        <f t="shared" si="14"/>
        <v/>
      </c>
      <c r="BF137" s="24" t="str">
        <f t="shared" si="14"/>
        <v/>
      </c>
      <c r="BG137" s="24" t="str">
        <f t="shared" si="14"/>
        <v/>
      </c>
      <c r="BH137" s="24" t="str">
        <f t="shared" si="16"/>
        <v/>
      </c>
      <c r="BI137" s="24">
        <f t="shared" si="14"/>
        <v>1</v>
      </c>
      <c r="BJ137" s="24" t="str">
        <f t="shared" si="11"/>
        <v/>
      </c>
    </row>
    <row r="138" spans="1:62" ht="15" customHeight="1" x14ac:dyDescent="0.25">
      <c r="A138" t="str">
        <f>"1710931654"</f>
        <v>1710931654</v>
      </c>
      <c r="B138" t="str">
        <f>"02744741"</f>
        <v>02744741</v>
      </c>
      <c r="C138" t="s">
        <v>3719</v>
      </c>
      <c r="D138" t="s">
        <v>3720</v>
      </c>
      <c r="E138" t="s">
        <v>3721</v>
      </c>
      <c r="G138" t="s">
        <v>1502</v>
      </c>
      <c r="H138" t="s">
        <v>1503</v>
      </c>
      <c r="J138" t="s">
        <v>3722</v>
      </c>
      <c r="L138" t="s">
        <v>138</v>
      </c>
      <c r="M138" t="s">
        <v>108</v>
      </c>
      <c r="R138" t="s">
        <v>3723</v>
      </c>
      <c r="W138" t="s">
        <v>3721</v>
      </c>
      <c r="X138" t="s">
        <v>3724</v>
      </c>
      <c r="Y138" t="s">
        <v>293</v>
      </c>
      <c r="Z138" t="s">
        <v>111</v>
      </c>
      <c r="AA138" t="str">
        <f>"14850-1345"</f>
        <v>14850-1345</v>
      </c>
      <c r="AB138" t="s">
        <v>123</v>
      </c>
      <c r="AC138" t="s">
        <v>113</v>
      </c>
      <c r="AD138" t="s">
        <v>108</v>
      </c>
      <c r="AE138" t="s">
        <v>114</v>
      </c>
      <c r="AF138" t="s">
        <v>142</v>
      </c>
      <c r="AG138" t="s">
        <v>116</v>
      </c>
      <c r="AK138" t="str">
        <f t="shared" si="15"/>
        <v/>
      </c>
      <c r="AL138" t="s">
        <v>3720</v>
      </c>
      <c r="AM138">
        <v>1</v>
      </c>
      <c r="AN138">
        <v>1</v>
      </c>
      <c r="AO138">
        <v>0</v>
      </c>
      <c r="AP138">
        <v>0</v>
      </c>
      <c r="AQ138">
        <v>0</v>
      </c>
      <c r="AR138">
        <v>0</v>
      </c>
      <c r="AS138">
        <v>0</v>
      </c>
      <c r="AT138">
        <v>0</v>
      </c>
      <c r="AU138">
        <v>0</v>
      </c>
      <c r="AV138">
        <v>0</v>
      </c>
      <c r="AW138">
        <v>0</v>
      </c>
      <c r="AX138" s="24" t="str">
        <f t="shared" si="13"/>
        <v/>
      </c>
      <c r="AY138" s="24">
        <f t="shared" si="13"/>
        <v>1</v>
      </c>
      <c r="AZ138" s="24" t="str">
        <f t="shared" si="14"/>
        <v/>
      </c>
      <c r="BA138" s="24" t="str">
        <f t="shared" si="14"/>
        <v/>
      </c>
      <c r="BB138" s="24" t="str">
        <f t="shared" si="14"/>
        <v/>
      </c>
      <c r="BC138" s="24" t="str">
        <f t="shared" si="14"/>
        <v/>
      </c>
      <c r="BD138" s="24" t="str">
        <f t="shared" si="14"/>
        <v/>
      </c>
      <c r="BE138" s="24" t="str">
        <f t="shared" si="14"/>
        <v/>
      </c>
      <c r="BF138" s="24" t="str">
        <f t="shared" si="14"/>
        <v/>
      </c>
      <c r="BG138" s="24" t="str">
        <f t="shared" si="14"/>
        <v/>
      </c>
      <c r="BH138" s="24" t="str">
        <f t="shared" si="16"/>
        <v/>
      </c>
      <c r="BI138" s="24">
        <f t="shared" si="14"/>
        <v>1</v>
      </c>
      <c r="BJ138" s="24" t="str">
        <f t="shared" si="11"/>
        <v/>
      </c>
    </row>
    <row r="139" spans="1:62" ht="15" customHeight="1" x14ac:dyDescent="0.25">
      <c r="A139" t="str">
        <f>"1407937469"</f>
        <v>1407937469</v>
      </c>
      <c r="B139" t="str">
        <f>"00582729"</f>
        <v>00582729</v>
      </c>
      <c r="C139" t="s">
        <v>5155</v>
      </c>
      <c r="D139" t="s">
        <v>5156</v>
      </c>
      <c r="E139" t="s">
        <v>5157</v>
      </c>
      <c r="L139" t="s">
        <v>442</v>
      </c>
      <c r="M139" t="s">
        <v>108</v>
      </c>
      <c r="R139" t="s">
        <v>5155</v>
      </c>
      <c r="W139" t="s">
        <v>5157</v>
      </c>
      <c r="X139" t="s">
        <v>5158</v>
      </c>
      <c r="Y139" t="s">
        <v>122</v>
      </c>
      <c r="Z139" t="s">
        <v>111</v>
      </c>
      <c r="AA139" t="str">
        <f>"13815"</f>
        <v>13815</v>
      </c>
      <c r="AB139" t="s">
        <v>123</v>
      </c>
      <c r="AC139" t="s">
        <v>113</v>
      </c>
      <c r="AD139" t="s">
        <v>108</v>
      </c>
      <c r="AE139" t="s">
        <v>114</v>
      </c>
      <c r="AF139" t="s">
        <v>124</v>
      </c>
      <c r="AG139" t="s">
        <v>116</v>
      </c>
      <c r="AK139" t="str">
        <f t="shared" si="15"/>
        <v/>
      </c>
      <c r="AL139" t="s">
        <v>5156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  <c r="AU139">
        <v>0</v>
      </c>
      <c r="AV139">
        <v>0</v>
      </c>
      <c r="AW139">
        <v>0</v>
      </c>
      <c r="AX139" s="24">
        <f t="shared" si="13"/>
        <v>1</v>
      </c>
      <c r="AY139" s="24" t="str">
        <f t="shared" si="13"/>
        <v/>
      </c>
      <c r="AZ139" s="24" t="str">
        <f t="shared" si="14"/>
        <v/>
      </c>
      <c r="BA139" s="24" t="str">
        <f t="shared" si="14"/>
        <v/>
      </c>
      <c r="BB139" s="24" t="str">
        <f t="shared" si="14"/>
        <v/>
      </c>
      <c r="BC139" s="24" t="str">
        <f t="shared" si="14"/>
        <v/>
      </c>
      <c r="BD139" s="24" t="str">
        <f t="shared" si="14"/>
        <v/>
      </c>
      <c r="BE139" s="24" t="str">
        <f t="shared" si="14"/>
        <v/>
      </c>
      <c r="BF139" s="24" t="str">
        <f t="shared" si="14"/>
        <v/>
      </c>
      <c r="BG139" s="24" t="str">
        <f t="shared" si="14"/>
        <v/>
      </c>
      <c r="BH139" s="24" t="str">
        <f t="shared" si="16"/>
        <v/>
      </c>
      <c r="BI139" s="24" t="str">
        <f t="shared" si="14"/>
        <v/>
      </c>
      <c r="BJ139" s="24" t="str">
        <f t="shared" si="11"/>
        <v/>
      </c>
    </row>
    <row r="140" spans="1:62" ht="15" customHeight="1" x14ac:dyDescent="0.25">
      <c r="A140" t="str">
        <f>"1063658797"</f>
        <v>1063658797</v>
      </c>
      <c r="B140" t="str">
        <f>"03539897"</f>
        <v>03539897</v>
      </c>
      <c r="C140" t="s">
        <v>4478</v>
      </c>
      <c r="D140" t="s">
        <v>4479</v>
      </c>
      <c r="E140" t="s">
        <v>4480</v>
      </c>
      <c r="G140" t="s">
        <v>4447</v>
      </c>
      <c r="H140" t="s">
        <v>4448</v>
      </c>
      <c r="J140" t="s">
        <v>4449</v>
      </c>
      <c r="L140" t="s">
        <v>138</v>
      </c>
      <c r="M140" t="s">
        <v>139</v>
      </c>
      <c r="R140" t="s">
        <v>4478</v>
      </c>
      <c r="W140" t="s">
        <v>4480</v>
      </c>
      <c r="X140" t="s">
        <v>121</v>
      </c>
      <c r="Y140" t="s">
        <v>122</v>
      </c>
      <c r="Z140" t="s">
        <v>111</v>
      </c>
      <c r="AA140" t="str">
        <f>"13815-1019"</f>
        <v>13815-1019</v>
      </c>
      <c r="AB140" t="s">
        <v>123</v>
      </c>
      <c r="AC140" t="s">
        <v>113</v>
      </c>
      <c r="AD140" t="s">
        <v>108</v>
      </c>
      <c r="AE140" t="s">
        <v>114</v>
      </c>
      <c r="AF140" t="s">
        <v>124</v>
      </c>
      <c r="AG140" t="s">
        <v>116</v>
      </c>
      <c r="AK140" t="str">
        <f t="shared" si="15"/>
        <v/>
      </c>
      <c r="AL140" t="s">
        <v>4479</v>
      </c>
      <c r="AM140">
        <v>1</v>
      </c>
      <c r="AN140">
        <v>1</v>
      </c>
      <c r="AO140">
        <v>0</v>
      </c>
      <c r="AP140">
        <v>1</v>
      </c>
      <c r="AQ140">
        <v>1</v>
      </c>
      <c r="AR140">
        <v>0</v>
      </c>
      <c r="AS140">
        <v>0</v>
      </c>
      <c r="AT140">
        <v>0</v>
      </c>
      <c r="AU140">
        <v>0</v>
      </c>
      <c r="AV140">
        <v>0</v>
      </c>
      <c r="AW140">
        <v>0</v>
      </c>
      <c r="AX140" s="24" t="str">
        <f t="shared" si="13"/>
        <v/>
      </c>
      <c r="AY140" s="24">
        <f t="shared" si="13"/>
        <v>1</v>
      </c>
      <c r="AZ140" s="24" t="str">
        <f t="shared" si="14"/>
        <v/>
      </c>
      <c r="BA140" s="24" t="str">
        <f t="shared" si="14"/>
        <v/>
      </c>
      <c r="BB140" s="24" t="str">
        <f t="shared" si="14"/>
        <v/>
      </c>
      <c r="BC140" s="24" t="str">
        <f t="shared" si="14"/>
        <v/>
      </c>
      <c r="BD140" s="24" t="str">
        <f t="shared" si="14"/>
        <v/>
      </c>
      <c r="BE140" s="24" t="str">
        <f t="shared" si="14"/>
        <v/>
      </c>
      <c r="BF140" s="24" t="str">
        <f t="shared" si="14"/>
        <v/>
      </c>
      <c r="BG140" s="24" t="str">
        <f t="shared" si="14"/>
        <v/>
      </c>
      <c r="BH140" s="24" t="str">
        <f t="shared" si="16"/>
        <v/>
      </c>
      <c r="BI140" s="24">
        <f t="shared" si="14"/>
        <v>1</v>
      </c>
      <c r="BJ140" s="24" t="str">
        <f t="shared" si="11"/>
        <v/>
      </c>
    </row>
    <row r="141" spans="1:62" ht="15" customHeight="1" x14ac:dyDescent="0.25">
      <c r="A141" t="str">
        <f>"1255561825"</f>
        <v>1255561825</v>
      </c>
      <c r="B141" t="str">
        <f>"03134645"</f>
        <v>03134645</v>
      </c>
      <c r="C141" t="s">
        <v>5462</v>
      </c>
      <c r="D141" t="s">
        <v>5463</v>
      </c>
      <c r="E141" t="s">
        <v>5464</v>
      </c>
      <c r="G141" t="s">
        <v>5462</v>
      </c>
      <c r="H141" t="s">
        <v>403</v>
      </c>
      <c r="J141" t="s">
        <v>5465</v>
      </c>
      <c r="L141" t="s">
        <v>138</v>
      </c>
      <c r="M141" t="s">
        <v>108</v>
      </c>
      <c r="R141" t="s">
        <v>5466</v>
      </c>
      <c r="W141" t="s">
        <v>5464</v>
      </c>
      <c r="X141" t="s">
        <v>406</v>
      </c>
      <c r="Y141" t="s">
        <v>129</v>
      </c>
      <c r="Z141" t="s">
        <v>111</v>
      </c>
      <c r="AA141" t="str">
        <f>"13790-2107"</f>
        <v>13790-2107</v>
      </c>
      <c r="AB141" t="s">
        <v>123</v>
      </c>
      <c r="AC141" t="s">
        <v>113</v>
      </c>
      <c r="AD141" t="s">
        <v>108</v>
      </c>
      <c r="AE141" t="s">
        <v>114</v>
      </c>
      <c r="AF141" t="s">
        <v>115</v>
      </c>
      <c r="AG141" t="s">
        <v>116</v>
      </c>
      <c r="AK141" t="str">
        <f t="shared" si="15"/>
        <v/>
      </c>
      <c r="AL141" t="s">
        <v>5463</v>
      </c>
      <c r="AM141">
        <v>1</v>
      </c>
      <c r="AN141">
        <v>1</v>
      </c>
      <c r="AO141">
        <v>0</v>
      </c>
      <c r="AP141">
        <v>1</v>
      </c>
      <c r="AQ141">
        <v>1</v>
      </c>
      <c r="AR141">
        <v>0</v>
      </c>
      <c r="AS141">
        <v>0</v>
      </c>
      <c r="AT141">
        <v>1</v>
      </c>
      <c r="AU141">
        <v>0</v>
      </c>
      <c r="AV141">
        <v>0</v>
      </c>
      <c r="AW141">
        <v>1</v>
      </c>
      <c r="AX141" s="24" t="str">
        <f t="shared" si="13"/>
        <v/>
      </c>
      <c r="AY141" s="24">
        <f t="shared" si="13"/>
        <v>1</v>
      </c>
      <c r="AZ141" s="24" t="str">
        <f t="shared" si="14"/>
        <v/>
      </c>
      <c r="BA141" s="24" t="str">
        <f t="shared" ref="AZ141:BI166" si="17">IF(ISERROR(FIND(BA$1,$L141,1)),"",1)</f>
        <v/>
      </c>
      <c r="BB141" s="24" t="str">
        <f t="shared" si="17"/>
        <v/>
      </c>
      <c r="BC141" s="24" t="str">
        <f t="shared" si="17"/>
        <v/>
      </c>
      <c r="BD141" s="24" t="str">
        <f t="shared" si="17"/>
        <v/>
      </c>
      <c r="BE141" s="24" t="str">
        <f t="shared" si="17"/>
        <v/>
      </c>
      <c r="BF141" s="24" t="str">
        <f t="shared" si="17"/>
        <v/>
      </c>
      <c r="BG141" s="24" t="str">
        <f t="shared" si="17"/>
        <v/>
      </c>
      <c r="BH141" s="24" t="str">
        <f t="shared" si="16"/>
        <v/>
      </c>
      <c r="BI141" s="24">
        <f t="shared" si="17"/>
        <v>1</v>
      </c>
      <c r="BJ141" s="24" t="str">
        <f t="shared" si="11"/>
        <v/>
      </c>
    </row>
    <row r="142" spans="1:62" ht="15" customHeight="1" x14ac:dyDescent="0.25">
      <c r="A142" t="str">
        <f>"1588673966"</f>
        <v>1588673966</v>
      </c>
      <c r="B142" t="str">
        <f>"03259496"</f>
        <v>03259496</v>
      </c>
      <c r="C142" t="s">
        <v>3242</v>
      </c>
      <c r="D142" t="s">
        <v>3243</v>
      </c>
      <c r="E142" t="s">
        <v>3244</v>
      </c>
      <c r="G142" t="s">
        <v>3207</v>
      </c>
      <c r="H142" t="s">
        <v>3208</v>
      </c>
      <c r="J142" t="s">
        <v>3245</v>
      </c>
      <c r="L142" t="s">
        <v>138</v>
      </c>
      <c r="M142" t="s">
        <v>108</v>
      </c>
      <c r="R142" t="s">
        <v>3246</v>
      </c>
      <c r="W142" t="s">
        <v>3244</v>
      </c>
      <c r="X142" t="s">
        <v>1166</v>
      </c>
      <c r="Y142" t="s">
        <v>293</v>
      </c>
      <c r="Z142" t="s">
        <v>111</v>
      </c>
      <c r="AA142" t="str">
        <f>"14850-1397"</f>
        <v>14850-1397</v>
      </c>
      <c r="AB142" t="s">
        <v>123</v>
      </c>
      <c r="AC142" t="s">
        <v>113</v>
      </c>
      <c r="AD142" t="s">
        <v>108</v>
      </c>
      <c r="AE142" t="s">
        <v>114</v>
      </c>
      <c r="AF142" t="s">
        <v>142</v>
      </c>
      <c r="AG142" t="s">
        <v>116</v>
      </c>
      <c r="AK142" t="str">
        <f t="shared" si="15"/>
        <v/>
      </c>
      <c r="AL142" t="s">
        <v>3243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v>0</v>
      </c>
      <c r="AT142">
        <v>0</v>
      </c>
      <c r="AU142">
        <v>0</v>
      </c>
      <c r="AV142">
        <v>0</v>
      </c>
      <c r="AW142">
        <v>0</v>
      </c>
      <c r="AX142" s="24" t="str">
        <f t="shared" si="13"/>
        <v/>
      </c>
      <c r="AY142" s="24">
        <f t="shared" si="13"/>
        <v>1</v>
      </c>
      <c r="AZ142" s="24" t="str">
        <f t="shared" si="17"/>
        <v/>
      </c>
      <c r="BA142" s="24" t="str">
        <f t="shared" si="17"/>
        <v/>
      </c>
      <c r="BB142" s="24" t="str">
        <f t="shared" si="17"/>
        <v/>
      </c>
      <c r="BC142" s="24" t="str">
        <f t="shared" si="17"/>
        <v/>
      </c>
      <c r="BD142" s="24" t="str">
        <f t="shared" si="17"/>
        <v/>
      </c>
      <c r="BE142" s="24" t="str">
        <f t="shared" si="17"/>
        <v/>
      </c>
      <c r="BF142" s="24" t="str">
        <f t="shared" si="17"/>
        <v/>
      </c>
      <c r="BG142" s="24" t="str">
        <f t="shared" si="17"/>
        <v/>
      </c>
      <c r="BH142" s="24" t="str">
        <f t="shared" si="16"/>
        <v/>
      </c>
      <c r="BI142" s="24">
        <f t="shared" si="17"/>
        <v>1</v>
      </c>
      <c r="BJ142" s="24" t="str">
        <f t="shared" si="11"/>
        <v/>
      </c>
    </row>
    <row r="143" spans="1:62" ht="15" customHeight="1" x14ac:dyDescent="0.25">
      <c r="A143" t="str">
        <f>"1992943153"</f>
        <v>1992943153</v>
      </c>
      <c r="B143" t="str">
        <f>"03124765"</f>
        <v>03124765</v>
      </c>
      <c r="C143" t="s">
        <v>1153</v>
      </c>
      <c r="D143" t="s">
        <v>1154</v>
      </c>
      <c r="E143" t="s">
        <v>1155</v>
      </c>
      <c r="G143" t="s">
        <v>1147</v>
      </c>
      <c r="H143" t="s">
        <v>1148</v>
      </c>
      <c r="J143" t="s">
        <v>1156</v>
      </c>
      <c r="L143" t="s">
        <v>138</v>
      </c>
      <c r="M143" t="s">
        <v>108</v>
      </c>
      <c r="R143" t="s">
        <v>1157</v>
      </c>
      <c r="W143" t="s">
        <v>1158</v>
      </c>
      <c r="X143" t="s">
        <v>1159</v>
      </c>
      <c r="Y143" t="s">
        <v>1160</v>
      </c>
      <c r="Z143" t="s">
        <v>111</v>
      </c>
      <c r="AA143" t="str">
        <f>"10304-3944"</f>
        <v>10304-3944</v>
      </c>
      <c r="AB143" t="s">
        <v>123</v>
      </c>
      <c r="AC143" t="s">
        <v>113</v>
      </c>
      <c r="AD143" t="s">
        <v>108</v>
      </c>
      <c r="AE143" t="s">
        <v>114</v>
      </c>
      <c r="AF143" t="s">
        <v>142</v>
      </c>
      <c r="AG143" t="s">
        <v>116</v>
      </c>
      <c r="AK143" t="str">
        <f t="shared" si="15"/>
        <v/>
      </c>
      <c r="AL143" t="s">
        <v>1154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0</v>
      </c>
      <c r="AU143">
        <v>0</v>
      </c>
      <c r="AV143">
        <v>0</v>
      </c>
      <c r="AW143">
        <v>0</v>
      </c>
      <c r="AX143" s="24" t="str">
        <f t="shared" si="13"/>
        <v/>
      </c>
      <c r="AY143" s="24">
        <f t="shared" si="13"/>
        <v>1</v>
      </c>
      <c r="AZ143" s="24" t="str">
        <f t="shared" si="17"/>
        <v/>
      </c>
      <c r="BA143" s="24" t="str">
        <f t="shared" si="17"/>
        <v/>
      </c>
      <c r="BB143" s="24" t="str">
        <f t="shared" si="17"/>
        <v/>
      </c>
      <c r="BC143" s="24" t="str">
        <f t="shared" si="17"/>
        <v/>
      </c>
      <c r="BD143" s="24" t="str">
        <f t="shared" si="17"/>
        <v/>
      </c>
      <c r="BE143" s="24" t="str">
        <f t="shared" si="17"/>
        <v/>
      </c>
      <c r="BF143" s="24" t="str">
        <f t="shared" si="17"/>
        <v/>
      </c>
      <c r="BG143" s="24" t="str">
        <f t="shared" si="17"/>
        <v/>
      </c>
      <c r="BH143" s="24" t="str">
        <f t="shared" si="16"/>
        <v/>
      </c>
      <c r="BI143" s="24">
        <f t="shared" si="17"/>
        <v>1</v>
      </c>
      <c r="BJ143" s="24" t="str">
        <f t="shared" si="11"/>
        <v/>
      </c>
    </row>
    <row r="144" spans="1:62" ht="15" customHeight="1" x14ac:dyDescent="0.25">
      <c r="A144" t="str">
        <f>"1457379018"</f>
        <v>1457379018</v>
      </c>
      <c r="B144" t="str">
        <f>"00309664"</f>
        <v>00309664</v>
      </c>
      <c r="C144" t="s">
        <v>4650</v>
      </c>
      <c r="D144" t="s">
        <v>4651</v>
      </c>
      <c r="E144" t="s">
        <v>4652</v>
      </c>
      <c r="G144" t="s">
        <v>4653</v>
      </c>
      <c r="H144" t="s">
        <v>4654</v>
      </c>
      <c r="I144">
        <v>161</v>
      </c>
      <c r="J144" t="s">
        <v>4655</v>
      </c>
      <c r="L144" t="s">
        <v>1382</v>
      </c>
      <c r="M144" t="s">
        <v>139</v>
      </c>
      <c r="R144" t="s">
        <v>4656</v>
      </c>
      <c r="W144" t="s">
        <v>4657</v>
      </c>
      <c r="X144" t="s">
        <v>4658</v>
      </c>
      <c r="Y144" t="s">
        <v>110</v>
      </c>
      <c r="Z144" t="s">
        <v>111</v>
      </c>
      <c r="AA144" t="str">
        <f>"13905-3103"</f>
        <v>13905-3103</v>
      </c>
      <c r="AB144" t="s">
        <v>312</v>
      </c>
      <c r="AC144" t="s">
        <v>113</v>
      </c>
      <c r="AD144" t="s">
        <v>108</v>
      </c>
      <c r="AE144" t="s">
        <v>114</v>
      </c>
      <c r="AF144" t="s">
        <v>115</v>
      </c>
      <c r="AG144" t="s">
        <v>116</v>
      </c>
      <c r="AK144" t="str">
        <f t="shared" si="15"/>
        <v/>
      </c>
      <c r="AL144" t="s">
        <v>4651</v>
      </c>
      <c r="AM144">
        <v>1</v>
      </c>
      <c r="AN144">
        <v>0</v>
      </c>
      <c r="AO144">
        <v>1</v>
      </c>
      <c r="AP144">
        <v>1</v>
      </c>
      <c r="AQ144">
        <v>1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  <c r="AX144" s="24" t="str">
        <f t="shared" si="13"/>
        <v/>
      </c>
      <c r="AY144" s="24" t="str">
        <f t="shared" si="13"/>
        <v/>
      </c>
      <c r="AZ144" s="24" t="str">
        <f t="shared" si="17"/>
        <v/>
      </c>
      <c r="BA144" s="24" t="str">
        <f t="shared" si="17"/>
        <v/>
      </c>
      <c r="BB144" s="24" t="str">
        <f t="shared" si="17"/>
        <v/>
      </c>
      <c r="BC144" s="24" t="str">
        <f t="shared" si="17"/>
        <v/>
      </c>
      <c r="BD144" s="24" t="str">
        <f t="shared" si="17"/>
        <v/>
      </c>
      <c r="BE144" s="24">
        <f t="shared" si="17"/>
        <v>1</v>
      </c>
      <c r="BF144" s="24" t="str">
        <f t="shared" si="17"/>
        <v/>
      </c>
      <c r="BG144" s="24" t="str">
        <f t="shared" si="17"/>
        <v/>
      </c>
      <c r="BH144" s="24" t="str">
        <f t="shared" si="16"/>
        <v/>
      </c>
      <c r="BI144" s="24">
        <f t="shared" si="17"/>
        <v>1</v>
      </c>
      <c r="BJ144" s="24" t="str">
        <f t="shared" si="11"/>
        <v/>
      </c>
    </row>
    <row r="145" spans="1:62" ht="15" customHeight="1" x14ac:dyDescent="0.25">
      <c r="A145" t="str">
        <f>"1578680997"</f>
        <v>1578680997</v>
      </c>
      <c r="B145" t="str">
        <f>"01926549"</f>
        <v>01926549</v>
      </c>
      <c r="C145" t="s">
        <v>1566</v>
      </c>
      <c r="D145" t="s">
        <v>1567</v>
      </c>
      <c r="E145" t="s">
        <v>1568</v>
      </c>
      <c r="L145" t="s">
        <v>247</v>
      </c>
      <c r="M145" t="s">
        <v>108</v>
      </c>
      <c r="R145" t="s">
        <v>1566</v>
      </c>
      <c r="W145" t="s">
        <v>1568</v>
      </c>
      <c r="X145" t="s">
        <v>1569</v>
      </c>
      <c r="Y145" t="s">
        <v>1570</v>
      </c>
      <c r="Z145" t="s">
        <v>111</v>
      </c>
      <c r="AA145" t="str">
        <f>"13830"</f>
        <v>13830</v>
      </c>
      <c r="AB145" t="s">
        <v>123</v>
      </c>
      <c r="AC145" t="s">
        <v>113</v>
      </c>
      <c r="AD145" t="s">
        <v>108</v>
      </c>
      <c r="AE145" t="s">
        <v>114</v>
      </c>
      <c r="AF145" t="s">
        <v>124</v>
      </c>
      <c r="AG145" t="s">
        <v>116</v>
      </c>
      <c r="AK145" t="str">
        <f t="shared" si="15"/>
        <v/>
      </c>
      <c r="AL145" t="s">
        <v>1567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  <c r="AU145">
        <v>0</v>
      </c>
      <c r="AV145">
        <v>0</v>
      </c>
      <c r="AW145">
        <v>0</v>
      </c>
      <c r="AX145" s="24" t="str">
        <f t="shared" si="13"/>
        <v/>
      </c>
      <c r="AY145" s="24">
        <f t="shared" si="13"/>
        <v>1</v>
      </c>
      <c r="AZ145" s="24" t="str">
        <f t="shared" si="17"/>
        <v/>
      </c>
      <c r="BA145" s="24" t="str">
        <f t="shared" si="17"/>
        <v/>
      </c>
      <c r="BB145" s="24" t="str">
        <f t="shared" si="17"/>
        <v/>
      </c>
      <c r="BC145" s="24" t="str">
        <f t="shared" si="17"/>
        <v/>
      </c>
      <c r="BD145" s="24" t="str">
        <f t="shared" si="17"/>
        <v/>
      </c>
      <c r="BE145" s="24" t="str">
        <f t="shared" si="17"/>
        <v/>
      </c>
      <c r="BF145" s="24" t="str">
        <f t="shared" si="17"/>
        <v/>
      </c>
      <c r="BG145" s="24" t="str">
        <f t="shared" si="17"/>
        <v/>
      </c>
      <c r="BH145" s="24" t="str">
        <f t="shared" si="16"/>
        <v/>
      </c>
      <c r="BI145" s="24" t="str">
        <f t="shared" si="17"/>
        <v/>
      </c>
      <c r="BJ145" s="24" t="str">
        <f t="shared" si="11"/>
        <v/>
      </c>
    </row>
    <row r="146" spans="1:62" ht="15" customHeight="1" x14ac:dyDescent="0.25">
      <c r="A146" t="str">
        <f>"1720183064"</f>
        <v>1720183064</v>
      </c>
      <c r="B146" t="str">
        <f>"02955017"</f>
        <v>02955017</v>
      </c>
      <c r="C146" t="s">
        <v>2641</v>
      </c>
      <c r="D146" t="s">
        <v>2642</v>
      </c>
      <c r="E146" t="s">
        <v>2643</v>
      </c>
      <c r="L146" t="s">
        <v>809</v>
      </c>
      <c r="M146" t="s">
        <v>108</v>
      </c>
      <c r="R146" t="s">
        <v>2641</v>
      </c>
      <c r="W146" t="s">
        <v>2643</v>
      </c>
      <c r="X146" t="s">
        <v>2644</v>
      </c>
      <c r="Y146" t="s">
        <v>122</v>
      </c>
      <c r="Z146" t="s">
        <v>111</v>
      </c>
      <c r="AA146" t="str">
        <f>"13815-2046"</f>
        <v>13815-2046</v>
      </c>
      <c r="AB146" t="s">
        <v>811</v>
      </c>
      <c r="AC146" t="s">
        <v>113</v>
      </c>
      <c r="AD146" t="s">
        <v>108</v>
      </c>
      <c r="AE146" t="s">
        <v>114</v>
      </c>
      <c r="AF146" t="s">
        <v>124</v>
      </c>
      <c r="AG146" t="s">
        <v>116</v>
      </c>
      <c r="AK146" t="str">
        <f t="shared" si="15"/>
        <v/>
      </c>
      <c r="AL146" t="s">
        <v>2642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  <c r="AS146">
        <v>0</v>
      </c>
      <c r="AT146">
        <v>0</v>
      </c>
      <c r="AU146">
        <v>0</v>
      </c>
      <c r="AV146">
        <v>0</v>
      </c>
      <c r="AW146">
        <v>0</v>
      </c>
      <c r="AX146" s="24" t="str">
        <f t="shared" si="13"/>
        <v/>
      </c>
      <c r="AY146" s="24">
        <f t="shared" si="13"/>
        <v>1</v>
      </c>
      <c r="AZ146" s="24" t="str">
        <f t="shared" si="17"/>
        <v/>
      </c>
      <c r="BA146" s="24" t="str">
        <f t="shared" si="17"/>
        <v/>
      </c>
      <c r="BB146" s="24" t="str">
        <f t="shared" si="17"/>
        <v/>
      </c>
      <c r="BC146" s="24">
        <f t="shared" si="17"/>
        <v>1</v>
      </c>
      <c r="BD146" s="24" t="str">
        <f t="shared" si="17"/>
        <v/>
      </c>
      <c r="BE146" s="24" t="str">
        <f t="shared" si="17"/>
        <v/>
      </c>
      <c r="BF146" s="24" t="str">
        <f t="shared" si="17"/>
        <v/>
      </c>
      <c r="BG146" s="24" t="str">
        <f t="shared" si="17"/>
        <v/>
      </c>
      <c r="BH146" s="24" t="str">
        <f t="shared" si="16"/>
        <v/>
      </c>
      <c r="BI146" s="24" t="str">
        <f t="shared" si="17"/>
        <v/>
      </c>
      <c r="BJ146" s="24" t="str">
        <f t="shared" ref="BJ146:BJ209" si="18">IF(ISERROR(FIND(BJ$1,$L146,1)),"",1)</f>
        <v/>
      </c>
    </row>
    <row r="147" spans="1:62" ht="15" customHeight="1" x14ac:dyDescent="0.25">
      <c r="A147" t="str">
        <f>"1548371149"</f>
        <v>1548371149</v>
      </c>
      <c r="B147" t="str">
        <f>"03199382"</f>
        <v>03199382</v>
      </c>
      <c r="C147" t="s">
        <v>869</v>
      </c>
      <c r="D147" t="s">
        <v>870</v>
      </c>
      <c r="E147" t="s">
        <v>869</v>
      </c>
      <c r="L147" t="s">
        <v>809</v>
      </c>
      <c r="M147" t="s">
        <v>108</v>
      </c>
      <c r="W147" t="s">
        <v>869</v>
      </c>
      <c r="X147" t="s">
        <v>871</v>
      </c>
      <c r="Y147" t="s">
        <v>110</v>
      </c>
      <c r="Z147" t="s">
        <v>111</v>
      </c>
      <c r="AA147" t="str">
        <f>"13905-4703"</f>
        <v>13905-4703</v>
      </c>
      <c r="AB147" t="s">
        <v>811</v>
      </c>
      <c r="AC147" t="s">
        <v>113</v>
      </c>
      <c r="AD147" t="s">
        <v>108</v>
      </c>
      <c r="AE147" t="s">
        <v>114</v>
      </c>
      <c r="AF147" t="s">
        <v>115</v>
      </c>
      <c r="AG147" t="s">
        <v>116</v>
      </c>
      <c r="AK147" t="str">
        <f t="shared" si="15"/>
        <v/>
      </c>
      <c r="AL147" t="s">
        <v>870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0</v>
      </c>
      <c r="AW147">
        <v>0</v>
      </c>
      <c r="AX147" s="24" t="str">
        <f t="shared" si="13"/>
        <v/>
      </c>
      <c r="AY147" s="24">
        <f t="shared" si="13"/>
        <v>1</v>
      </c>
      <c r="AZ147" s="24" t="str">
        <f t="shared" si="17"/>
        <v/>
      </c>
      <c r="BA147" s="24" t="str">
        <f t="shared" si="17"/>
        <v/>
      </c>
      <c r="BB147" s="24" t="str">
        <f t="shared" si="17"/>
        <v/>
      </c>
      <c r="BC147" s="24">
        <f t="shared" si="17"/>
        <v>1</v>
      </c>
      <c r="BD147" s="24" t="str">
        <f t="shared" si="17"/>
        <v/>
      </c>
      <c r="BE147" s="24" t="str">
        <f t="shared" si="17"/>
        <v/>
      </c>
      <c r="BF147" s="24" t="str">
        <f t="shared" si="17"/>
        <v/>
      </c>
      <c r="BG147" s="24" t="str">
        <f t="shared" si="17"/>
        <v/>
      </c>
      <c r="BH147" s="24" t="str">
        <f t="shared" si="16"/>
        <v/>
      </c>
      <c r="BI147" s="24" t="str">
        <f t="shared" si="17"/>
        <v/>
      </c>
      <c r="BJ147" s="24" t="str">
        <f t="shared" si="18"/>
        <v/>
      </c>
    </row>
    <row r="148" spans="1:62" x14ac:dyDescent="0.25">
      <c r="A148" t="str">
        <f>"1427019629"</f>
        <v>1427019629</v>
      </c>
      <c r="B148" t="str">
        <f>"03003927"</f>
        <v>03003927</v>
      </c>
      <c r="C148" t="s">
        <v>3819</v>
      </c>
      <c r="D148" t="s">
        <v>3820</v>
      </c>
      <c r="E148" t="s">
        <v>3821</v>
      </c>
      <c r="G148" t="s">
        <v>3822</v>
      </c>
      <c r="H148" t="s">
        <v>3823</v>
      </c>
      <c r="J148" t="s">
        <v>3824</v>
      </c>
      <c r="L148" t="s">
        <v>695</v>
      </c>
      <c r="M148" t="s">
        <v>139</v>
      </c>
      <c r="R148" t="s">
        <v>3110</v>
      </c>
      <c r="W148" t="s">
        <v>3821</v>
      </c>
      <c r="X148" t="s">
        <v>3825</v>
      </c>
      <c r="Y148" t="s">
        <v>110</v>
      </c>
      <c r="Z148" t="s">
        <v>111</v>
      </c>
      <c r="AA148" t="str">
        <f>"13905-2424"</f>
        <v>13905-2424</v>
      </c>
      <c r="AB148" t="s">
        <v>282</v>
      </c>
      <c r="AC148" t="s">
        <v>113</v>
      </c>
      <c r="AD148" t="s">
        <v>108</v>
      </c>
      <c r="AE148" t="s">
        <v>114</v>
      </c>
      <c r="AF148" t="s">
        <v>115</v>
      </c>
      <c r="AG148" t="s">
        <v>116</v>
      </c>
      <c r="AK148" t="str">
        <f t="shared" si="15"/>
        <v/>
      </c>
      <c r="AL148" t="s">
        <v>3820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  <c r="AS148">
        <v>0</v>
      </c>
      <c r="AT148">
        <v>0</v>
      </c>
      <c r="AU148">
        <v>0</v>
      </c>
      <c r="AV148">
        <v>0</v>
      </c>
      <c r="AW148">
        <v>0</v>
      </c>
      <c r="AX148" s="24" t="str">
        <f t="shared" si="13"/>
        <v/>
      </c>
      <c r="AY148" s="24" t="str">
        <f t="shared" si="13"/>
        <v/>
      </c>
      <c r="AZ148" s="24" t="str">
        <f t="shared" si="17"/>
        <v/>
      </c>
      <c r="BA148" s="24">
        <f t="shared" si="17"/>
        <v>1</v>
      </c>
      <c r="BB148" s="24" t="str">
        <f t="shared" si="17"/>
        <v/>
      </c>
      <c r="BC148" s="24" t="str">
        <f t="shared" si="17"/>
        <v/>
      </c>
      <c r="BD148" s="24" t="str">
        <f t="shared" si="17"/>
        <v/>
      </c>
      <c r="BE148" s="24" t="str">
        <f t="shared" si="17"/>
        <v/>
      </c>
      <c r="BF148" s="24" t="str">
        <f t="shared" si="17"/>
        <v/>
      </c>
      <c r="BG148" s="24" t="str">
        <f t="shared" si="17"/>
        <v/>
      </c>
      <c r="BH148" s="24" t="str">
        <f t="shared" si="16"/>
        <v/>
      </c>
      <c r="BI148" s="24">
        <f t="shared" si="17"/>
        <v>1</v>
      </c>
      <c r="BJ148" s="24" t="str">
        <f t="shared" si="18"/>
        <v/>
      </c>
    </row>
    <row r="149" spans="1:62" ht="15" customHeight="1" x14ac:dyDescent="0.25">
      <c r="A149" t="str">
        <f>"1396789418"</f>
        <v>1396789418</v>
      </c>
      <c r="B149" t="str">
        <f>"00474584"</f>
        <v>00474584</v>
      </c>
      <c r="C149" t="s">
        <v>3938</v>
      </c>
      <c r="D149" t="s">
        <v>3939</v>
      </c>
      <c r="E149" t="s">
        <v>3940</v>
      </c>
      <c r="G149" t="s">
        <v>3822</v>
      </c>
      <c r="H149" t="s">
        <v>3823</v>
      </c>
      <c r="J149" t="s">
        <v>3824</v>
      </c>
      <c r="L149" t="s">
        <v>66</v>
      </c>
      <c r="M149" t="s">
        <v>108</v>
      </c>
      <c r="R149" t="s">
        <v>3941</v>
      </c>
      <c r="W149" t="s">
        <v>3940</v>
      </c>
      <c r="X149" t="s">
        <v>3942</v>
      </c>
      <c r="Y149" t="s">
        <v>110</v>
      </c>
      <c r="Z149" t="s">
        <v>111</v>
      </c>
      <c r="AA149" t="str">
        <f>"13901-2716"</f>
        <v>13901-2716</v>
      </c>
      <c r="AB149" t="s">
        <v>165</v>
      </c>
      <c r="AC149" t="s">
        <v>113</v>
      </c>
      <c r="AD149" t="s">
        <v>108</v>
      </c>
      <c r="AE149" t="s">
        <v>114</v>
      </c>
      <c r="AF149" t="s">
        <v>115</v>
      </c>
      <c r="AG149" t="s">
        <v>116</v>
      </c>
      <c r="AK149" t="str">
        <f t="shared" si="15"/>
        <v/>
      </c>
      <c r="AL149" t="s">
        <v>3939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>
        <v>0</v>
      </c>
      <c r="AV149">
        <v>0</v>
      </c>
      <c r="AW149">
        <v>0</v>
      </c>
      <c r="AX149" s="24" t="str">
        <f t="shared" si="13"/>
        <v/>
      </c>
      <c r="AY149" s="24" t="str">
        <f t="shared" si="13"/>
        <v/>
      </c>
      <c r="AZ149" s="24" t="str">
        <f t="shared" si="17"/>
        <v/>
      </c>
      <c r="BA149" s="24" t="str">
        <f t="shared" si="17"/>
        <v/>
      </c>
      <c r="BB149" s="24">
        <f t="shared" si="17"/>
        <v>1</v>
      </c>
      <c r="BC149" s="24" t="str">
        <f t="shared" si="17"/>
        <v/>
      </c>
      <c r="BD149" s="24" t="str">
        <f t="shared" si="17"/>
        <v/>
      </c>
      <c r="BE149" s="24" t="str">
        <f t="shared" si="17"/>
        <v/>
      </c>
      <c r="BF149" s="24" t="str">
        <f t="shared" si="17"/>
        <v/>
      </c>
      <c r="BG149" s="24" t="str">
        <f t="shared" si="17"/>
        <v/>
      </c>
      <c r="BH149" s="24" t="str">
        <f t="shared" si="16"/>
        <v/>
      </c>
      <c r="BI149" s="24" t="str">
        <f t="shared" si="17"/>
        <v/>
      </c>
      <c r="BJ149" s="24" t="str">
        <f t="shared" si="18"/>
        <v/>
      </c>
    </row>
    <row r="150" spans="1:62" x14ac:dyDescent="0.25">
      <c r="A150" t="str">
        <f>"1083742720"</f>
        <v>1083742720</v>
      </c>
      <c r="B150" t="str">
        <f>"00474608"</f>
        <v>00474608</v>
      </c>
      <c r="C150" t="s">
        <v>3943</v>
      </c>
      <c r="D150" t="s">
        <v>3820</v>
      </c>
      <c r="E150" t="s">
        <v>3821</v>
      </c>
      <c r="G150" t="s">
        <v>3822</v>
      </c>
      <c r="H150" t="s">
        <v>3823</v>
      </c>
      <c r="J150" t="s">
        <v>3824</v>
      </c>
      <c r="L150" t="s">
        <v>695</v>
      </c>
      <c r="M150" t="s">
        <v>139</v>
      </c>
      <c r="R150" t="s">
        <v>3944</v>
      </c>
      <c r="W150" t="s">
        <v>3821</v>
      </c>
      <c r="X150" t="s">
        <v>3825</v>
      </c>
      <c r="Y150" t="s">
        <v>110</v>
      </c>
      <c r="Z150" t="s">
        <v>111</v>
      </c>
      <c r="AA150" t="str">
        <f>"13905-2424"</f>
        <v>13905-2424</v>
      </c>
      <c r="AB150" t="s">
        <v>282</v>
      </c>
      <c r="AC150" t="s">
        <v>113</v>
      </c>
      <c r="AD150" t="s">
        <v>108</v>
      </c>
      <c r="AE150" t="s">
        <v>114</v>
      </c>
      <c r="AF150" t="s">
        <v>115</v>
      </c>
      <c r="AG150" t="s">
        <v>116</v>
      </c>
      <c r="AK150" t="str">
        <f t="shared" si="15"/>
        <v/>
      </c>
      <c r="AL150" t="s">
        <v>3820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  <c r="AS150">
        <v>0</v>
      </c>
      <c r="AT150">
        <v>0</v>
      </c>
      <c r="AU150">
        <v>0</v>
      </c>
      <c r="AV150">
        <v>0</v>
      </c>
      <c r="AW150">
        <v>0</v>
      </c>
      <c r="AX150" s="24" t="str">
        <f t="shared" si="13"/>
        <v/>
      </c>
      <c r="AY150" s="24" t="str">
        <f t="shared" si="13"/>
        <v/>
      </c>
      <c r="AZ150" s="24" t="str">
        <f t="shared" si="17"/>
        <v/>
      </c>
      <c r="BA150" s="24">
        <f t="shared" si="17"/>
        <v>1</v>
      </c>
      <c r="BB150" s="24" t="str">
        <f t="shared" si="17"/>
        <v/>
      </c>
      <c r="BC150" s="24" t="str">
        <f t="shared" si="17"/>
        <v/>
      </c>
      <c r="BD150" s="24" t="str">
        <f t="shared" si="17"/>
        <v/>
      </c>
      <c r="BE150" s="24" t="str">
        <f t="shared" si="17"/>
        <v/>
      </c>
      <c r="BF150" s="24" t="str">
        <f t="shared" si="17"/>
        <v/>
      </c>
      <c r="BG150" s="24" t="str">
        <f t="shared" si="17"/>
        <v/>
      </c>
      <c r="BH150" s="24" t="str">
        <f t="shared" si="16"/>
        <v/>
      </c>
      <c r="BI150" s="24">
        <f t="shared" si="17"/>
        <v>1</v>
      </c>
      <c r="BJ150" s="24" t="str">
        <f t="shared" si="18"/>
        <v/>
      </c>
    </row>
    <row r="151" spans="1:62" ht="15" customHeight="1" x14ac:dyDescent="0.25">
      <c r="A151" t="str">
        <f>"1003850157"</f>
        <v>1003850157</v>
      </c>
      <c r="B151" t="str">
        <f>"01430395"</f>
        <v>01430395</v>
      </c>
      <c r="C151" t="s">
        <v>3943</v>
      </c>
      <c r="D151" t="s">
        <v>3945</v>
      </c>
      <c r="E151" t="s">
        <v>3946</v>
      </c>
      <c r="G151" t="s">
        <v>3822</v>
      </c>
      <c r="H151" t="s">
        <v>3947</v>
      </c>
      <c r="J151" t="s">
        <v>3824</v>
      </c>
      <c r="L151" t="s">
        <v>133</v>
      </c>
      <c r="M151" t="s">
        <v>108</v>
      </c>
      <c r="R151" t="s">
        <v>3948</v>
      </c>
      <c r="W151" t="s">
        <v>3946</v>
      </c>
      <c r="X151" t="s">
        <v>3825</v>
      </c>
      <c r="Y151" t="s">
        <v>110</v>
      </c>
      <c r="Z151" t="s">
        <v>111</v>
      </c>
      <c r="AA151" t="str">
        <f>"13901-2448"</f>
        <v>13901-2448</v>
      </c>
      <c r="AB151" t="s">
        <v>282</v>
      </c>
      <c r="AC151" t="s">
        <v>113</v>
      </c>
      <c r="AD151" t="s">
        <v>108</v>
      </c>
      <c r="AE151" t="s">
        <v>114</v>
      </c>
      <c r="AF151" t="s">
        <v>115</v>
      </c>
      <c r="AG151" t="s">
        <v>116</v>
      </c>
      <c r="AK151" t="str">
        <f t="shared" si="15"/>
        <v>Broome County Health Department Licensed Home Care Service Agency</v>
      </c>
      <c r="AL151" t="s">
        <v>3945</v>
      </c>
      <c r="AM151" t="s">
        <v>108</v>
      </c>
      <c r="AN151" t="s">
        <v>108</v>
      </c>
      <c r="AO151" t="s">
        <v>108</v>
      </c>
      <c r="AP151" t="s">
        <v>108</v>
      </c>
      <c r="AQ151" t="s">
        <v>108</v>
      </c>
      <c r="AR151" t="s">
        <v>108</v>
      </c>
      <c r="AS151" t="s">
        <v>108</v>
      </c>
      <c r="AT151" t="s">
        <v>108</v>
      </c>
      <c r="AU151">
        <v>0</v>
      </c>
      <c r="AV151" t="s">
        <v>108</v>
      </c>
      <c r="AW151" t="s">
        <v>108</v>
      </c>
      <c r="AX151" s="24" t="str">
        <f t="shared" si="13"/>
        <v/>
      </c>
      <c r="AY151" s="24" t="str">
        <f t="shared" si="13"/>
        <v/>
      </c>
      <c r="AZ151" s="24" t="str">
        <f t="shared" si="17"/>
        <v/>
      </c>
      <c r="BA151" s="24" t="str">
        <f t="shared" si="17"/>
        <v/>
      </c>
      <c r="BB151" s="24" t="str">
        <f t="shared" si="17"/>
        <v/>
      </c>
      <c r="BC151" s="24" t="str">
        <f t="shared" si="17"/>
        <v/>
      </c>
      <c r="BD151" s="24" t="str">
        <f t="shared" si="17"/>
        <v/>
      </c>
      <c r="BE151" s="24" t="str">
        <f t="shared" si="17"/>
        <v/>
      </c>
      <c r="BF151" s="24" t="str">
        <f t="shared" si="17"/>
        <v/>
      </c>
      <c r="BG151" s="24" t="str">
        <f t="shared" si="17"/>
        <v/>
      </c>
      <c r="BH151" s="24" t="str">
        <f t="shared" si="16"/>
        <v/>
      </c>
      <c r="BI151" s="24" t="str">
        <f t="shared" si="17"/>
        <v/>
      </c>
      <c r="BJ151" s="24">
        <f t="shared" si="18"/>
        <v>1</v>
      </c>
    </row>
    <row r="152" spans="1:62" ht="15" customHeight="1" x14ac:dyDescent="0.25">
      <c r="A152" t="str">
        <f>"1093975583"</f>
        <v>1093975583</v>
      </c>
      <c r="C152" t="s">
        <v>3943</v>
      </c>
      <c r="G152" t="s">
        <v>3822</v>
      </c>
      <c r="H152" t="s">
        <v>3823</v>
      </c>
      <c r="J152" t="s">
        <v>3824</v>
      </c>
      <c r="K152" t="s">
        <v>1274</v>
      </c>
      <c r="L152" t="s">
        <v>133</v>
      </c>
      <c r="M152" t="s">
        <v>108</v>
      </c>
      <c r="R152" t="s">
        <v>4785</v>
      </c>
      <c r="S152" t="s">
        <v>4786</v>
      </c>
      <c r="T152" t="s">
        <v>110</v>
      </c>
      <c r="U152" t="s">
        <v>111</v>
      </c>
      <c r="V152" t="str">
        <f>"139052424"</f>
        <v>139052424</v>
      </c>
      <c r="AC152" t="s">
        <v>113</v>
      </c>
      <c r="AD152" t="s">
        <v>108</v>
      </c>
      <c r="AE152" t="s">
        <v>775</v>
      </c>
      <c r="AF152" t="s">
        <v>115</v>
      </c>
      <c r="AG152" t="s">
        <v>116</v>
      </c>
      <c r="AK152" t="str">
        <f t="shared" si="15"/>
        <v>Broome County Health Department Licensed Home Care Service Agency</v>
      </c>
      <c r="AM152" t="s">
        <v>108</v>
      </c>
      <c r="AN152" t="s">
        <v>108</v>
      </c>
      <c r="AO152" t="s">
        <v>108</v>
      </c>
      <c r="AP152" t="s">
        <v>108</v>
      </c>
      <c r="AQ152" t="s">
        <v>108</v>
      </c>
      <c r="AR152" t="s">
        <v>108</v>
      </c>
      <c r="AS152" t="s">
        <v>108</v>
      </c>
      <c r="AT152" t="s">
        <v>108</v>
      </c>
      <c r="AU152">
        <v>0</v>
      </c>
      <c r="AV152" t="s">
        <v>108</v>
      </c>
      <c r="AW152" t="s">
        <v>108</v>
      </c>
      <c r="AX152" s="24" t="str">
        <f t="shared" si="13"/>
        <v/>
      </c>
      <c r="AY152" s="24" t="str">
        <f t="shared" si="13"/>
        <v/>
      </c>
      <c r="AZ152" s="24" t="str">
        <f t="shared" si="17"/>
        <v/>
      </c>
      <c r="BA152" s="24" t="str">
        <f t="shared" si="17"/>
        <v/>
      </c>
      <c r="BB152" s="24" t="str">
        <f t="shared" si="17"/>
        <v/>
      </c>
      <c r="BC152" s="24" t="str">
        <f t="shared" si="17"/>
        <v/>
      </c>
      <c r="BD152" s="24" t="str">
        <f t="shared" si="17"/>
        <v/>
      </c>
      <c r="BE152" s="24" t="str">
        <f t="shared" si="17"/>
        <v/>
      </c>
      <c r="BF152" s="24" t="str">
        <f t="shared" si="17"/>
        <v/>
      </c>
      <c r="BG152" s="24" t="str">
        <f t="shared" si="17"/>
        <v/>
      </c>
      <c r="BH152" s="24" t="str">
        <f t="shared" si="16"/>
        <v/>
      </c>
      <c r="BI152" s="24" t="str">
        <f t="shared" si="17"/>
        <v/>
      </c>
      <c r="BJ152" s="24">
        <f t="shared" si="18"/>
        <v>1</v>
      </c>
    </row>
    <row r="153" spans="1:62" ht="15" customHeight="1" x14ac:dyDescent="0.25">
      <c r="A153" t="str">
        <f>"1629094065"</f>
        <v>1629094065</v>
      </c>
      <c r="B153" t="str">
        <f>"00581237"</f>
        <v>00581237</v>
      </c>
      <c r="C153" t="s">
        <v>1397</v>
      </c>
      <c r="D153" t="s">
        <v>1398</v>
      </c>
      <c r="E153" t="s">
        <v>1399</v>
      </c>
      <c r="G153" t="s">
        <v>1400</v>
      </c>
      <c r="H153" t="s">
        <v>1401</v>
      </c>
      <c r="J153" t="s">
        <v>1402</v>
      </c>
      <c r="L153" t="s">
        <v>278</v>
      </c>
      <c r="M153" t="s">
        <v>139</v>
      </c>
      <c r="R153" t="s">
        <v>1403</v>
      </c>
      <c r="W153" t="s">
        <v>1399</v>
      </c>
      <c r="X153" t="s">
        <v>1404</v>
      </c>
      <c r="Y153" t="s">
        <v>110</v>
      </c>
      <c r="Z153" t="s">
        <v>111</v>
      </c>
      <c r="AA153" t="str">
        <f>"13901-2756"</f>
        <v>13901-2756</v>
      </c>
      <c r="AB153" t="s">
        <v>282</v>
      </c>
      <c r="AC153" t="s">
        <v>113</v>
      </c>
      <c r="AD153" t="s">
        <v>108</v>
      </c>
      <c r="AE153" t="s">
        <v>114</v>
      </c>
      <c r="AF153" t="s">
        <v>115</v>
      </c>
      <c r="AG153" t="s">
        <v>116</v>
      </c>
      <c r="AK153" t="str">
        <f t="shared" si="15"/>
        <v/>
      </c>
      <c r="AL153" t="s">
        <v>1398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0</v>
      </c>
      <c r="AU153">
        <v>0</v>
      </c>
      <c r="AV153">
        <v>0</v>
      </c>
      <c r="AW153">
        <v>0</v>
      </c>
      <c r="AX153" s="24" t="str">
        <f t="shared" si="13"/>
        <v/>
      </c>
      <c r="AY153" s="24" t="str">
        <f t="shared" si="13"/>
        <v/>
      </c>
      <c r="AZ153" s="24" t="str">
        <f t="shared" si="17"/>
        <v/>
      </c>
      <c r="BA153" s="24" t="str">
        <f t="shared" si="17"/>
        <v/>
      </c>
      <c r="BB153" s="24" t="str">
        <f t="shared" si="17"/>
        <v/>
      </c>
      <c r="BC153" s="24">
        <f t="shared" si="17"/>
        <v>1</v>
      </c>
      <c r="BD153" s="24" t="str">
        <f t="shared" si="17"/>
        <v/>
      </c>
      <c r="BE153" s="24" t="str">
        <f t="shared" si="17"/>
        <v/>
      </c>
      <c r="BF153" s="24" t="str">
        <f t="shared" si="17"/>
        <v/>
      </c>
      <c r="BG153" s="24" t="str">
        <f t="shared" si="17"/>
        <v/>
      </c>
      <c r="BH153" s="24" t="str">
        <f t="shared" si="16"/>
        <v/>
      </c>
      <c r="BI153" s="24">
        <f t="shared" si="17"/>
        <v>1</v>
      </c>
      <c r="BJ153" s="24" t="str">
        <f t="shared" si="18"/>
        <v/>
      </c>
    </row>
    <row r="154" spans="1:62" ht="15" customHeight="1" x14ac:dyDescent="0.25">
      <c r="A154" t="str">
        <f>"1770992729"</f>
        <v>1770992729</v>
      </c>
      <c r="C154" t="s">
        <v>769</v>
      </c>
      <c r="G154" t="s">
        <v>770</v>
      </c>
      <c r="H154" t="s">
        <v>771</v>
      </c>
      <c r="J154" t="s">
        <v>772</v>
      </c>
      <c r="K154" t="s">
        <v>773</v>
      </c>
      <c r="L154" t="s">
        <v>133</v>
      </c>
      <c r="M154" t="s">
        <v>108</v>
      </c>
      <c r="R154" t="s">
        <v>769</v>
      </c>
      <c r="S154" t="s">
        <v>774</v>
      </c>
      <c r="T154" t="s">
        <v>110</v>
      </c>
      <c r="U154" t="s">
        <v>111</v>
      </c>
      <c r="V154" t="str">
        <f>"139013708"</f>
        <v>139013708</v>
      </c>
      <c r="AC154" t="s">
        <v>113</v>
      </c>
      <c r="AD154" t="s">
        <v>108</v>
      </c>
      <c r="AE154" t="s">
        <v>775</v>
      </c>
      <c r="AF154" t="s">
        <v>115</v>
      </c>
      <c r="AG154" t="s">
        <v>116</v>
      </c>
      <c r="AL154" t="s">
        <v>769</v>
      </c>
      <c r="AM154">
        <v>1</v>
      </c>
      <c r="AN154" t="s">
        <v>108</v>
      </c>
      <c r="AO154" t="s">
        <v>108</v>
      </c>
      <c r="AP154" t="s">
        <v>108</v>
      </c>
      <c r="AQ154" t="s">
        <v>108</v>
      </c>
      <c r="AR154" t="s">
        <v>108</v>
      </c>
      <c r="AS154" t="s">
        <v>108</v>
      </c>
      <c r="AT154" t="s">
        <v>108</v>
      </c>
      <c r="AU154">
        <v>0</v>
      </c>
      <c r="AV154" t="s">
        <v>108</v>
      </c>
      <c r="AW154" t="s">
        <v>108</v>
      </c>
      <c r="AX154" s="24" t="str">
        <f t="shared" si="13"/>
        <v/>
      </c>
      <c r="AY154" s="24" t="str">
        <f t="shared" si="13"/>
        <v/>
      </c>
      <c r="AZ154" s="24" t="str">
        <f t="shared" si="17"/>
        <v/>
      </c>
      <c r="BA154" s="24" t="str">
        <f t="shared" si="17"/>
        <v/>
      </c>
      <c r="BB154" s="24" t="str">
        <f t="shared" si="17"/>
        <v/>
      </c>
      <c r="BC154" s="24" t="str">
        <f t="shared" si="17"/>
        <v/>
      </c>
      <c r="BD154" s="24" t="str">
        <f t="shared" si="17"/>
        <v/>
      </c>
      <c r="BE154" s="24" t="str">
        <f t="shared" si="17"/>
        <v/>
      </c>
      <c r="BF154" s="24" t="str">
        <f t="shared" si="17"/>
        <v/>
      </c>
      <c r="BG154" s="24" t="str">
        <f t="shared" si="17"/>
        <v/>
      </c>
      <c r="BH154" s="24" t="str">
        <f t="shared" si="16"/>
        <v/>
      </c>
      <c r="BI154" s="24" t="str">
        <f t="shared" si="17"/>
        <v/>
      </c>
      <c r="BJ154" s="24">
        <f t="shared" si="18"/>
        <v>1</v>
      </c>
    </row>
    <row r="155" spans="1:62" ht="15" customHeight="1" x14ac:dyDescent="0.25">
      <c r="B155" t="str">
        <f>"02692533"</f>
        <v>02692533</v>
      </c>
      <c r="C155" t="s">
        <v>5727</v>
      </c>
      <c r="D155" t="s">
        <v>5728</v>
      </c>
      <c r="E155" t="s">
        <v>5727</v>
      </c>
      <c r="F155">
        <v>150619307</v>
      </c>
      <c r="G155" t="s">
        <v>5729</v>
      </c>
      <c r="H155" t="s">
        <v>5730</v>
      </c>
      <c r="J155" t="s">
        <v>5731</v>
      </c>
      <c r="L155" t="s">
        <v>68</v>
      </c>
      <c r="M155" t="s">
        <v>139</v>
      </c>
      <c r="W155" t="s">
        <v>5727</v>
      </c>
      <c r="X155" t="s">
        <v>173</v>
      </c>
      <c r="Y155" t="s">
        <v>110</v>
      </c>
      <c r="Z155" t="s">
        <v>111</v>
      </c>
      <c r="AA155" t="str">
        <f>"13905-1564"</f>
        <v>13905-1564</v>
      </c>
      <c r="AB155" t="s">
        <v>165</v>
      </c>
      <c r="AC155" t="s">
        <v>113</v>
      </c>
      <c r="AD155" t="s">
        <v>108</v>
      </c>
      <c r="AE155" t="s">
        <v>114</v>
      </c>
      <c r="AF155" t="s">
        <v>115</v>
      </c>
      <c r="AG155" t="s">
        <v>116</v>
      </c>
      <c r="AK155" t="str">
        <f t="shared" si="15"/>
        <v/>
      </c>
      <c r="AL155" t="s">
        <v>5728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0</v>
      </c>
      <c r="AU155">
        <v>0</v>
      </c>
      <c r="AV155">
        <v>0</v>
      </c>
      <c r="AW155">
        <v>0</v>
      </c>
      <c r="AX155" s="24" t="str">
        <f t="shared" si="13"/>
        <v/>
      </c>
      <c r="AY155" s="24" t="str">
        <f t="shared" si="13"/>
        <v/>
      </c>
      <c r="AZ155" s="24" t="str">
        <f t="shared" si="17"/>
        <v/>
      </c>
      <c r="BA155" s="24" t="str">
        <f t="shared" si="17"/>
        <v/>
      </c>
      <c r="BB155" s="24" t="str">
        <f t="shared" si="17"/>
        <v/>
      </c>
      <c r="BC155" s="24" t="str">
        <f t="shared" si="17"/>
        <v/>
      </c>
      <c r="BD155" s="24" t="str">
        <f t="shared" si="17"/>
        <v/>
      </c>
      <c r="BE155" s="24" t="str">
        <f t="shared" si="17"/>
        <v/>
      </c>
      <c r="BF155" s="24" t="str">
        <f t="shared" si="17"/>
        <v/>
      </c>
      <c r="BG155" s="24" t="str">
        <f t="shared" si="17"/>
        <v/>
      </c>
      <c r="BH155" s="24" t="str">
        <f t="shared" si="16"/>
        <v/>
      </c>
      <c r="BI155" s="24">
        <f t="shared" si="17"/>
        <v>1</v>
      </c>
      <c r="BJ155" s="24" t="str">
        <f t="shared" si="18"/>
        <v/>
      </c>
    </row>
    <row r="156" spans="1:62" ht="15" customHeight="1" x14ac:dyDescent="0.25">
      <c r="A156" t="str">
        <f>"1427022839"</f>
        <v>1427022839</v>
      </c>
      <c r="B156" t="str">
        <f>"01139739"</f>
        <v>01139739</v>
      </c>
      <c r="C156" t="s">
        <v>2940</v>
      </c>
      <c r="D156" t="s">
        <v>2941</v>
      </c>
      <c r="E156" t="s">
        <v>2942</v>
      </c>
      <c r="G156" t="s">
        <v>177</v>
      </c>
      <c r="H156" t="s">
        <v>178</v>
      </c>
      <c r="J156" t="s">
        <v>179</v>
      </c>
      <c r="L156" t="s">
        <v>138</v>
      </c>
      <c r="M156" t="s">
        <v>108</v>
      </c>
      <c r="R156" t="s">
        <v>2940</v>
      </c>
      <c r="W156" t="s">
        <v>2943</v>
      </c>
      <c r="X156" t="s">
        <v>180</v>
      </c>
      <c r="Y156" t="s">
        <v>181</v>
      </c>
      <c r="Z156" t="s">
        <v>182</v>
      </c>
      <c r="AA156" t="str">
        <f>"18840"</f>
        <v>18840</v>
      </c>
      <c r="AB156" t="s">
        <v>123</v>
      </c>
      <c r="AC156" t="s">
        <v>113</v>
      </c>
      <c r="AD156" t="s">
        <v>108</v>
      </c>
      <c r="AE156" t="s">
        <v>114</v>
      </c>
      <c r="AF156" t="s">
        <v>115</v>
      </c>
      <c r="AG156" t="s">
        <v>116</v>
      </c>
      <c r="AK156" t="str">
        <f t="shared" si="15"/>
        <v/>
      </c>
      <c r="AL156" t="s">
        <v>2941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  <c r="AS156">
        <v>0</v>
      </c>
      <c r="AT156">
        <v>0</v>
      </c>
      <c r="AU156">
        <v>0</v>
      </c>
      <c r="AV156">
        <v>0</v>
      </c>
      <c r="AW156">
        <v>0</v>
      </c>
      <c r="AX156" s="24" t="str">
        <f t="shared" si="13"/>
        <v/>
      </c>
      <c r="AY156" s="24">
        <f t="shared" si="13"/>
        <v>1</v>
      </c>
      <c r="AZ156" s="24" t="str">
        <f t="shared" si="17"/>
        <v/>
      </c>
      <c r="BA156" s="24" t="str">
        <f t="shared" si="17"/>
        <v/>
      </c>
      <c r="BB156" s="24" t="str">
        <f t="shared" si="17"/>
        <v/>
      </c>
      <c r="BC156" s="24" t="str">
        <f t="shared" si="17"/>
        <v/>
      </c>
      <c r="BD156" s="24" t="str">
        <f t="shared" si="17"/>
        <v/>
      </c>
      <c r="BE156" s="24" t="str">
        <f t="shared" si="17"/>
        <v/>
      </c>
      <c r="BF156" s="24" t="str">
        <f t="shared" si="17"/>
        <v/>
      </c>
      <c r="BG156" s="24" t="str">
        <f t="shared" si="17"/>
        <v/>
      </c>
      <c r="BH156" s="24" t="str">
        <f t="shared" si="16"/>
        <v/>
      </c>
      <c r="BI156" s="24">
        <f t="shared" si="17"/>
        <v>1</v>
      </c>
      <c r="BJ156" s="24" t="str">
        <f t="shared" si="18"/>
        <v/>
      </c>
    </row>
    <row r="157" spans="1:62" ht="15" customHeight="1" x14ac:dyDescent="0.25">
      <c r="A157" t="str">
        <f>"1508897976"</f>
        <v>1508897976</v>
      </c>
      <c r="B157" t="str">
        <f>"03579242"</f>
        <v>03579242</v>
      </c>
      <c r="C157" t="s">
        <v>822</v>
      </c>
      <c r="D157" t="s">
        <v>823</v>
      </c>
      <c r="E157" t="s">
        <v>822</v>
      </c>
      <c r="L157" t="s">
        <v>809</v>
      </c>
      <c r="M157" t="s">
        <v>108</v>
      </c>
      <c r="R157" t="s">
        <v>822</v>
      </c>
      <c r="W157" t="s">
        <v>822</v>
      </c>
      <c r="X157" t="s">
        <v>824</v>
      </c>
      <c r="Y157" t="s">
        <v>321</v>
      </c>
      <c r="Z157" t="s">
        <v>111</v>
      </c>
      <c r="AA157" t="str">
        <f>"13760-5244"</f>
        <v>13760-5244</v>
      </c>
      <c r="AB157" t="s">
        <v>811</v>
      </c>
      <c r="AC157" t="s">
        <v>113</v>
      </c>
      <c r="AD157" t="s">
        <v>108</v>
      </c>
      <c r="AE157" t="s">
        <v>114</v>
      </c>
      <c r="AF157" t="s">
        <v>115</v>
      </c>
      <c r="AG157" t="s">
        <v>116</v>
      </c>
      <c r="AK157" t="str">
        <f t="shared" si="15"/>
        <v/>
      </c>
      <c r="AL157" t="s">
        <v>823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0</v>
      </c>
      <c r="AU157">
        <v>0</v>
      </c>
      <c r="AV157">
        <v>0</v>
      </c>
      <c r="AW157">
        <v>0</v>
      </c>
      <c r="AX157" s="24" t="str">
        <f t="shared" si="13"/>
        <v/>
      </c>
      <c r="AY157" s="24">
        <f t="shared" si="13"/>
        <v>1</v>
      </c>
      <c r="AZ157" s="24" t="str">
        <f t="shared" si="17"/>
        <v/>
      </c>
      <c r="BA157" s="24" t="str">
        <f t="shared" si="17"/>
        <v/>
      </c>
      <c r="BB157" s="24" t="str">
        <f t="shared" si="17"/>
        <v/>
      </c>
      <c r="BC157" s="24">
        <f t="shared" si="17"/>
        <v>1</v>
      </c>
      <c r="BD157" s="24" t="str">
        <f t="shared" si="17"/>
        <v/>
      </c>
      <c r="BE157" s="24" t="str">
        <f t="shared" si="17"/>
        <v/>
      </c>
      <c r="BF157" s="24" t="str">
        <f t="shared" si="17"/>
        <v/>
      </c>
      <c r="BG157" s="24" t="str">
        <f t="shared" si="17"/>
        <v/>
      </c>
      <c r="BH157" s="24" t="str">
        <f t="shared" si="16"/>
        <v/>
      </c>
      <c r="BI157" s="24" t="str">
        <f t="shared" si="17"/>
        <v/>
      </c>
      <c r="BJ157" s="24" t="str">
        <f t="shared" si="18"/>
        <v/>
      </c>
    </row>
    <row r="158" spans="1:62" ht="15" customHeight="1" x14ac:dyDescent="0.25">
      <c r="A158" t="str">
        <f>"1972577385"</f>
        <v>1972577385</v>
      </c>
      <c r="B158" t="str">
        <f>"01860782"</f>
        <v>01860782</v>
      </c>
      <c r="C158" t="s">
        <v>3967</v>
      </c>
      <c r="D158" t="s">
        <v>3968</v>
      </c>
      <c r="E158" t="s">
        <v>3969</v>
      </c>
      <c r="G158" t="s">
        <v>699</v>
      </c>
      <c r="H158" t="s">
        <v>700</v>
      </c>
      <c r="J158" t="s">
        <v>701</v>
      </c>
      <c r="L158" t="s">
        <v>138</v>
      </c>
      <c r="M158" t="s">
        <v>108</v>
      </c>
      <c r="R158" t="s">
        <v>3970</v>
      </c>
      <c r="W158" t="s">
        <v>3967</v>
      </c>
      <c r="X158" t="s">
        <v>3971</v>
      </c>
      <c r="Y158" t="s">
        <v>3972</v>
      </c>
      <c r="Z158" t="s">
        <v>182</v>
      </c>
      <c r="AA158" t="str">
        <f>"18614-0417"</f>
        <v>18614-0417</v>
      </c>
      <c r="AB158" t="s">
        <v>123</v>
      </c>
      <c r="AC158" t="s">
        <v>113</v>
      </c>
      <c r="AD158" t="s">
        <v>108</v>
      </c>
      <c r="AE158" t="s">
        <v>114</v>
      </c>
      <c r="AF158" t="s">
        <v>115</v>
      </c>
      <c r="AG158" t="s">
        <v>116</v>
      </c>
      <c r="AK158" t="str">
        <f t="shared" si="15"/>
        <v/>
      </c>
      <c r="AL158" t="s">
        <v>3968</v>
      </c>
      <c r="AM158">
        <v>1</v>
      </c>
      <c r="AN158">
        <v>1</v>
      </c>
      <c r="AO158">
        <v>0</v>
      </c>
      <c r="AP158">
        <v>0</v>
      </c>
      <c r="AQ158">
        <v>0</v>
      </c>
      <c r="AR158">
        <v>0</v>
      </c>
      <c r="AS158">
        <v>0</v>
      </c>
      <c r="AT158">
        <v>0</v>
      </c>
      <c r="AU158">
        <v>0</v>
      </c>
      <c r="AV158">
        <v>1</v>
      </c>
      <c r="AW158">
        <v>0</v>
      </c>
      <c r="AX158" s="24" t="str">
        <f t="shared" si="13"/>
        <v/>
      </c>
      <c r="AY158" s="24">
        <f t="shared" si="13"/>
        <v>1</v>
      </c>
      <c r="AZ158" s="24" t="str">
        <f t="shared" si="17"/>
        <v/>
      </c>
      <c r="BA158" s="24" t="str">
        <f t="shared" si="17"/>
        <v/>
      </c>
      <c r="BB158" s="24" t="str">
        <f t="shared" si="17"/>
        <v/>
      </c>
      <c r="BC158" s="24" t="str">
        <f t="shared" si="17"/>
        <v/>
      </c>
      <c r="BD158" s="24" t="str">
        <f t="shared" si="17"/>
        <v/>
      </c>
      <c r="BE158" s="24" t="str">
        <f t="shared" si="17"/>
        <v/>
      </c>
      <c r="BF158" s="24" t="str">
        <f t="shared" si="17"/>
        <v/>
      </c>
      <c r="BG158" s="24" t="str">
        <f t="shared" si="17"/>
        <v/>
      </c>
      <c r="BH158" s="24" t="str">
        <f t="shared" si="16"/>
        <v/>
      </c>
      <c r="BI158" s="24">
        <f t="shared" si="17"/>
        <v>1</v>
      </c>
      <c r="BJ158" s="24" t="str">
        <f t="shared" si="18"/>
        <v/>
      </c>
    </row>
    <row r="159" spans="1:62" ht="15" customHeight="1" x14ac:dyDescent="0.25">
      <c r="A159" t="str">
        <f>"1881793529"</f>
        <v>1881793529</v>
      </c>
      <c r="B159" t="str">
        <f>"02326369"</f>
        <v>02326369</v>
      </c>
      <c r="C159" t="s">
        <v>3854</v>
      </c>
      <c r="D159" t="s">
        <v>3855</v>
      </c>
      <c r="E159" t="s">
        <v>3854</v>
      </c>
      <c r="L159" t="s">
        <v>442</v>
      </c>
      <c r="M159" t="s">
        <v>108</v>
      </c>
      <c r="R159" t="s">
        <v>3854</v>
      </c>
      <c r="W159" t="s">
        <v>3856</v>
      </c>
      <c r="X159" t="s">
        <v>3857</v>
      </c>
      <c r="Y159" t="s">
        <v>110</v>
      </c>
      <c r="Z159" t="s">
        <v>111</v>
      </c>
      <c r="AA159" t="str">
        <f>"13905-3103"</f>
        <v>13905-3103</v>
      </c>
      <c r="AB159" t="s">
        <v>123</v>
      </c>
      <c r="AC159" t="s">
        <v>113</v>
      </c>
      <c r="AD159" t="s">
        <v>108</v>
      </c>
      <c r="AE159" t="s">
        <v>114</v>
      </c>
      <c r="AF159" t="s">
        <v>115</v>
      </c>
      <c r="AG159" t="s">
        <v>116</v>
      </c>
      <c r="AK159" t="str">
        <f t="shared" si="15"/>
        <v/>
      </c>
      <c r="AL159" t="s">
        <v>3855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0</v>
      </c>
      <c r="AU159">
        <v>0</v>
      </c>
      <c r="AV159">
        <v>0</v>
      </c>
      <c r="AW159">
        <v>0</v>
      </c>
      <c r="AX159" s="24">
        <f t="shared" si="13"/>
        <v>1</v>
      </c>
      <c r="AY159" s="24" t="str">
        <f t="shared" si="13"/>
        <v/>
      </c>
      <c r="AZ159" s="24" t="str">
        <f t="shared" si="17"/>
        <v/>
      </c>
      <c r="BA159" s="24" t="str">
        <f t="shared" si="17"/>
        <v/>
      </c>
      <c r="BB159" s="24" t="str">
        <f t="shared" si="17"/>
        <v/>
      </c>
      <c r="BC159" s="24" t="str">
        <f t="shared" si="17"/>
        <v/>
      </c>
      <c r="BD159" s="24" t="str">
        <f t="shared" si="17"/>
        <v/>
      </c>
      <c r="BE159" s="24" t="str">
        <f t="shared" si="17"/>
        <v/>
      </c>
      <c r="BF159" s="24" t="str">
        <f t="shared" si="17"/>
        <v/>
      </c>
      <c r="BG159" s="24" t="str">
        <f t="shared" si="17"/>
        <v/>
      </c>
      <c r="BH159" s="24" t="str">
        <f t="shared" si="16"/>
        <v/>
      </c>
      <c r="BI159" s="24" t="str">
        <f t="shared" si="17"/>
        <v/>
      </c>
      <c r="BJ159" s="24" t="str">
        <f t="shared" si="18"/>
        <v/>
      </c>
    </row>
    <row r="160" spans="1:62" ht="15" customHeight="1" x14ac:dyDescent="0.25">
      <c r="A160" t="str">
        <f>"1699874461"</f>
        <v>1699874461</v>
      </c>
      <c r="B160" t="str">
        <f>"02503533"</f>
        <v>02503533</v>
      </c>
      <c r="C160" t="s">
        <v>1855</v>
      </c>
      <c r="D160" t="s">
        <v>1856</v>
      </c>
      <c r="E160" t="s">
        <v>1857</v>
      </c>
      <c r="G160" t="s">
        <v>815</v>
      </c>
      <c r="H160" t="s">
        <v>816</v>
      </c>
      <c r="J160" t="s">
        <v>817</v>
      </c>
      <c r="L160" t="s">
        <v>138</v>
      </c>
      <c r="M160" t="s">
        <v>108</v>
      </c>
      <c r="R160" t="s">
        <v>1855</v>
      </c>
      <c r="W160" t="s">
        <v>1858</v>
      </c>
      <c r="X160" t="s">
        <v>1754</v>
      </c>
      <c r="Y160" t="s">
        <v>110</v>
      </c>
      <c r="Z160" t="s">
        <v>111</v>
      </c>
      <c r="AA160" t="str">
        <f>"13905-2539"</f>
        <v>13905-2539</v>
      </c>
      <c r="AB160" t="s">
        <v>123</v>
      </c>
      <c r="AC160" t="s">
        <v>113</v>
      </c>
      <c r="AD160" t="s">
        <v>108</v>
      </c>
      <c r="AE160" t="s">
        <v>114</v>
      </c>
      <c r="AF160" t="s">
        <v>115</v>
      </c>
      <c r="AG160" t="s">
        <v>116</v>
      </c>
      <c r="AK160" t="str">
        <f t="shared" si="15"/>
        <v/>
      </c>
      <c r="AL160" t="s">
        <v>1856</v>
      </c>
      <c r="AM160">
        <v>1</v>
      </c>
      <c r="AN160">
        <v>1</v>
      </c>
      <c r="AO160">
        <v>0</v>
      </c>
      <c r="AP160">
        <v>1</v>
      </c>
      <c r="AQ160">
        <v>1</v>
      </c>
      <c r="AR160">
        <v>0</v>
      </c>
      <c r="AS160">
        <v>0</v>
      </c>
      <c r="AT160">
        <v>1</v>
      </c>
      <c r="AU160">
        <v>0</v>
      </c>
      <c r="AV160">
        <v>0</v>
      </c>
      <c r="AW160">
        <v>1</v>
      </c>
      <c r="AX160" s="24" t="str">
        <f t="shared" si="13"/>
        <v/>
      </c>
      <c r="AY160" s="24">
        <f t="shared" si="13"/>
        <v>1</v>
      </c>
      <c r="AZ160" s="24" t="str">
        <f t="shared" si="17"/>
        <v/>
      </c>
      <c r="BA160" s="24" t="str">
        <f t="shared" si="17"/>
        <v/>
      </c>
      <c r="BB160" s="24" t="str">
        <f t="shared" si="17"/>
        <v/>
      </c>
      <c r="BC160" s="24" t="str">
        <f t="shared" si="17"/>
        <v/>
      </c>
      <c r="BD160" s="24" t="str">
        <f t="shared" si="17"/>
        <v/>
      </c>
      <c r="BE160" s="24" t="str">
        <f t="shared" si="17"/>
        <v/>
      </c>
      <c r="BF160" s="24" t="str">
        <f t="shared" si="17"/>
        <v/>
      </c>
      <c r="BG160" s="24" t="str">
        <f t="shared" si="17"/>
        <v/>
      </c>
      <c r="BH160" s="24" t="str">
        <f t="shared" si="16"/>
        <v/>
      </c>
      <c r="BI160" s="24">
        <f t="shared" si="17"/>
        <v>1</v>
      </c>
      <c r="BJ160" s="24" t="str">
        <f t="shared" si="18"/>
        <v/>
      </c>
    </row>
    <row r="161" spans="1:62" ht="15" customHeight="1" x14ac:dyDescent="0.25">
      <c r="A161" t="str">
        <f>"1609186089"</f>
        <v>1609186089</v>
      </c>
      <c r="B161" t="str">
        <f>"03291518"</f>
        <v>03291518</v>
      </c>
      <c r="C161" t="s">
        <v>5441</v>
      </c>
      <c r="D161" t="s">
        <v>5442</v>
      </c>
      <c r="E161" t="s">
        <v>5443</v>
      </c>
      <c r="G161" t="s">
        <v>5441</v>
      </c>
      <c r="H161" t="s">
        <v>403</v>
      </c>
      <c r="J161" t="s">
        <v>5444</v>
      </c>
      <c r="L161" t="s">
        <v>138</v>
      </c>
      <c r="M161" t="s">
        <v>108</v>
      </c>
      <c r="R161" t="s">
        <v>5445</v>
      </c>
      <c r="W161" t="s">
        <v>5446</v>
      </c>
      <c r="X161" t="s">
        <v>412</v>
      </c>
      <c r="Y161" t="s">
        <v>110</v>
      </c>
      <c r="Z161" t="s">
        <v>111</v>
      </c>
      <c r="AA161" t="str">
        <f>"13903-1651"</f>
        <v>13903-1651</v>
      </c>
      <c r="AB161" t="s">
        <v>123</v>
      </c>
      <c r="AC161" t="s">
        <v>113</v>
      </c>
      <c r="AD161" t="s">
        <v>108</v>
      </c>
      <c r="AE161" t="s">
        <v>114</v>
      </c>
      <c r="AF161" t="s">
        <v>115</v>
      </c>
      <c r="AG161" t="s">
        <v>116</v>
      </c>
      <c r="AK161" t="str">
        <f t="shared" si="15"/>
        <v/>
      </c>
      <c r="AL161" t="s">
        <v>5442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0</v>
      </c>
      <c r="AU161">
        <v>0</v>
      </c>
      <c r="AV161">
        <v>0</v>
      </c>
      <c r="AW161">
        <v>0</v>
      </c>
      <c r="AX161" s="24" t="str">
        <f t="shared" si="13"/>
        <v/>
      </c>
      <c r="AY161" s="24">
        <f t="shared" si="13"/>
        <v>1</v>
      </c>
      <c r="AZ161" s="24" t="str">
        <f t="shared" si="17"/>
        <v/>
      </c>
      <c r="BA161" s="24" t="str">
        <f t="shared" si="17"/>
        <v/>
      </c>
      <c r="BB161" s="24" t="str">
        <f t="shared" si="17"/>
        <v/>
      </c>
      <c r="BC161" s="24" t="str">
        <f t="shared" si="17"/>
        <v/>
      </c>
      <c r="BD161" s="24" t="str">
        <f t="shared" si="17"/>
        <v/>
      </c>
      <c r="BE161" s="24" t="str">
        <f t="shared" si="17"/>
        <v/>
      </c>
      <c r="BF161" s="24" t="str">
        <f t="shared" si="17"/>
        <v/>
      </c>
      <c r="BG161" s="24" t="str">
        <f t="shared" si="17"/>
        <v/>
      </c>
      <c r="BH161" s="24" t="str">
        <f t="shared" si="16"/>
        <v/>
      </c>
      <c r="BI161" s="24">
        <f t="shared" si="17"/>
        <v>1</v>
      </c>
      <c r="BJ161" s="24" t="str">
        <f t="shared" si="18"/>
        <v/>
      </c>
    </row>
    <row r="162" spans="1:62" ht="15" customHeight="1" x14ac:dyDescent="0.25">
      <c r="A162" t="str">
        <f>"1326596917"</f>
        <v>1326596917</v>
      </c>
      <c r="B162" t="str">
        <f>"04574498"</f>
        <v>04574498</v>
      </c>
      <c r="C162" t="s">
        <v>6569</v>
      </c>
      <c r="D162" t="s">
        <v>6570</v>
      </c>
      <c r="E162" t="s">
        <v>6571</v>
      </c>
      <c r="G162" t="s">
        <v>6302</v>
      </c>
      <c r="H162" t="s">
        <v>3155</v>
      </c>
      <c r="J162" t="s">
        <v>6303</v>
      </c>
      <c r="L162" t="s">
        <v>247</v>
      </c>
      <c r="M162" t="s">
        <v>108</v>
      </c>
      <c r="R162" t="s">
        <v>6572</v>
      </c>
      <c r="W162" t="s">
        <v>6571</v>
      </c>
      <c r="AB162" t="s">
        <v>123</v>
      </c>
      <c r="AC162" t="s">
        <v>113</v>
      </c>
      <c r="AD162" t="s">
        <v>108</v>
      </c>
      <c r="AE162" t="s">
        <v>114</v>
      </c>
      <c r="AF162" t="s">
        <v>142</v>
      </c>
      <c r="AG162" t="s">
        <v>116</v>
      </c>
      <c r="AK162" t="str">
        <f t="shared" si="15"/>
        <v>Bryan Powell</v>
      </c>
      <c r="AL162" t="s">
        <v>6570</v>
      </c>
      <c r="AM162" t="s">
        <v>108</v>
      </c>
      <c r="AN162" t="s">
        <v>108</v>
      </c>
      <c r="AO162" t="s">
        <v>108</v>
      </c>
      <c r="AP162" t="s">
        <v>108</v>
      </c>
      <c r="AQ162" t="s">
        <v>108</v>
      </c>
      <c r="AR162" t="s">
        <v>108</v>
      </c>
      <c r="AS162" t="s">
        <v>108</v>
      </c>
      <c r="AT162" t="s">
        <v>108</v>
      </c>
      <c r="AU162">
        <v>0</v>
      </c>
      <c r="AV162" t="s">
        <v>108</v>
      </c>
      <c r="AW162" t="s">
        <v>108</v>
      </c>
      <c r="AX162" s="24" t="str">
        <f t="shared" si="13"/>
        <v/>
      </c>
      <c r="AY162" s="24">
        <f t="shared" si="13"/>
        <v>1</v>
      </c>
      <c r="AZ162" s="24" t="str">
        <f t="shared" si="17"/>
        <v/>
      </c>
      <c r="BA162" s="24" t="str">
        <f t="shared" si="17"/>
        <v/>
      </c>
      <c r="BB162" s="24" t="str">
        <f t="shared" si="17"/>
        <v/>
      </c>
      <c r="BC162" s="24" t="str">
        <f t="shared" si="17"/>
        <v/>
      </c>
      <c r="BD162" s="24" t="str">
        <f t="shared" si="17"/>
        <v/>
      </c>
      <c r="BE162" s="24" t="str">
        <f t="shared" si="17"/>
        <v/>
      </c>
      <c r="BF162" s="24" t="str">
        <f t="shared" si="17"/>
        <v/>
      </c>
      <c r="BG162" s="24" t="str">
        <f t="shared" si="17"/>
        <v/>
      </c>
      <c r="BH162" s="24" t="str">
        <f t="shared" si="16"/>
        <v/>
      </c>
      <c r="BI162" s="24" t="str">
        <f t="shared" si="17"/>
        <v/>
      </c>
      <c r="BJ162" s="24" t="str">
        <f t="shared" si="18"/>
        <v/>
      </c>
    </row>
    <row r="163" spans="1:62" ht="15" customHeight="1" x14ac:dyDescent="0.25">
      <c r="A163" t="str">
        <f>"1083618672"</f>
        <v>1083618672</v>
      </c>
      <c r="B163" t="str">
        <f>"01183233"</f>
        <v>01183233</v>
      </c>
      <c r="C163" t="s">
        <v>6857</v>
      </c>
      <c r="D163" t="s">
        <v>7152</v>
      </c>
      <c r="E163" t="s">
        <v>7010</v>
      </c>
      <c r="G163" t="s">
        <v>7189</v>
      </c>
      <c r="H163" t="s">
        <v>7190</v>
      </c>
      <c r="I163">
        <v>115</v>
      </c>
      <c r="J163" t="s">
        <v>7191</v>
      </c>
      <c r="L163" t="s">
        <v>289</v>
      </c>
      <c r="M163" t="s">
        <v>139</v>
      </c>
      <c r="R163" t="s">
        <v>6857</v>
      </c>
      <c r="W163" t="s">
        <v>7010</v>
      </c>
      <c r="X163" t="s">
        <v>7011</v>
      </c>
      <c r="Y163" t="s">
        <v>7012</v>
      </c>
      <c r="Z163" t="s">
        <v>111</v>
      </c>
      <c r="AA163" t="str">
        <f>"14226-1900"</f>
        <v>14226-1900</v>
      </c>
      <c r="AB163" t="s">
        <v>282</v>
      </c>
      <c r="AC163" t="s">
        <v>113</v>
      </c>
      <c r="AD163" t="s">
        <v>108</v>
      </c>
      <c r="AE163" t="s">
        <v>114</v>
      </c>
      <c r="AF163" t="s">
        <v>142</v>
      </c>
      <c r="AG163" t="s">
        <v>116</v>
      </c>
      <c r="AK163" t="str">
        <f t="shared" si="15"/>
        <v/>
      </c>
      <c r="AL163" t="s">
        <v>7152</v>
      </c>
      <c r="AM163">
        <v>1</v>
      </c>
      <c r="AN163" t="s">
        <v>108</v>
      </c>
      <c r="AO163" t="s">
        <v>108</v>
      </c>
      <c r="AP163" t="s">
        <v>108</v>
      </c>
      <c r="AQ163">
        <v>1</v>
      </c>
      <c r="AR163">
        <v>1</v>
      </c>
      <c r="AS163" t="s">
        <v>108</v>
      </c>
      <c r="AT163" t="s">
        <v>108</v>
      </c>
      <c r="AU163">
        <v>0</v>
      </c>
      <c r="AV163" t="s">
        <v>108</v>
      </c>
      <c r="AW163" t="s">
        <v>108</v>
      </c>
      <c r="AX163" s="24" t="str">
        <f t="shared" si="13"/>
        <v/>
      </c>
      <c r="AY163" s="24" t="str">
        <f t="shared" si="13"/>
        <v/>
      </c>
      <c r="AZ163" s="24" t="str">
        <f t="shared" si="17"/>
        <v/>
      </c>
      <c r="BA163" s="24" t="str">
        <f t="shared" si="17"/>
        <v/>
      </c>
      <c r="BB163" s="24" t="str">
        <f t="shared" si="17"/>
        <v/>
      </c>
      <c r="BC163" s="24" t="str">
        <f t="shared" si="17"/>
        <v/>
      </c>
      <c r="BD163" s="24">
        <f t="shared" si="17"/>
        <v>1</v>
      </c>
      <c r="BE163" s="24" t="str">
        <f t="shared" si="17"/>
        <v/>
      </c>
      <c r="BF163" s="24" t="str">
        <f t="shared" si="17"/>
        <v/>
      </c>
      <c r="BG163" s="24" t="str">
        <f t="shared" si="17"/>
        <v/>
      </c>
      <c r="BH163" s="24" t="str">
        <f t="shared" si="16"/>
        <v/>
      </c>
      <c r="BI163" s="24">
        <f t="shared" si="17"/>
        <v>1</v>
      </c>
      <c r="BJ163" s="24" t="str">
        <f t="shared" si="18"/>
        <v/>
      </c>
    </row>
    <row r="164" spans="1:62" ht="15" customHeight="1" x14ac:dyDescent="0.25">
      <c r="A164" t="str">
        <f>"1205059706"</f>
        <v>1205059706</v>
      </c>
      <c r="C164" t="s">
        <v>785</v>
      </c>
      <c r="G164" t="s">
        <v>786</v>
      </c>
      <c r="H164" t="s">
        <v>787</v>
      </c>
      <c r="J164" t="s">
        <v>788</v>
      </c>
      <c r="K164" t="s">
        <v>68</v>
      </c>
      <c r="L164" t="s">
        <v>247</v>
      </c>
      <c r="M164" t="s">
        <v>108</v>
      </c>
      <c r="R164" t="s">
        <v>785</v>
      </c>
      <c r="S164" t="s">
        <v>789</v>
      </c>
      <c r="T164" t="s">
        <v>239</v>
      </c>
      <c r="U164" t="s">
        <v>111</v>
      </c>
      <c r="V164" t="str">
        <f>"130458729"</f>
        <v>130458729</v>
      </c>
      <c r="AC164" t="s">
        <v>113</v>
      </c>
      <c r="AD164" t="s">
        <v>108</v>
      </c>
      <c r="AE164" t="s">
        <v>775</v>
      </c>
      <c r="AF164" t="s">
        <v>124</v>
      </c>
      <c r="AG164" t="s">
        <v>116</v>
      </c>
      <c r="AK164" t="str">
        <f t="shared" si="15"/>
        <v>BUMP HANS MR.</v>
      </c>
      <c r="AM164" t="s">
        <v>108</v>
      </c>
      <c r="AN164" t="s">
        <v>108</v>
      </c>
      <c r="AO164" t="s">
        <v>108</v>
      </c>
      <c r="AP164" t="s">
        <v>108</v>
      </c>
      <c r="AQ164" t="s">
        <v>108</v>
      </c>
      <c r="AR164" t="s">
        <v>108</v>
      </c>
      <c r="AS164" t="s">
        <v>108</v>
      </c>
      <c r="AT164" t="s">
        <v>108</v>
      </c>
      <c r="AU164">
        <v>0</v>
      </c>
      <c r="AV164" t="s">
        <v>108</v>
      </c>
      <c r="AW164" t="s">
        <v>108</v>
      </c>
      <c r="AX164" s="24" t="str">
        <f t="shared" si="13"/>
        <v/>
      </c>
      <c r="AY164" s="24">
        <f t="shared" si="13"/>
        <v>1</v>
      </c>
      <c r="AZ164" s="24" t="str">
        <f t="shared" si="17"/>
        <v/>
      </c>
      <c r="BA164" s="24" t="str">
        <f t="shared" si="17"/>
        <v/>
      </c>
      <c r="BB164" s="24" t="str">
        <f t="shared" si="17"/>
        <v/>
      </c>
      <c r="BC164" s="24" t="str">
        <f t="shared" si="17"/>
        <v/>
      </c>
      <c r="BD164" s="24" t="str">
        <f t="shared" si="17"/>
        <v/>
      </c>
      <c r="BE164" s="24" t="str">
        <f t="shared" si="17"/>
        <v/>
      </c>
      <c r="BF164" s="24" t="str">
        <f t="shared" si="17"/>
        <v/>
      </c>
      <c r="BG164" s="24" t="str">
        <f t="shared" si="17"/>
        <v/>
      </c>
      <c r="BH164" s="24" t="str">
        <f t="shared" si="16"/>
        <v/>
      </c>
      <c r="BI164" s="24" t="str">
        <f t="shared" si="17"/>
        <v/>
      </c>
      <c r="BJ164" s="24" t="str">
        <f t="shared" si="18"/>
        <v/>
      </c>
    </row>
    <row r="165" spans="1:62" ht="15" customHeight="1" x14ac:dyDescent="0.25">
      <c r="A165" t="str">
        <f>"1952695868"</f>
        <v>1952695868</v>
      </c>
      <c r="B165" t="str">
        <f>"03944901"</f>
        <v>03944901</v>
      </c>
      <c r="C165" t="s">
        <v>6775</v>
      </c>
      <c r="D165" t="s">
        <v>7047</v>
      </c>
      <c r="E165" t="s">
        <v>6903</v>
      </c>
      <c r="G165" t="s">
        <v>7184</v>
      </c>
      <c r="H165" t="s">
        <v>2379</v>
      </c>
      <c r="J165" t="s">
        <v>7185</v>
      </c>
      <c r="L165" t="s">
        <v>120</v>
      </c>
      <c r="M165" t="s">
        <v>108</v>
      </c>
      <c r="R165" t="s">
        <v>6775</v>
      </c>
      <c r="W165" t="s">
        <v>6903</v>
      </c>
      <c r="X165" t="s">
        <v>2382</v>
      </c>
      <c r="Y165" t="s">
        <v>979</v>
      </c>
      <c r="Z165" t="s">
        <v>111</v>
      </c>
      <c r="AA165" t="str">
        <f>"13760-3646"</f>
        <v>13760-3646</v>
      </c>
      <c r="AB165" t="s">
        <v>123</v>
      </c>
      <c r="AC165" t="s">
        <v>113</v>
      </c>
      <c r="AD165" t="s">
        <v>108</v>
      </c>
      <c r="AE165" t="s">
        <v>114</v>
      </c>
      <c r="AF165" t="s">
        <v>115</v>
      </c>
      <c r="AG165" t="s">
        <v>116</v>
      </c>
      <c r="AK165" t="str">
        <f t="shared" si="15"/>
        <v>BURFORD CAITLYN DR.</v>
      </c>
      <c r="AL165" t="s">
        <v>7047</v>
      </c>
      <c r="AM165" t="s">
        <v>108</v>
      </c>
      <c r="AN165" t="s">
        <v>108</v>
      </c>
      <c r="AO165" t="s">
        <v>108</v>
      </c>
      <c r="AP165" t="s">
        <v>108</v>
      </c>
      <c r="AQ165" t="s">
        <v>108</v>
      </c>
      <c r="AR165" t="s">
        <v>108</v>
      </c>
      <c r="AS165" t="s">
        <v>108</v>
      </c>
      <c r="AT165" t="s">
        <v>108</v>
      </c>
      <c r="AU165">
        <v>0</v>
      </c>
      <c r="AV165" t="s">
        <v>108</v>
      </c>
      <c r="AW165" t="s">
        <v>108</v>
      </c>
      <c r="AX165" s="24">
        <f t="shared" si="13"/>
        <v>1</v>
      </c>
      <c r="AY165" s="24" t="str">
        <f t="shared" si="13"/>
        <v/>
      </c>
      <c r="AZ165" s="24" t="str">
        <f t="shared" si="17"/>
        <v/>
      </c>
      <c r="BA165" s="24" t="str">
        <f t="shared" si="17"/>
        <v/>
      </c>
      <c r="BB165" s="24" t="str">
        <f t="shared" si="17"/>
        <v/>
      </c>
      <c r="BC165" s="24" t="str">
        <f t="shared" si="17"/>
        <v/>
      </c>
      <c r="BD165" s="24" t="str">
        <f t="shared" si="17"/>
        <v/>
      </c>
      <c r="BE165" s="24" t="str">
        <f t="shared" si="17"/>
        <v/>
      </c>
      <c r="BF165" s="24" t="str">
        <f t="shared" si="17"/>
        <v/>
      </c>
      <c r="BG165" s="24" t="str">
        <f t="shared" si="17"/>
        <v/>
      </c>
      <c r="BH165" s="24" t="str">
        <f t="shared" si="16"/>
        <v/>
      </c>
      <c r="BI165" s="24">
        <f t="shared" si="17"/>
        <v>1</v>
      </c>
      <c r="BJ165" s="24" t="str">
        <f t="shared" si="18"/>
        <v/>
      </c>
    </row>
    <row r="166" spans="1:62" ht="15" customHeight="1" x14ac:dyDescent="0.25">
      <c r="A166" t="str">
        <f>"1205873387"</f>
        <v>1205873387</v>
      </c>
      <c r="B166" t="str">
        <f>"02382043"</f>
        <v>02382043</v>
      </c>
      <c r="C166" t="s">
        <v>4083</v>
      </c>
      <c r="D166" t="s">
        <v>4084</v>
      </c>
      <c r="E166" t="s">
        <v>4085</v>
      </c>
      <c r="L166" t="s">
        <v>6867</v>
      </c>
      <c r="M166" t="s">
        <v>108</v>
      </c>
      <c r="R166" t="s">
        <v>4083</v>
      </c>
      <c r="W166" t="s">
        <v>4085</v>
      </c>
      <c r="X166" t="s">
        <v>4086</v>
      </c>
      <c r="Y166" t="s">
        <v>129</v>
      </c>
      <c r="Z166" t="s">
        <v>111</v>
      </c>
      <c r="AA166" t="str">
        <f>"13790-2107"</f>
        <v>13790-2107</v>
      </c>
      <c r="AB166" t="s">
        <v>2027</v>
      </c>
      <c r="AC166" t="s">
        <v>113</v>
      </c>
      <c r="AD166" t="s">
        <v>108</v>
      </c>
      <c r="AE166" t="s">
        <v>114</v>
      </c>
      <c r="AF166" t="s">
        <v>115</v>
      </c>
      <c r="AG166" t="s">
        <v>116</v>
      </c>
      <c r="AK166" t="str">
        <f t="shared" si="15"/>
        <v/>
      </c>
      <c r="AL166" t="s">
        <v>4084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0</v>
      </c>
      <c r="AX166" s="24">
        <f t="shared" si="13"/>
        <v>1</v>
      </c>
      <c r="AY166" s="24">
        <f t="shared" si="13"/>
        <v>1</v>
      </c>
      <c r="AZ166" s="24" t="str">
        <f t="shared" si="17"/>
        <v/>
      </c>
      <c r="BA166" s="24" t="str">
        <f t="shared" si="17"/>
        <v/>
      </c>
      <c r="BB166" s="24" t="str">
        <f t="shared" si="17"/>
        <v/>
      </c>
      <c r="BC166" s="24" t="str">
        <f t="shared" si="17"/>
        <v/>
      </c>
      <c r="BD166" s="24" t="str">
        <f t="shared" si="17"/>
        <v/>
      </c>
      <c r="BE166" s="24" t="str">
        <f t="shared" si="17"/>
        <v/>
      </c>
      <c r="BF166" s="24" t="str">
        <f t="shared" ref="AZ166:BI192" si="19">IF(ISERROR(FIND(BF$1,$L166,1)),"",1)</f>
        <v/>
      </c>
      <c r="BG166" s="24" t="str">
        <f t="shared" si="19"/>
        <v/>
      </c>
      <c r="BH166" s="24" t="str">
        <f t="shared" si="16"/>
        <v/>
      </c>
      <c r="BI166" s="24">
        <f t="shared" si="19"/>
        <v>1</v>
      </c>
      <c r="BJ166" s="24" t="str">
        <f t="shared" si="18"/>
        <v/>
      </c>
    </row>
    <row r="167" spans="1:62" ht="15" customHeight="1" x14ac:dyDescent="0.25">
      <c r="A167" t="str">
        <f>"1235287749"</f>
        <v>1235287749</v>
      </c>
      <c r="B167" t="str">
        <f>"01823578"</f>
        <v>01823578</v>
      </c>
      <c r="C167" t="s">
        <v>4094</v>
      </c>
      <c r="D167" t="s">
        <v>4095</v>
      </c>
      <c r="E167" t="s">
        <v>4096</v>
      </c>
      <c r="L167" t="s">
        <v>133</v>
      </c>
      <c r="M167" t="s">
        <v>108</v>
      </c>
      <c r="R167" t="s">
        <v>4094</v>
      </c>
      <c r="W167" t="s">
        <v>4096</v>
      </c>
      <c r="X167" t="s">
        <v>327</v>
      </c>
      <c r="Y167" t="s">
        <v>122</v>
      </c>
      <c r="Z167" t="s">
        <v>111</v>
      </c>
      <c r="AA167" t="str">
        <f>"13815-1097"</f>
        <v>13815-1097</v>
      </c>
      <c r="AB167" t="s">
        <v>123</v>
      </c>
      <c r="AC167" t="s">
        <v>113</v>
      </c>
      <c r="AD167" t="s">
        <v>108</v>
      </c>
      <c r="AE167" t="s">
        <v>114</v>
      </c>
      <c r="AF167" t="s">
        <v>124</v>
      </c>
      <c r="AG167" t="s">
        <v>116</v>
      </c>
      <c r="AK167" t="str">
        <f t="shared" si="15"/>
        <v>BURKE PATRICIA</v>
      </c>
      <c r="AL167" t="s">
        <v>4095</v>
      </c>
      <c r="AM167" t="s">
        <v>108</v>
      </c>
      <c r="AN167" t="s">
        <v>108</v>
      </c>
      <c r="AO167" t="s">
        <v>108</v>
      </c>
      <c r="AP167" t="s">
        <v>108</v>
      </c>
      <c r="AQ167" t="s">
        <v>108</v>
      </c>
      <c r="AR167" t="s">
        <v>108</v>
      </c>
      <c r="AS167" t="s">
        <v>108</v>
      </c>
      <c r="AT167" t="s">
        <v>108</v>
      </c>
      <c r="AU167">
        <v>0</v>
      </c>
      <c r="AV167" t="s">
        <v>108</v>
      </c>
      <c r="AW167" t="s">
        <v>108</v>
      </c>
      <c r="AX167" s="24" t="str">
        <f t="shared" si="13"/>
        <v/>
      </c>
      <c r="AY167" s="24" t="str">
        <f t="shared" si="13"/>
        <v/>
      </c>
      <c r="AZ167" s="24" t="str">
        <f t="shared" si="19"/>
        <v/>
      </c>
      <c r="BA167" s="24" t="str">
        <f t="shared" si="19"/>
        <v/>
      </c>
      <c r="BB167" s="24" t="str">
        <f t="shared" si="19"/>
        <v/>
      </c>
      <c r="BC167" s="24" t="str">
        <f t="shared" si="19"/>
        <v/>
      </c>
      <c r="BD167" s="24" t="str">
        <f t="shared" si="19"/>
        <v/>
      </c>
      <c r="BE167" s="24" t="str">
        <f t="shared" si="19"/>
        <v/>
      </c>
      <c r="BF167" s="24" t="str">
        <f t="shared" si="19"/>
        <v/>
      </c>
      <c r="BG167" s="24" t="str">
        <f t="shared" si="19"/>
        <v/>
      </c>
      <c r="BH167" s="24" t="str">
        <f t="shared" si="16"/>
        <v/>
      </c>
      <c r="BI167" s="24" t="str">
        <f t="shared" si="19"/>
        <v/>
      </c>
      <c r="BJ167" s="24">
        <f t="shared" si="18"/>
        <v>1</v>
      </c>
    </row>
    <row r="168" spans="1:62" ht="15" customHeight="1" x14ac:dyDescent="0.25">
      <c r="A168" t="str">
        <f>"1073612875"</f>
        <v>1073612875</v>
      </c>
      <c r="B168" t="str">
        <f>"02775813"</f>
        <v>02775813</v>
      </c>
      <c r="C168" t="s">
        <v>3296</v>
      </c>
      <c r="D168" t="s">
        <v>3297</v>
      </c>
      <c r="E168" t="s">
        <v>3298</v>
      </c>
      <c r="G168" t="s">
        <v>815</v>
      </c>
      <c r="J168" t="s">
        <v>817</v>
      </c>
      <c r="L168" t="s">
        <v>6867</v>
      </c>
      <c r="M168" t="s">
        <v>108</v>
      </c>
      <c r="R168" t="s">
        <v>3296</v>
      </c>
      <c r="W168" t="s">
        <v>3298</v>
      </c>
      <c r="X168" t="s">
        <v>3299</v>
      </c>
      <c r="Y168" t="s">
        <v>281</v>
      </c>
      <c r="Z168" t="s">
        <v>111</v>
      </c>
      <c r="AA168" t="str">
        <f>"13827-1620"</f>
        <v>13827-1620</v>
      </c>
      <c r="AB168" t="s">
        <v>123</v>
      </c>
      <c r="AC168" t="s">
        <v>113</v>
      </c>
      <c r="AD168" t="s">
        <v>108</v>
      </c>
      <c r="AE168" t="s">
        <v>114</v>
      </c>
      <c r="AF168" t="s">
        <v>115</v>
      </c>
      <c r="AG168" t="s">
        <v>116</v>
      </c>
      <c r="AK168" t="str">
        <f t="shared" si="15"/>
        <v/>
      </c>
      <c r="AL168" t="s">
        <v>3297</v>
      </c>
      <c r="AM168">
        <v>1</v>
      </c>
      <c r="AN168">
        <v>1</v>
      </c>
      <c r="AO168">
        <v>0</v>
      </c>
      <c r="AP168">
        <v>1</v>
      </c>
      <c r="AQ168">
        <v>1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0</v>
      </c>
      <c r="AX168" s="24">
        <f t="shared" ref="AX168:AY231" si="20">IF(ISERROR(FIND(AX$1,$L168,1)),"",1)</f>
        <v>1</v>
      </c>
      <c r="AY168" s="24">
        <f t="shared" si="20"/>
        <v>1</v>
      </c>
      <c r="AZ168" s="24" t="str">
        <f t="shared" si="19"/>
        <v/>
      </c>
      <c r="BA168" s="24" t="str">
        <f t="shared" si="19"/>
        <v/>
      </c>
      <c r="BB168" s="24" t="str">
        <f t="shared" si="19"/>
        <v/>
      </c>
      <c r="BC168" s="24" t="str">
        <f t="shared" si="19"/>
        <v/>
      </c>
      <c r="BD168" s="24" t="str">
        <f t="shared" si="19"/>
        <v/>
      </c>
      <c r="BE168" s="24" t="str">
        <f t="shared" si="19"/>
        <v/>
      </c>
      <c r="BF168" s="24" t="str">
        <f t="shared" si="19"/>
        <v/>
      </c>
      <c r="BG168" s="24" t="str">
        <f t="shared" si="19"/>
        <v/>
      </c>
      <c r="BH168" s="24" t="str">
        <f t="shared" si="16"/>
        <v/>
      </c>
      <c r="BI168" s="24">
        <f t="shared" si="19"/>
        <v>1</v>
      </c>
      <c r="BJ168" s="24" t="str">
        <f t="shared" si="18"/>
        <v/>
      </c>
    </row>
    <row r="169" spans="1:62" ht="15" customHeight="1" x14ac:dyDescent="0.25">
      <c r="A169" t="str">
        <f>"1992789192"</f>
        <v>1992789192</v>
      </c>
      <c r="B169" t="str">
        <f>"02687709"</f>
        <v>02687709</v>
      </c>
      <c r="C169" t="s">
        <v>484</v>
      </c>
      <c r="D169" t="s">
        <v>485</v>
      </c>
      <c r="E169" t="s">
        <v>486</v>
      </c>
      <c r="G169" t="s">
        <v>177</v>
      </c>
      <c r="H169" t="s">
        <v>178</v>
      </c>
      <c r="J169" t="s">
        <v>179</v>
      </c>
      <c r="L169" t="s">
        <v>247</v>
      </c>
      <c r="M169" t="s">
        <v>108</v>
      </c>
      <c r="R169" t="s">
        <v>484</v>
      </c>
      <c r="W169" t="s">
        <v>486</v>
      </c>
      <c r="X169" t="s">
        <v>186</v>
      </c>
      <c r="Y169" t="s">
        <v>181</v>
      </c>
      <c r="Z169" t="s">
        <v>182</v>
      </c>
      <c r="AA169" t="str">
        <f>"18840-2105"</f>
        <v>18840-2105</v>
      </c>
      <c r="AB169" t="s">
        <v>123</v>
      </c>
      <c r="AC169" t="s">
        <v>113</v>
      </c>
      <c r="AD169" t="s">
        <v>108</v>
      </c>
      <c r="AE169" t="s">
        <v>114</v>
      </c>
      <c r="AF169" t="s">
        <v>115</v>
      </c>
      <c r="AG169" t="s">
        <v>116</v>
      </c>
      <c r="AK169" t="str">
        <f t="shared" si="15"/>
        <v/>
      </c>
      <c r="AL169" t="s">
        <v>485</v>
      </c>
      <c r="AM169">
        <v>1</v>
      </c>
      <c r="AN169">
        <v>1</v>
      </c>
      <c r="AO169">
        <v>0</v>
      </c>
      <c r="AP169">
        <v>0</v>
      </c>
      <c r="AQ169">
        <v>0</v>
      </c>
      <c r="AR169">
        <v>0</v>
      </c>
      <c r="AS169">
        <v>0</v>
      </c>
      <c r="AT169">
        <v>0</v>
      </c>
      <c r="AU169">
        <v>0</v>
      </c>
      <c r="AV169">
        <v>1</v>
      </c>
      <c r="AW169">
        <v>0</v>
      </c>
      <c r="AX169" s="24" t="str">
        <f t="shared" si="20"/>
        <v/>
      </c>
      <c r="AY169" s="24">
        <f t="shared" si="20"/>
        <v>1</v>
      </c>
      <c r="AZ169" s="24" t="str">
        <f t="shared" si="19"/>
        <v/>
      </c>
      <c r="BA169" s="24" t="str">
        <f t="shared" si="19"/>
        <v/>
      </c>
      <c r="BB169" s="24" t="str">
        <f t="shared" si="19"/>
        <v/>
      </c>
      <c r="BC169" s="24" t="str">
        <f t="shared" si="19"/>
        <v/>
      </c>
      <c r="BD169" s="24" t="str">
        <f t="shared" si="19"/>
        <v/>
      </c>
      <c r="BE169" s="24" t="str">
        <f t="shared" si="19"/>
        <v/>
      </c>
      <c r="BF169" s="24" t="str">
        <f t="shared" si="19"/>
        <v/>
      </c>
      <c r="BG169" s="24" t="str">
        <f t="shared" si="19"/>
        <v/>
      </c>
      <c r="BH169" s="24" t="str">
        <f t="shared" si="16"/>
        <v/>
      </c>
      <c r="BI169" s="24" t="str">
        <f t="shared" si="19"/>
        <v/>
      </c>
      <c r="BJ169" s="24" t="str">
        <f t="shared" si="18"/>
        <v/>
      </c>
    </row>
    <row r="170" spans="1:62" ht="15" customHeight="1" x14ac:dyDescent="0.25">
      <c r="A170" t="str">
        <f>"1366410524"</f>
        <v>1366410524</v>
      </c>
      <c r="B170" t="str">
        <f>"02730207"</f>
        <v>02730207</v>
      </c>
      <c r="C170" t="s">
        <v>5126</v>
      </c>
      <c r="D170" t="s">
        <v>5127</v>
      </c>
      <c r="E170" t="s">
        <v>5128</v>
      </c>
      <c r="L170" t="s">
        <v>247</v>
      </c>
      <c r="M170" t="s">
        <v>108</v>
      </c>
      <c r="R170" t="s">
        <v>5126</v>
      </c>
      <c r="W170" t="s">
        <v>5129</v>
      </c>
      <c r="X170" t="s">
        <v>798</v>
      </c>
      <c r="Y170" t="s">
        <v>110</v>
      </c>
      <c r="Z170" t="s">
        <v>111</v>
      </c>
      <c r="AA170" t="str">
        <f>"13901-1293"</f>
        <v>13901-1293</v>
      </c>
      <c r="AB170" t="s">
        <v>1000</v>
      </c>
      <c r="AC170" t="s">
        <v>113</v>
      </c>
      <c r="AD170" t="s">
        <v>108</v>
      </c>
      <c r="AE170" t="s">
        <v>114</v>
      </c>
      <c r="AF170" t="s">
        <v>115</v>
      </c>
      <c r="AG170" t="s">
        <v>116</v>
      </c>
      <c r="AK170" t="str">
        <f t="shared" si="15"/>
        <v/>
      </c>
      <c r="AL170" t="s">
        <v>5127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  <c r="AS170">
        <v>0</v>
      </c>
      <c r="AT170">
        <v>0</v>
      </c>
      <c r="AU170">
        <v>0</v>
      </c>
      <c r="AV170">
        <v>0</v>
      </c>
      <c r="AW170">
        <v>0</v>
      </c>
      <c r="AX170" s="24" t="str">
        <f t="shared" si="20"/>
        <v/>
      </c>
      <c r="AY170" s="24">
        <f t="shared" si="20"/>
        <v>1</v>
      </c>
      <c r="AZ170" s="24" t="str">
        <f t="shared" si="19"/>
        <v/>
      </c>
      <c r="BA170" s="24" t="str">
        <f t="shared" si="19"/>
        <v/>
      </c>
      <c r="BB170" s="24" t="str">
        <f t="shared" si="19"/>
        <v/>
      </c>
      <c r="BC170" s="24" t="str">
        <f t="shared" si="19"/>
        <v/>
      </c>
      <c r="BD170" s="24" t="str">
        <f t="shared" si="19"/>
        <v/>
      </c>
      <c r="BE170" s="24" t="str">
        <f t="shared" si="19"/>
        <v/>
      </c>
      <c r="BF170" s="24" t="str">
        <f t="shared" si="19"/>
        <v/>
      </c>
      <c r="BG170" s="24" t="str">
        <f t="shared" si="19"/>
        <v/>
      </c>
      <c r="BH170" s="24" t="str">
        <f t="shared" si="16"/>
        <v/>
      </c>
      <c r="BI170" s="24" t="str">
        <f t="shared" si="19"/>
        <v/>
      </c>
      <c r="BJ170" s="24" t="str">
        <f t="shared" si="18"/>
        <v/>
      </c>
    </row>
    <row r="171" spans="1:62" ht="15" customHeight="1" x14ac:dyDescent="0.25">
      <c r="A171" t="str">
        <f>"1033449384"</f>
        <v>1033449384</v>
      </c>
      <c r="B171" t="str">
        <f>"03733117"</f>
        <v>03733117</v>
      </c>
      <c r="C171" t="s">
        <v>6835</v>
      </c>
      <c r="D171" t="s">
        <v>7123</v>
      </c>
      <c r="E171" t="s">
        <v>6980</v>
      </c>
      <c r="G171" t="s">
        <v>815</v>
      </c>
      <c r="H171" t="s">
        <v>816</v>
      </c>
      <c r="J171" t="s">
        <v>817</v>
      </c>
      <c r="L171" t="s">
        <v>120</v>
      </c>
      <c r="M171" t="s">
        <v>108</v>
      </c>
      <c r="R171" t="s">
        <v>6835</v>
      </c>
      <c r="W171" t="s">
        <v>6980</v>
      </c>
      <c r="X171" t="s">
        <v>6155</v>
      </c>
      <c r="Y171" t="s">
        <v>110</v>
      </c>
      <c r="Z171" t="s">
        <v>111</v>
      </c>
      <c r="AA171" t="str">
        <f>"13905-4197"</f>
        <v>13905-4197</v>
      </c>
      <c r="AB171" t="s">
        <v>123</v>
      </c>
      <c r="AC171" t="s">
        <v>113</v>
      </c>
      <c r="AD171" t="s">
        <v>108</v>
      </c>
      <c r="AE171" t="s">
        <v>114</v>
      </c>
      <c r="AF171" t="s">
        <v>115</v>
      </c>
      <c r="AG171" t="s">
        <v>116</v>
      </c>
      <c r="AK171" t="str">
        <f t="shared" si="15"/>
        <v>BUTT SALEHA DR.</v>
      </c>
      <c r="AL171" t="s">
        <v>7123</v>
      </c>
      <c r="AM171" t="s">
        <v>108</v>
      </c>
      <c r="AN171" t="s">
        <v>108</v>
      </c>
      <c r="AO171" t="s">
        <v>108</v>
      </c>
      <c r="AP171" t="s">
        <v>108</v>
      </c>
      <c r="AQ171" t="s">
        <v>108</v>
      </c>
      <c r="AR171" t="s">
        <v>108</v>
      </c>
      <c r="AS171" t="s">
        <v>108</v>
      </c>
      <c r="AT171" t="s">
        <v>108</v>
      </c>
      <c r="AU171">
        <v>0</v>
      </c>
      <c r="AV171" t="s">
        <v>108</v>
      </c>
      <c r="AW171" t="s">
        <v>108</v>
      </c>
      <c r="AX171" s="24">
        <f t="shared" si="20"/>
        <v>1</v>
      </c>
      <c r="AY171" s="24" t="str">
        <f t="shared" si="20"/>
        <v/>
      </c>
      <c r="AZ171" s="24" t="str">
        <f t="shared" si="19"/>
        <v/>
      </c>
      <c r="BA171" s="24" t="str">
        <f t="shared" si="19"/>
        <v/>
      </c>
      <c r="BB171" s="24" t="str">
        <f t="shared" si="19"/>
        <v/>
      </c>
      <c r="BC171" s="24" t="str">
        <f t="shared" si="19"/>
        <v/>
      </c>
      <c r="BD171" s="24" t="str">
        <f t="shared" si="19"/>
        <v/>
      </c>
      <c r="BE171" s="24" t="str">
        <f t="shared" si="19"/>
        <v/>
      </c>
      <c r="BF171" s="24" t="str">
        <f t="shared" si="19"/>
        <v/>
      </c>
      <c r="BG171" s="24" t="str">
        <f t="shared" si="19"/>
        <v/>
      </c>
      <c r="BH171" s="24" t="str">
        <f t="shared" si="16"/>
        <v/>
      </c>
      <c r="BI171" s="24">
        <f t="shared" si="19"/>
        <v>1</v>
      </c>
      <c r="BJ171" s="24" t="str">
        <f t="shared" si="18"/>
        <v/>
      </c>
    </row>
    <row r="172" spans="1:62" ht="15" customHeight="1" x14ac:dyDescent="0.25">
      <c r="A172" t="str">
        <f>"1770891186"</f>
        <v>1770891186</v>
      </c>
      <c r="B172" t="str">
        <f>"03292028"</f>
        <v>03292028</v>
      </c>
      <c r="C172" t="s">
        <v>2692</v>
      </c>
      <c r="D172" t="s">
        <v>2693</v>
      </c>
      <c r="E172" t="s">
        <v>2694</v>
      </c>
      <c r="L172" t="s">
        <v>120</v>
      </c>
      <c r="M172" t="s">
        <v>108</v>
      </c>
      <c r="R172" t="s">
        <v>2692</v>
      </c>
      <c r="W172" t="s">
        <v>2694</v>
      </c>
      <c r="X172" t="s">
        <v>121</v>
      </c>
      <c r="Y172" t="s">
        <v>122</v>
      </c>
      <c r="Z172" t="s">
        <v>111</v>
      </c>
      <c r="AA172" t="str">
        <f>"13815-1019"</f>
        <v>13815-1019</v>
      </c>
      <c r="AB172" t="s">
        <v>123</v>
      </c>
      <c r="AC172" t="s">
        <v>113</v>
      </c>
      <c r="AD172" t="s">
        <v>108</v>
      </c>
      <c r="AE172" t="s">
        <v>114</v>
      </c>
      <c r="AF172" t="s">
        <v>124</v>
      </c>
      <c r="AG172" t="s">
        <v>116</v>
      </c>
      <c r="AK172" t="str">
        <f t="shared" si="15"/>
        <v/>
      </c>
      <c r="AL172" t="s">
        <v>2693</v>
      </c>
      <c r="AM172">
        <v>1</v>
      </c>
      <c r="AN172">
        <v>1</v>
      </c>
      <c r="AO172">
        <v>0</v>
      </c>
      <c r="AP172">
        <v>1</v>
      </c>
      <c r="AQ172">
        <v>1</v>
      </c>
      <c r="AR172">
        <v>0</v>
      </c>
      <c r="AS172">
        <v>0</v>
      </c>
      <c r="AT172">
        <v>0</v>
      </c>
      <c r="AU172">
        <v>0</v>
      </c>
      <c r="AV172">
        <v>0</v>
      </c>
      <c r="AW172">
        <v>0</v>
      </c>
      <c r="AX172" s="24">
        <f t="shared" si="20"/>
        <v>1</v>
      </c>
      <c r="AY172" s="24" t="str">
        <f t="shared" si="20"/>
        <v/>
      </c>
      <c r="AZ172" s="24" t="str">
        <f t="shared" si="19"/>
        <v/>
      </c>
      <c r="BA172" s="24" t="str">
        <f t="shared" si="19"/>
        <v/>
      </c>
      <c r="BB172" s="24" t="str">
        <f t="shared" si="19"/>
        <v/>
      </c>
      <c r="BC172" s="24" t="str">
        <f t="shared" si="19"/>
        <v/>
      </c>
      <c r="BD172" s="24" t="str">
        <f t="shared" si="19"/>
        <v/>
      </c>
      <c r="BE172" s="24" t="str">
        <f t="shared" si="19"/>
        <v/>
      </c>
      <c r="BF172" s="24" t="str">
        <f t="shared" si="19"/>
        <v/>
      </c>
      <c r="BG172" s="24" t="str">
        <f t="shared" si="19"/>
        <v/>
      </c>
      <c r="BH172" s="24" t="str">
        <f t="shared" si="16"/>
        <v/>
      </c>
      <c r="BI172" s="24">
        <f t="shared" si="19"/>
        <v>1</v>
      </c>
      <c r="BJ172" s="24" t="str">
        <f t="shared" si="18"/>
        <v/>
      </c>
    </row>
    <row r="173" spans="1:62" ht="15" customHeight="1" x14ac:dyDescent="0.25">
      <c r="A173" t="str">
        <f>"1871674762"</f>
        <v>1871674762</v>
      </c>
      <c r="B173" t="str">
        <f>"00416817"</f>
        <v>00416817</v>
      </c>
      <c r="C173" t="s">
        <v>528</v>
      </c>
      <c r="D173" t="s">
        <v>529</v>
      </c>
      <c r="E173" t="s">
        <v>530</v>
      </c>
      <c r="G173" t="s">
        <v>531</v>
      </c>
      <c r="H173" t="s">
        <v>308</v>
      </c>
      <c r="J173" t="s">
        <v>532</v>
      </c>
      <c r="L173" t="s">
        <v>138</v>
      </c>
      <c r="M173" t="s">
        <v>108</v>
      </c>
      <c r="R173" t="s">
        <v>533</v>
      </c>
      <c r="W173" t="s">
        <v>534</v>
      </c>
      <c r="X173" t="s">
        <v>311</v>
      </c>
      <c r="Y173" t="s">
        <v>293</v>
      </c>
      <c r="Z173" t="s">
        <v>111</v>
      </c>
      <c r="AA173" t="str">
        <f>"14850-1313"</f>
        <v>14850-1313</v>
      </c>
      <c r="AB173" t="s">
        <v>123</v>
      </c>
      <c r="AC173" t="s">
        <v>113</v>
      </c>
      <c r="AD173" t="s">
        <v>108</v>
      </c>
      <c r="AE173" t="s">
        <v>114</v>
      </c>
      <c r="AF173" t="s">
        <v>142</v>
      </c>
      <c r="AG173" t="s">
        <v>116</v>
      </c>
      <c r="AK173" t="str">
        <f t="shared" si="15"/>
        <v/>
      </c>
      <c r="AL173" t="s">
        <v>529</v>
      </c>
      <c r="AM173">
        <v>1</v>
      </c>
      <c r="AN173">
        <v>1</v>
      </c>
      <c r="AO173">
        <v>0</v>
      </c>
      <c r="AP173">
        <v>0</v>
      </c>
      <c r="AQ173">
        <v>0</v>
      </c>
      <c r="AR173">
        <v>0</v>
      </c>
      <c r="AS173">
        <v>0</v>
      </c>
      <c r="AT173">
        <v>0</v>
      </c>
      <c r="AU173">
        <v>0</v>
      </c>
      <c r="AV173">
        <v>0</v>
      </c>
      <c r="AW173">
        <v>0</v>
      </c>
      <c r="AX173" s="24" t="str">
        <f t="shared" si="20"/>
        <v/>
      </c>
      <c r="AY173" s="24">
        <f t="shared" si="20"/>
        <v>1</v>
      </c>
      <c r="AZ173" s="24" t="str">
        <f t="shared" si="19"/>
        <v/>
      </c>
      <c r="BA173" s="24" t="str">
        <f t="shared" si="19"/>
        <v/>
      </c>
      <c r="BB173" s="24" t="str">
        <f t="shared" si="19"/>
        <v/>
      </c>
      <c r="BC173" s="24" t="str">
        <f t="shared" si="19"/>
        <v/>
      </c>
      <c r="BD173" s="24" t="str">
        <f t="shared" si="19"/>
        <v/>
      </c>
      <c r="BE173" s="24" t="str">
        <f t="shared" si="19"/>
        <v/>
      </c>
      <c r="BF173" s="24" t="str">
        <f t="shared" si="19"/>
        <v/>
      </c>
      <c r="BG173" s="24" t="str">
        <f t="shared" si="19"/>
        <v/>
      </c>
      <c r="BH173" s="24" t="str">
        <f t="shared" si="16"/>
        <v/>
      </c>
      <c r="BI173" s="24">
        <f t="shared" si="19"/>
        <v>1</v>
      </c>
      <c r="BJ173" s="24" t="str">
        <f t="shared" si="18"/>
        <v/>
      </c>
    </row>
    <row r="174" spans="1:62" ht="15" customHeight="1" x14ac:dyDescent="0.25">
      <c r="A174" t="str">
        <f>"1467426031"</f>
        <v>1467426031</v>
      </c>
      <c r="B174" t="str">
        <f>"02152014"</f>
        <v>02152014</v>
      </c>
      <c r="C174" t="s">
        <v>2932</v>
      </c>
      <c r="D174" t="s">
        <v>2933</v>
      </c>
      <c r="E174" t="s">
        <v>2934</v>
      </c>
      <c r="G174" t="s">
        <v>177</v>
      </c>
      <c r="H174" t="s">
        <v>178</v>
      </c>
      <c r="J174" t="s">
        <v>179</v>
      </c>
      <c r="L174" t="s">
        <v>138</v>
      </c>
      <c r="M174" t="s">
        <v>108</v>
      </c>
      <c r="R174" t="s">
        <v>2932</v>
      </c>
      <c r="W174" t="s">
        <v>2935</v>
      </c>
      <c r="Y174" t="s">
        <v>157</v>
      </c>
      <c r="Z174" t="s">
        <v>111</v>
      </c>
      <c r="AA174" t="str">
        <f>"14830-2287"</f>
        <v>14830-2287</v>
      </c>
      <c r="AB174" t="s">
        <v>123</v>
      </c>
      <c r="AC174" t="s">
        <v>113</v>
      </c>
      <c r="AD174" t="s">
        <v>108</v>
      </c>
      <c r="AE174" t="s">
        <v>114</v>
      </c>
      <c r="AF174" t="s">
        <v>149</v>
      </c>
      <c r="AG174" t="s">
        <v>116</v>
      </c>
      <c r="AK174" t="str">
        <f t="shared" si="15"/>
        <v/>
      </c>
      <c r="AL174" t="s">
        <v>2933</v>
      </c>
      <c r="AM174">
        <v>1</v>
      </c>
      <c r="AN174">
        <v>1</v>
      </c>
      <c r="AO174">
        <v>0</v>
      </c>
      <c r="AP174">
        <v>0</v>
      </c>
      <c r="AQ174">
        <v>0</v>
      </c>
      <c r="AR174">
        <v>0</v>
      </c>
      <c r="AS174">
        <v>0</v>
      </c>
      <c r="AT174">
        <v>0</v>
      </c>
      <c r="AU174">
        <v>0</v>
      </c>
      <c r="AV174">
        <v>1</v>
      </c>
      <c r="AW174">
        <v>0</v>
      </c>
      <c r="AX174" s="24" t="str">
        <f t="shared" si="20"/>
        <v/>
      </c>
      <c r="AY174" s="24">
        <f t="shared" si="20"/>
        <v>1</v>
      </c>
      <c r="AZ174" s="24" t="str">
        <f t="shared" si="19"/>
        <v/>
      </c>
      <c r="BA174" s="24" t="str">
        <f t="shared" si="19"/>
        <v/>
      </c>
      <c r="BB174" s="24" t="str">
        <f t="shared" si="19"/>
        <v/>
      </c>
      <c r="BC174" s="24" t="str">
        <f t="shared" si="19"/>
        <v/>
      </c>
      <c r="BD174" s="24" t="str">
        <f t="shared" si="19"/>
        <v/>
      </c>
      <c r="BE174" s="24" t="str">
        <f t="shared" si="19"/>
        <v/>
      </c>
      <c r="BF174" s="24" t="str">
        <f t="shared" si="19"/>
        <v/>
      </c>
      <c r="BG174" s="24" t="str">
        <f t="shared" si="19"/>
        <v/>
      </c>
      <c r="BH174" s="24" t="str">
        <f t="shared" si="16"/>
        <v/>
      </c>
      <c r="BI174" s="24">
        <f t="shared" si="19"/>
        <v>1</v>
      </c>
      <c r="BJ174" s="24" t="str">
        <f t="shared" si="18"/>
        <v/>
      </c>
    </row>
    <row r="175" spans="1:62" ht="15" customHeight="1" x14ac:dyDescent="0.25">
      <c r="A175" t="str">
        <f>"1689842924"</f>
        <v>1689842924</v>
      </c>
      <c r="B175" t="str">
        <f>"02309451"</f>
        <v>02309451</v>
      </c>
      <c r="C175" t="s">
        <v>1942</v>
      </c>
      <c r="D175" t="s">
        <v>1943</v>
      </c>
      <c r="E175" t="s">
        <v>1944</v>
      </c>
      <c r="L175" t="s">
        <v>247</v>
      </c>
      <c r="M175" t="s">
        <v>108</v>
      </c>
      <c r="R175" t="s">
        <v>1942</v>
      </c>
      <c r="W175" t="s">
        <v>1944</v>
      </c>
      <c r="X175" t="s">
        <v>1048</v>
      </c>
      <c r="Y175" t="s">
        <v>966</v>
      </c>
      <c r="Z175" t="s">
        <v>111</v>
      </c>
      <c r="AA175" t="str">
        <f>"13850-3514"</f>
        <v>13850-3514</v>
      </c>
      <c r="AB175" t="s">
        <v>1000</v>
      </c>
      <c r="AC175" t="s">
        <v>113</v>
      </c>
      <c r="AD175" t="s">
        <v>108</v>
      </c>
      <c r="AE175" t="s">
        <v>114</v>
      </c>
      <c r="AF175" t="s">
        <v>115</v>
      </c>
      <c r="AG175" t="s">
        <v>116</v>
      </c>
      <c r="AK175" t="str">
        <f t="shared" si="15"/>
        <v>CAHILL WILLIAM</v>
      </c>
      <c r="AL175" t="s">
        <v>1943</v>
      </c>
      <c r="AM175" t="s">
        <v>108</v>
      </c>
      <c r="AN175" t="s">
        <v>108</v>
      </c>
      <c r="AO175" t="s">
        <v>108</v>
      </c>
      <c r="AP175" t="s">
        <v>108</v>
      </c>
      <c r="AQ175" t="s">
        <v>108</v>
      </c>
      <c r="AR175" t="s">
        <v>108</v>
      </c>
      <c r="AS175" t="s">
        <v>108</v>
      </c>
      <c r="AT175" t="s">
        <v>108</v>
      </c>
      <c r="AU175">
        <v>0</v>
      </c>
      <c r="AV175" t="s">
        <v>108</v>
      </c>
      <c r="AW175" t="s">
        <v>108</v>
      </c>
      <c r="AX175" s="24" t="str">
        <f t="shared" si="20"/>
        <v/>
      </c>
      <c r="AY175" s="24">
        <f t="shared" si="20"/>
        <v>1</v>
      </c>
      <c r="AZ175" s="24" t="str">
        <f t="shared" si="19"/>
        <v/>
      </c>
      <c r="BA175" s="24" t="str">
        <f t="shared" si="19"/>
        <v/>
      </c>
      <c r="BB175" s="24" t="str">
        <f t="shared" si="19"/>
        <v/>
      </c>
      <c r="BC175" s="24" t="str">
        <f t="shared" si="19"/>
        <v/>
      </c>
      <c r="BD175" s="24" t="str">
        <f t="shared" si="19"/>
        <v/>
      </c>
      <c r="BE175" s="24" t="str">
        <f t="shared" si="19"/>
        <v/>
      </c>
      <c r="BF175" s="24" t="str">
        <f t="shared" si="19"/>
        <v/>
      </c>
      <c r="BG175" s="24" t="str">
        <f t="shared" si="19"/>
        <v/>
      </c>
      <c r="BH175" s="24" t="str">
        <f t="shared" si="16"/>
        <v/>
      </c>
      <c r="BI175" s="24" t="str">
        <f t="shared" si="19"/>
        <v/>
      </c>
      <c r="BJ175" s="24" t="str">
        <f t="shared" si="18"/>
        <v/>
      </c>
    </row>
    <row r="176" spans="1:62" ht="15" customHeight="1" x14ac:dyDescent="0.25">
      <c r="A176" t="str">
        <f>"1952565343"</f>
        <v>1952565343</v>
      </c>
      <c r="B176" t="str">
        <f>"03359560"</f>
        <v>03359560</v>
      </c>
      <c r="C176" t="s">
        <v>4562</v>
      </c>
      <c r="D176" t="s">
        <v>4563</v>
      </c>
      <c r="E176" t="s">
        <v>4562</v>
      </c>
      <c r="L176" t="s">
        <v>6867</v>
      </c>
      <c r="M176" t="s">
        <v>139</v>
      </c>
      <c r="R176" t="s">
        <v>4562</v>
      </c>
      <c r="W176" t="s">
        <v>4562</v>
      </c>
      <c r="X176" t="s">
        <v>4564</v>
      </c>
      <c r="Y176" t="s">
        <v>2122</v>
      </c>
      <c r="Z176" t="s">
        <v>111</v>
      </c>
      <c r="AA176" t="str">
        <f>"13856-1455"</f>
        <v>13856-1455</v>
      </c>
      <c r="AB176" t="s">
        <v>123</v>
      </c>
      <c r="AC176" t="s">
        <v>113</v>
      </c>
      <c r="AD176" t="s">
        <v>108</v>
      </c>
      <c r="AE176" t="s">
        <v>114</v>
      </c>
      <c r="AF176" t="s">
        <v>124</v>
      </c>
      <c r="AG176" t="s">
        <v>116</v>
      </c>
      <c r="AK176" t="str">
        <f t="shared" si="15"/>
        <v/>
      </c>
      <c r="AL176" t="s">
        <v>4563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  <c r="AS176">
        <v>0</v>
      </c>
      <c r="AT176">
        <v>0</v>
      </c>
      <c r="AU176">
        <v>0</v>
      </c>
      <c r="AV176">
        <v>0</v>
      </c>
      <c r="AW176">
        <v>0</v>
      </c>
      <c r="AX176" s="24">
        <f t="shared" si="20"/>
        <v>1</v>
      </c>
      <c r="AY176" s="24">
        <f t="shared" si="20"/>
        <v>1</v>
      </c>
      <c r="AZ176" s="24" t="str">
        <f t="shared" si="19"/>
        <v/>
      </c>
      <c r="BA176" s="24" t="str">
        <f t="shared" si="19"/>
        <v/>
      </c>
      <c r="BB176" s="24" t="str">
        <f t="shared" si="19"/>
        <v/>
      </c>
      <c r="BC176" s="24" t="str">
        <f t="shared" si="19"/>
        <v/>
      </c>
      <c r="BD176" s="24" t="str">
        <f t="shared" si="19"/>
        <v/>
      </c>
      <c r="BE176" s="24" t="str">
        <f t="shared" si="19"/>
        <v/>
      </c>
      <c r="BF176" s="24" t="str">
        <f t="shared" si="19"/>
        <v/>
      </c>
      <c r="BG176" s="24" t="str">
        <f t="shared" si="19"/>
        <v/>
      </c>
      <c r="BH176" s="24" t="str">
        <f t="shared" si="16"/>
        <v/>
      </c>
      <c r="BI176" s="24">
        <f t="shared" si="19"/>
        <v>1</v>
      </c>
      <c r="BJ176" s="24" t="str">
        <f t="shared" si="18"/>
        <v/>
      </c>
    </row>
    <row r="177" spans="1:62" ht="15" customHeight="1" x14ac:dyDescent="0.25">
      <c r="A177" t="str">
        <f>"1477986552"</f>
        <v>1477986552</v>
      </c>
      <c r="B177" t="str">
        <f>"03796930"</f>
        <v>03796930</v>
      </c>
      <c r="C177" t="s">
        <v>3009</v>
      </c>
      <c r="D177" t="s">
        <v>3010</v>
      </c>
      <c r="E177" t="s">
        <v>3011</v>
      </c>
      <c r="G177" t="s">
        <v>2412</v>
      </c>
      <c r="H177" t="s">
        <v>2413</v>
      </c>
      <c r="I177">
        <v>2359</v>
      </c>
      <c r="J177" t="s">
        <v>3012</v>
      </c>
      <c r="L177" t="s">
        <v>6868</v>
      </c>
      <c r="M177" t="s">
        <v>108</v>
      </c>
      <c r="R177" t="s">
        <v>3013</v>
      </c>
      <c r="W177" t="s">
        <v>3011</v>
      </c>
      <c r="X177" t="s">
        <v>3014</v>
      </c>
      <c r="Y177" t="s">
        <v>1655</v>
      </c>
      <c r="Z177" t="s">
        <v>111</v>
      </c>
      <c r="AA177" t="str">
        <f>"14865-9740"</f>
        <v>14865-9740</v>
      </c>
      <c r="AB177" t="s">
        <v>123</v>
      </c>
      <c r="AC177" t="s">
        <v>113</v>
      </c>
      <c r="AD177" t="s">
        <v>108</v>
      </c>
      <c r="AE177" t="s">
        <v>114</v>
      </c>
      <c r="AF177" t="s">
        <v>142</v>
      </c>
      <c r="AG177" t="s">
        <v>116</v>
      </c>
      <c r="AK177" t="str">
        <f t="shared" si="15"/>
        <v/>
      </c>
      <c r="AL177" t="s">
        <v>3010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  <c r="AS177">
        <v>0</v>
      </c>
      <c r="AT177">
        <v>0</v>
      </c>
      <c r="AU177">
        <v>0</v>
      </c>
      <c r="AV177">
        <v>0</v>
      </c>
      <c r="AW177">
        <v>0</v>
      </c>
      <c r="AX177" s="24">
        <f t="shared" si="20"/>
        <v>1</v>
      </c>
      <c r="AY177" s="24">
        <f t="shared" si="20"/>
        <v>1</v>
      </c>
      <c r="AZ177" s="24" t="str">
        <f t="shared" si="19"/>
        <v/>
      </c>
      <c r="BA177" s="24" t="str">
        <f t="shared" si="19"/>
        <v/>
      </c>
      <c r="BB177" s="24" t="str">
        <f t="shared" si="19"/>
        <v/>
      </c>
      <c r="BC177" s="24" t="str">
        <f t="shared" si="19"/>
        <v/>
      </c>
      <c r="BD177" s="24" t="str">
        <f t="shared" si="19"/>
        <v/>
      </c>
      <c r="BE177" s="24" t="str">
        <f t="shared" si="19"/>
        <v/>
      </c>
      <c r="BF177" s="24" t="str">
        <f t="shared" si="19"/>
        <v/>
      </c>
      <c r="BG177" s="24" t="str">
        <f t="shared" si="19"/>
        <v/>
      </c>
      <c r="BH177" s="24" t="str">
        <f t="shared" si="16"/>
        <v/>
      </c>
      <c r="BI177" s="24" t="str">
        <f t="shared" si="19"/>
        <v/>
      </c>
      <c r="BJ177" s="24" t="str">
        <f t="shared" si="18"/>
        <v/>
      </c>
    </row>
    <row r="178" spans="1:62" ht="15" customHeight="1" x14ac:dyDescent="0.25">
      <c r="A178" t="str">
        <f>"1881062495"</f>
        <v>1881062495</v>
      </c>
      <c r="B178" t="str">
        <f>"04274273"</f>
        <v>04274273</v>
      </c>
      <c r="C178" t="s">
        <v>6402</v>
      </c>
      <c r="D178" t="s">
        <v>6403</v>
      </c>
      <c r="E178" t="s">
        <v>6404</v>
      </c>
      <c r="G178" t="s">
        <v>6330</v>
      </c>
      <c r="H178" t="s">
        <v>6331</v>
      </c>
      <c r="J178" t="s">
        <v>6332</v>
      </c>
      <c r="L178" t="s">
        <v>120</v>
      </c>
      <c r="M178" t="s">
        <v>108</v>
      </c>
      <c r="R178" t="s">
        <v>6404</v>
      </c>
      <c r="W178" t="s">
        <v>6405</v>
      </c>
      <c r="X178" t="s">
        <v>6406</v>
      </c>
      <c r="Y178" t="s">
        <v>839</v>
      </c>
      <c r="Z178" t="s">
        <v>111</v>
      </c>
      <c r="AA178" t="str">
        <f>"13743-1617"</f>
        <v>13743-1617</v>
      </c>
      <c r="AB178" t="s">
        <v>123</v>
      </c>
      <c r="AC178" t="s">
        <v>113</v>
      </c>
      <c r="AD178" t="s">
        <v>108</v>
      </c>
      <c r="AE178" t="s">
        <v>114</v>
      </c>
      <c r="AF178" t="s">
        <v>115</v>
      </c>
      <c r="AG178" t="s">
        <v>116</v>
      </c>
      <c r="AK178" t="str">
        <f t="shared" si="15"/>
        <v>Calleo Jenny</v>
      </c>
      <c r="AL178" t="s">
        <v>6403</v>
      </c>
      <c r="AM178" t="s">
        <v>108</v>
      </c>
      <c r="AN178" t="s">
        <v>108</v>
      </c>
      <c r="AO178" t="s">
        <v>108</v>
      </c>
      <c r="AP178" t="s">
        <v>108</v>
      </c>
      <c r="AQ178" t="s">
        <v>108</v>
      </c>
      <c r="AR178" t="s">
        <v>108</v>
      </c>
      <c r="AS178" t="s">
        <v>108</v>
      </c>
      <c r="AT178" t="s">
        <v>108</v>
      </c>
      <c r="AU178">
        <v>1</v>
      </c>
      <c r="AV178" t="s">
        <v>108</v>
      </c>
      <c r="AW178" t="s">
        <v>108</v>
      </c>
      <c r="AX178" s="24">
        <f t="shared" si="20"/>
        <v>1</v>
      </c>
      <c r="AY178" s="24" t="str">
        <f t="shared" si="20"/>
        <v/>
      </c>
      <c r="AZ178" s="24" t="str">
        <f t="shared" si="19"/>
        <v/>
      </c>
      <c r="BA178" s="24" t="str">
        <f t="shared" si="19"/>
        <v/>
      </c>
      <c r="BB178" s="24" t="str">
        <f t="shared" si="19"/>
        <v/>
      </c>
      <c r="BC178" s="24" t="str">
        <f t="shared" si="19"/>
        <v/>
      </c>
      <c r="BD178" s="24" t="str">
        <f t="shared" si="19"/>
        <v/>
      </c>
      <c r="BE178" s="24" t="str">
        <f t="shared" si="19"/>
        <v/>
      </c>
      <c r="BF178" s="24" t="str">
        <f t="shared" si="19"/>
        <v/>
      </c>
      <c r="BG178" s="24" t="str">
        <f t="shared" si="19"/>
        <v/>
      </c>
      <c r="BH178" s="24" t="str">
        <f t="shared" si="16"/>
        <v/>
      </c>
      <c r="BI178" s="24">
        <f t="shared" si="19"/>
        <v>1</v>
      </c>
      <c r="BJ178" s="24" t="str">
        <f t="shared" si="18"/>
        <v/>
      </c>
    </row>
    <row r="179" spans="1:62" ht="15" customHeight="1" x14ac:dyDescent="0.25">
      <c r="A179" t="str">
        <f>"1982883005"</f>
        <v>1982883005</v>
      </c>
      <c r="B179" t="str">
        <f>"03061878"</f>
        <v>03061878</v>
      </c>
      <c r="C179" t="s">
        <v>4592</v>
      </c>
      <c r="D179" t="s">
        <v>4593</v>
      </c>
      <c r="E179" t="s">
        <v>4594</v>
      </c>
      <c r="L179" t="s">
        <v>247</v>
      </c>
      <c r="M179" t="s">
        <v>108</v>
      </c>
      <c r="R179" t="s">
        <v>4592</v>
      </c>
      <c r="W179" t="s">
        <v>4595</v>
      </c>
      <c r="X179" t="s">
        <v>406</v>
      </c>
      <c r="Y179" t="s">
        <v>129</v>
      </c>
      <c r="Z179" t="s">
        <v>111</v>
      </c>
      <c r="AA179" t="str">
        <f>"13790-2107"</f>
        <v>13790-2107</v>
      </c>
      <c r="AB179" t="s">
        <v>123</v>
      </c>
      <c r="AC179" t="s">
        <v>113</v>
      </c>
      <c r="AD179" t="s">
        <v>108</v>
      </c>
      <c r="AE179" t="s">
        <v>114</v>
      </c>
      <c r="AF179" t="s">
        <v>115</v>
      </c>
      <c r="AG179" t="s">
        <v>116</v>
      </c>
      <c r="AK179" t="str">
        <f t="shared" si="15"/>
        <v/>
      </c>
      <c r="AL179" t="s">
        <v>4593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0</v>
      </c>
      <c r="AU179">
        <v>0</v>
      </c>
      <c r="AV179">
        <v>0</v>
      </c>
      <c r="AW179">
        <v>0</v>
      </c>
      <c r="AX179" s="24" t="str">
        <f t="shared" si="20"/>
        <v/>
      </c>
      <c r="AY179" s="24">
        <f t="shared" si="20"/>
        <v>1</v>
      </c>
      <c r="AZ179" s="24" t="str">
        <f t="shared" si="19"/>
        <v/>
      </c>
      <c r="BA179" s="24" t="str">
        <f t="shared" si="19"/>
        <v/>
      </c>
      <c r="BB179" s="24" t="str">
        <f t="shared" si="19"/>
        <v/>
      </c>
      <c r="BC179" s="24" t="str">
        <f t="shared" si="19"/>
        <v/>
      </c>
      <c r="BD179" s="24" t="str">
        <f t="shared" si="19"/>
        <v/>
      </c>
      <c r="BE179" s="24" t="str">
        <f t="shared" si="19"/>
        <v/>
      </c>
      <c r="BF179" s="24" t="str">
        <f t="shared" si="19"/>
        <v/>
      </c>
      <c r="BG179" s="24" t="str">
        <f t="shared" si="19"/>
        <v/>
      </c>
      <c r="BH179" s="24" t="str">
        <f t="shared" si="16"/>
        <v/>
      </c>
      <c r="BI179" s="24" t="str">
        <f t="shared" si="19"/>
        <v/>
      </c>
      <c r="BJ179" s="24" t="str">
        <f t="shared" si="18"/>
        <v/>
      </c>
    </row>
    <row r="180" spans="1:62" ht="15" customHeight="1" x14ac:dyDescent="0.25">
      <c r="A180" t="str">
        <f>"1932361656"</f>
        <v>1932361656</v>
      </c>
      <c r="B180" t="str">
        <f>"03343666"</f>
        <v>03343666</v>
      </c>
      <c r="C180" t="s">
        <v>5548</v>
      </c>
      <c r="D180" t="s">
        <v>5549</v>
      </c>
      <c r="E180" t="s">
        <v>5550</v>
      </c>
      <c r="G180" t="s">
        <v>5294</v>
      </c>
      <c r="H180" t="s">
        <v>2626</v>
      </c>
      <c r="J180" t="s">
        <v>5551</v>
      </c>
      <c r="L180" t="s">
        <v>247</v>
      </c>
      <c r="M180" t="s">
        <v>108</v>
      </c>
      <c r="R180" t="s">
        <v>5552</v>
      </c>
      <c r="W180" t="s">
        <v>5550</v>
      </c>
      <c r="X180" t="s">
        <v>302</v>
      </c>
      <c r="Y180" t="s">
        <v>293</v>
      </c>
      <c r="Z180" t="s">
        <v>111</v>
      </c>
      <c r="AA180" t="str">
        <f>"14850-1342"</f>
        <v>14850-1342</v>
      </c>
      <c r="AB180" t="s">
        <v>123</v>
      </c>
      <c r="AC180" t="s">
        <v>113</v>
      </c>
      <c r="AD180" t="s">
        <v>108</v>
      </c>
      <c r="AE180" t="s">
        <v>114</v>
      </c>
      <c r="AF180" t="s">
        <v>142</v>
      </c>
      <c r="AG180" t="s">
        <v>116</v>
      </c>
      <c r="AK180" t="str">
        <f t="shared" si="15"/>
        <v/>
      </c>
      <c r="AL180" t="s">
        <v>5549</v>
      </c>
      <c r="AM180">
        <v>1</v>
      </c>
      <c r="AN180">
        <v>1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0</v>
      </c>
      <c r="AW180">
        <v>0</v>
      </c>
      <c r="AX180" s="24" t="str">
        <f t="shared" si="20"/>
        <v/>
      </c>
      <c r="AY180" s="24">
        <f t="shared" si="20"/>
        <v>1</v>
      </c>
      <c r="AZ180" s="24" t="str">
        <f t="shared" si="19"/>
        <v/>
      </c>
      <c r="BA180" s="24" t="str">
        <f t="shared" si="19"/>
        <v/>
      </c>
      <c r="BB180" s="24" t="str">
        <f t="shared" si="19"/>
        <v/>
      </c>
      <c r="BC180" s="24" t="str">
        <f t="shared" si="19"/>
        <v/>
      </c>
      <c r="BD180" s="24" t="str">
        <f t="shared" si="19"/>
        <v/>
      </c>
      <c r="BE180" s="24" t="str">
        <f t="shared" si="19"/>
        <v/>
      </c>
      <c r="BF180" s="24" t="str">
        <f t="shared" si="19"/>
        <v/>
      </c>
      <c r="BG180" s="24" t="str">
        <f t="shared" si="19"/>
        <v/>
      </c>
      <c r="BH180" s="24" t="str">
        <f t="shared" si="16"/>
        <v/>
      </c>
      <c r="BI180" s="24" t="str">
        <f t="shared" si="19"/>
        <v/>
      </c>
      <c r="BJ180" s="24" t="str">
        <f t="shared" si="18"/>
        <v/>
      </c>
    </row>
    <row r="181" spans="1:62" ht="15" customHeight="1" x14ac:dyDescent="0.25">
      <c r="A181" t="str">
        <f>"1205839933"</f>
        <v>1205839933</v>
      </c>
      <c r="B181" t="str">
        <f>"01417770"</f>
        <v>01417770</v>
      </c>
      <c r="C181" t="s">
        <v>6597</v>
      </c>
      <c r="D181" t="s">
        <v>6598</v>
      </c>
      <c r="E181" t="s">
        <v>6599</v>
      </c>
      <c r="G181" t="s">
        <v>6507</v>
      </c>
      <c r="H181" t="s">
        <v>6508</v>
      </c>
      <c r="J181" t="s">
        <v>6509</v>
      </c>
      <c r="L181" t="s">
        <v>120</v>
      </c>
      <c r="M181" t="s">
        <v>139</v>
      </c>
      <c r="R181" t="s">
        <v>6600</v>
      </c>
      <c r="W181" t="s">
        <v>6599</v>
      </c>
      <c r="X181" t="s">
        <v>543</v>
      </c>
      <c r="Y181" t="s">
        <v>293</v>
      </c>
      <c r="Z181" t="s">
        <v>111</v>
      </c>
      <c r="AA181" t="str">
        <f>"14850-9105"</f>
        <v>14850-9105</v>
      </c>
      <c r="AB181" t="s">
        <v>123</v>
      </c>
      <c r="AC181" t="s">
        <v>113</v>
      </c>
      <c r="AD181" t="s">
        <v>108</v>
      </c>
      <c r="AE181" t="s">
        <v>114</v>
      </c>
      <c r="AF181" t="s">
        <v>149</v>
      </c>
      <c r="AG181" t="s">
        <v>116</v>
      </c>
      <c r="AK181" t="str">
        <f t="shared" si="15"/>
        <v>Cannariato Catherine</v>
      </c>
      <c r="AL181" t="s">
        <v>6598</v>
      </c>
      <c r="AM181" t="s">
        <v>108</v>
      </c>
      <c r="AN181" t="s">
        <v>108</v>
      </c>
      <c r="AO181" t="s">
        <v>108</v>
      </c>
      <c r="AP181" t="s">
        <v>108</v>
      </c>
      <c r="AQ181" t="s">
        <v>108</v>
      </c>
      <c r="AR181" t="s">
        <v>108</v>
      </c>
      <c r="AS181" t="s">
        <v>108</v>
      </c>
      <c r="AT181" t="s">
        <v>108</v>
      </c>
      <c r="AU181">
        <v>0</v>
      </c>
      <c r="AV181" t="s">
        <v>108</v>
      </c>
      <c r="AW181" t="s">
        <v>108</v>
      </c>
      <c r="AX181" s="24">
        <f t="shared" si="20"/>
        <v>1</v>
      </c>
      <c r="AY181" s="24" t="str">
        <f t="shared" si="20"/>
        <v/>
      </c>
      <c r="AZ181" s="24" t="str">
        <f t="shared" si="19"/>
        <v/>
      </c>
      <c r="BA181" s="24" t="str">
        <f t="shared" si="19"/>
        <v/>
      </c>
      <c r="BB181" s="24" t="str">
        <f t="shared" si="19"/>
        <v/>
      </c>
      <c r="BC181" s="24" t="str">
        <f t="shared" si="19"/>
        <v/>
      </c>
      <c r="BD181" s="24" t="str">
        <f t="shared" si="19"/>
        <v/>
      </c>
      <c r="BE181" s="24" t="str">
        <f t="shared" si="19"/>
        <v/>
      </c>
      <c r="BF181" s="24" t="str">
        <f t="shared" si="19"/>
        <v/>
      </c>
      <c r="BG181" s="24" t="str">
        <f t="shared" si="19"/>
        <v/>
      </c>
      <c r="BH181" s="24" t="str">
        <f t="shared" si="16"/>
        <v/>
      </c>
      <c r="BI181" s="24">
        <f t="shared" si="19"/>
        <v>1</v>
      </c>
      <c r="BJ181" s="24" t="str">
        <f t="shared" si="18"/>
        <v/>
      </c>
    </row>
    <row r="182" spans="1:62" ht="15" customHeight="1" x14ac:dyDescent="0.25">
      <c r="A182" t="str">
        <f>"1275614075"</f>
        <v>1275614075</v>
      </c>
      <c r="B182" t="str">
        <f>"01946336"</f>
        <v>01946336</v>
      </c>
      <c r="C182" t="s">
        <v>5505</v>
      </c>
      <c r="D182" t="s">
        <v>5506</v>
      </c>
      <c r="E182" t="s">
        <v>5507</v>
      </c>
      <c r="G182" t="s">
        <v>5508</v>
      </c>
      <c r="H182" t="s">
        <v>4448</v>
      </c>
      <c r="J182" t="s">
        <v>4449</v>
      </c>
      <c r="L182" t="s">
        <v>247</v>
      </c>
      <c r="M182" t="s">
        <v>108</v>
      </c>
      <c r="R182" t="s">
        <v>5505</v>
      </c>
      <c r="W182" t="s">
        <v>5507</v>
      </c>
      <c r="X182" t="s">
        <v>121</v>
      </c>
      <c r="Y182" t="s">
        <v>122</v>
      </c>
      <c r="Z182" t="s">
        <v>111</v>
      </c>
      <c r="AA182" t="str">
        <f>"13815-1019"</f>
        <v>13815-1019</v>
      </c>
      <c r="AB182" t="s">
        <v>123</v>
      </c>
      <c r="AC182" t="s">
        <v>113</v>
      </c>
      <c r="AD182" t="s">
        <v>108</v>
      </c>
      <c r="AE182" t="s">
        <v>114</v>
      </c>
      <c r="AF182" t="s">
        <v>124</v>
      </c>
      <c r="AG182" t="s">
        <v>116</v>
      </c>
      <c r="AK182" t="str">
        <f t="shared" si="15"/>
        <v/>
      </c>
      <c r="AL182" t="s">
        <v>5506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 s="24" t="str">
        <f t="shared" si="20"/>
        <v/>
      </c>
      <c r="AY182" s="24">
        <f t="shared" si="20"/>
        <v>1</v>
      </c>
      <c r="AZ182" s="24" t="str">
        <f t="shared" si="19"/>
        <v/>
      </c>
      <c r="BA182" s="24" t="str">
        <f t="shared" si="19"/>
        <v/>
      </c>
      <c r="BB182" s="24" t="str">
        <f t="shared" si="19"/>
        <v/>
      </c>
      <c r="BC182" s="24" t="str">
        <f t="shared" si="19"/>
        <v/>
      </c>
      <c r="BD182" s="24" t="str">
        <f t="shared" si="19"/>
        <v/>
      </c>
      <c r="BE182" s="24" t="str">
        <f t="shared" si="19"/>
        <v/>
      </c>
      <c r="BF182" s="24" t="str">
        <f t="shared" si="19"/>
        <v/>
      </c>
      <c r="BG182" s="24" t="str">
        <f t="shared" si="19"/>
        <v/>
      </c>
      <c r="BH182" s="24" t="str">
        <f t="shared" si="16"/>
        <v/>
      </c>
      <c r="BI182" s="24" t="str">
        <f t="shared" si="19"/>
        <v/>
      </c>
      <c r="BJ182" s="24" t="str">
        <f t="shared" si="18"/>
        <v/>
      </c>
    </row>
    <row r="183" spans="1:62" ht="15" customHeight="1" x14ac:dyDescent="0.25">
      <c r="A183" t="str">
        <f>"1992054969"</f>
        <v>1992054969</v>
      </c>
      <c r="B183" t="str">
        <f>"03506085"</f>
        <v>03506085</v>
      </c>
      <c r="C183" t="s">
        <v>1518</v>
      </c>
      <c r="D183" t="s">
        <v>1519</v>
      </c>
      <c r="E183" t="s">
        <v>1520</v>
      </c>
      <c r="G183" t="s">
        <v>1518</v>
      </c>
      <c r="H183" t="s">
        <v>440</v>
      </c>
      <c r="J183" t="s">
        <v>1521</v>
      </c>
      <c r="L183" t="s">
        <v>138</v>
      </c>
      <c r="M183" t="s">
        <v>108</v>
      </c>
      <c r="R183" t="s">
        <v>1522</v>
      </c>
      <c r="W183" t="s">
        <v>1520</v>
      </c>
      <c r="X183" t="s">
        <v>406</v>
      </c>
      <c r="Y183" t="s">
        <v>129</v>
      </c>
      <c r="Z183" t="s">
        <v>111</v>
      </c>
      <c r="AA183" t="str">
        <f>"13790-2107"</f>
        <v>13790-2107</v>
      </c>
      <c r="AB183" t="s">
        <v>123</v>
      </c>
      <c r="AC183" t="s">
        <v>113</v>
      </c>
      <c r="AD183" t="s">
        <v>108</v>
      </c>
      <c r="AE183" t="s">
        <v>114</v>
      </c>
      <c r="AF183" t="s">
        <v>115</v>
      </c>
      <c r="AG183" t="s">
        <v>116</v>
      </c>
      <c r="AK183" t="str">
        <f t="shared" si="15"/>
        <v/>
      </c>
      <c r="AL183" t="s">
        <v>1519</v>
      </c>
      <c r="AM183">
        <v>1</v>
      </c>
      <c r="AN183">
        <v>1</v>
      </c>
      <c r="AO183">
        <v>0</v>
      </c>
      <c r="AP183">
        <v>1</v>
      </c>
      <c r="AQ183">
        <v>1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AX183" s="24" t="str">
        <f t="shared" si="20"/>
        <v/>
      </c>
      <c r="AY183" s="24">
        <f t="shared" si="20"/>
        <v>1</v>
      </c>
      <c r="AZ183" s="24" t="str">
        <f t="shared" si="19"/>
        <v/>
      </c>
      <c r="BA183" s="24" t="str">
        <f t="shared" si="19"/>
        <v/>
      </c>
      <c r="BB183" s="24" t="str">
        <f t="shared" si="19"/>
        <v/>
      </c>
      <c r="BC183" s="24" t="str">
        <f t="shared" si="19"/>
        <v/>
      </c>
      <c r="BD183" s="24" t="str">
        <f t="shared" si="19"/>
        <v/>
      </c>
      <c r="BE183" s="24" t="str">
        <f t="shared" si="19"/>
        <v/>
      </c>
      <c r="BF183" s="24" t="str">
        <f t="shared" si="19"/>
        <v/>
      </c>
      <c r="BG183" s="24" t="str">
        <f t="shared" si="19"/>
        <v/>
      </c>
      <c r="BH183" s="24" t="str">
        <f t="shared" si="16"/>
        <v/>
      </c>
      <c r="BI183" s="24">
        <f t="shared" si="19"/>
        <v>1</v>
      </c>
      <c r="BJ183" s="24" t="str">
        <f t="shared" si="18"/>
        <v/>
      </c>
    </row>
    <row r="184" spans="1:62" ht="15" customHeight="1" x14ac:dyDescent="0.25">
      <c r="A184" t="str">
        <f>"1326019944"</f>
        <v>1326019944</v>
      </c>
      <c r="B184" t="str">
        <f>"01609214"</f>
        <v>01609214</v>
      </c>
      <c r="C184" t="s">
        <v>2991</v>
      </c>
      <c r="D184" t="s">
        <v>2992</v>
      </c>
      <c r="E184" t="s">
        <v>2993</v>
      </c>
      <c r="G184" t="s">
        <v>1502</v>
      </c>
      <c r="H184" t="s">
        <v>1503</v>
      </c>
      <c r="J184" t="s">
        <v>2994</v>
      </c>
      <c r="L184" t="s">
        <v>138</v>
      </c>
      <c r="M184" t="s">
        <v>108</v>
      </c>
      <c r="R184" t="s">
        <v>2995</v>
      </c>
      <c r="W184" t="s">
        <v>2993</v>
      </c>
      <c r="X184" t="s">
        <v>2996</v>
      </c>
      <c r="Y184" t="s">
        <v>293</v>
      </c>
      <c r="Z184" t="s">
        <v>111</v>
      </c>
      <c r="AA184" t="str">
        <f>"14850-1345"</f>
        <v>14850-1345</v>
      </c>
      <c r="AB184" t="s">
        <v>123</v>
      </c>
      <c r="AC184" t="s">
        <v>113</v>
      </c>
      <c r="AD184" t="s">
        <v>108</v>
      </c>
      <c r="AE184" t="s">
        <v>114</v>
      </c>
      <c r="AF184" t="s">
        <v>142</v>
      </c>
      <c r="AG184" t="s">
        <v>116</v>
      </c>
      <c r="AK184" t="str">
        <f t="shared" si="15"/>
        <v/>
      </c>
      <c r="AL184" t="s">
        <v>2992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  <c r="AS184">
        <v>0</v>
      </c>
      <c r="AT184">
        <v>0</v>
      </c>
      <c r="AU184">
        <v>0</v>
      </c>
      <c r="AV184">
        <v>0</v>
      </c>
      <c r="AW184">
        <v>0</v>
      </c>
      <c r="AX184" s="24" t="str">
        <f t="shared" si="20"/>
        <v/>
      </c>
      <c r="AY184" s="24">
        <f t="shared" si="20"/>
        <v>1</v>
      </c>
      <c r="AZ184" s="24" t="str">
        <f t="shared" si="19"/>
        <v/>
      </c>
      <c r="BA184" s="24" t="str">
        <f t="shared" si="19"/>
        <v/>
      </c>
      <c r="BB184" s="24" t="str">
        <f t="shared" si="19"/>
        <v/>
      </c>
      <c r="BC184" s="24" t="str">
        <f t="shared" si="19"/>
        <v/>
      </c>
      <c r="BD184" s="24" t="str">
        <f t="shared" si="19"/>
        <v/>
      </c>
      <c r="BE184" s="24" t="str">
        <f t="shared" si="19"/>
        <v/>
      </c>
      <c r="BF184" s="24" t="str">
        <f t="shared" si="19"/>
        <v/>
      </c>
      <c r="BG184" s="24" t="str">
        <f t="shared" si="19"/>
        <v/>
      </c>
      <c r="BH184" s="24" t="str">
        <f t="shared" si="16"/>
        <v/>
      </c>
      <c r="BI184" s="24">
        <f t="shared" si="19"/>
        <v>1</v>
      </c>
      <c r="BJ184" s="24" t="str">
        <f t="shared" si="18"/>
        <v/>
      </c>
    </row>
    <row r="185" spans="1:62" ht="15" customHeight="1" x14ac:dyDescent="0.25">
      <c r="A185" t="str">
        <f>"1598046930"</f>
        <v>1598046930</v>
      </c>
      <c r="B185" t="str">
        <f>"03414748"</f>
        <v>03414748</v>
      </c>
      <c r="C185" t="s">
        <v>6096</v>
      </c>
      <c r="D185" t="s">
        <v>6097</v>
      </c>
      <c r="E185" t="s">
        <v>6098</v>
      </c>
      <c r="G185" t="s">
        <v>815</v>
      </c>
      <c r="H185" t="s">
        <v>816</v>
      </c>
      <c r="J185" t="s">
        <v>817</v>
      </c>
      <c r="L185" t="s">
        <v>138</v>
      </c>
      <c r="M185" t="s">
        <v>108</v>
      </c>
      <c r="R185" t="s">
        <v>6099</v>
      </c>
      <c r="W185" t="s">
        <v>6100</v>
      </c>
      <c r="X185" t="s">
        <v>204</v>
      </c>
      <c r="Y185" t="s">
        <v>110</v>
      </c>
      <c r="Z185" t="s">
        <v>111</v>
      </c>
      <c r="AA185" t="str">
        <f>"13905-4246"</f>
        <v>13905-4246</v>
      </c>
      <c r="AB185" t="s">
        <v>123</v>
      </c>
      <c r="AC185" t="s">
        <v>113</v>
      </c>
      <c r="AD185" t="s">
        <v>108</v>
      </c>
      <c r="AE185" t="s">
        <v>114</v>
      </c>
      <c r="AF185" t="s">
        <v>115</v>
      </c>
      <c r="AG185" t="s">
        <v>116</v>
      </c>
      <c r="AK185" t="str">
        <f t="shared" si="15"/>
        <v>Carlie C. Long, RN, BSN, MSN, FNP-C</v>
      </c>
      <c r="AL185" t="s">
        <v>6097</v>
      </c>
      <c r="AM185" t="s">
        <v>108</v>
      </c>
      <c r="AN185" t="s">
        <v>108</v>
      </c>
      <c r="AO185" t="s">
        <v>108</v>
      </c>
      <c r="AP185" t="s">
        <v>108</v>
      </c>
      <c r="AQ185" t="s">
        <v>108</v>
      </c>
      <c r="AR185" t="s">
        <v>108</v>
      </c>
      <c r="AS185" t="s">
        <v>108</v>
      </c>
      <c r="AT185" t="s">
        <v>108</v>
      </c>
      <c r="AU185">
        <v>1</v>
      </c>
      <c r="AV185" t="s">
        <v>108</v>
      </c>
      <c r="AW185" t="s">
        <v>108</v>
      </c>
      <c r="AX185" s="24" t="str">
        <f t="shared" si="20"/>
        <v/>
      </c>
      <c r="AY185" s="24">
        <f t="shared" si="20"/>
        <v>1</v>
      </c>
      <c r="AZ185" s="24" t="str">
        <f t="shared" si="19"/>
        <v/>
      </c>
      <c r="BA185" s="24" t="str">
        <f t="shared" si="19"/>
        <v/>
      </c>
      <c r="BB185" s="24" t="str">
        <f t="shared" si="19"/>
        <v/>
      </c>
      <c r="BC185" s="24" t="str">
        <f t="shared" si="19"/>
        <v/>
      </c>
      <c r="BD185" s="24" t="str">
        <f t="shared" si="19"/>
        <v/>
      </c>
      <c r="BE185" s="24" t="str">
        <f t="shared" si="19"/>
        <v/>
      </c>
      <c r="BF185" s="24" t="str">
        <f t="shared" si="19"/>
        <v/>
      </c>
      <c r="BG185" s="24" t="str">
        <f t="shared" si="19"/>
        <v/>
      </c>
      <c r="BH185" s="24" t="str">
        <f t="shared" si="16"/>
        <v/>
      </c>
      <c r="BI185" s="24">
        <f t="shared" si="19"/>
        <v>1</v>
      </c>
      <c r="BJ185" s="24" t="str">
        <f t="shared" si="18"/>
        <v/>
      </c>
    </row>
    <row r="186" spans="1:62" ht="15" customHeight="1" x14ac:dyDescent="0.25">
      <c r="A186" t="str">
        <f>"1215379912"</f>
        <v>1215379912</v>
      </c>
      <c r="B186" t="str">
        <f>"03795902"</f>
        <v>03795902</v>
      </c>
      <c r="C186" t="s">
        <v>6064</v>
      </c>
      <c r="D186" t="s">
        <v>6065</v>
      </c>
      <c r="E186" t="s">
        <v>6066</v>
      </c>
      <c r="G186" t="s">
        <v>815</v>
      </c>
      <c r="H186" t="s">
        <v>816</v>
      </c>
      <c r="J186" t="s">
        <v>817</v>
      </c>
      <c r="L186" t="s">
        <v>120</v>
      </c>
      <c r="M186" t="s">
        <v>108</v>
      </c>
      <c r="R186" t="s">
        <v>6067</v>
      </c>
      <c r="W186" t="s">
        <v>6066</v>
      </c>
      <c r="X186" t="s">
        <v>6068</v>
      </c>
      <c r="Y186" t="s">
        <v>966</v>
      </c>
      <c r="Z186" t="s">
        <v>111</v>
      </c>
      <c r="AA186" t="str">
        <f>"13850-2003"</f>
        <v>13850-2003</v>
      </c>
      <c r="AB186" t="s">
        <v>123</v>
      </c>
      <c r="AC186" t="s">
        <v>113</v>
      </c>
      <c r="AD186" t="s">
        <v>108</v>
      </c>
      <c r="AE186" t="s">
        <v>114</v>
      </c>
      <c r="AF186" t="s">
        <v>115</v>
      </c>
      <c r="AG186" t="s">
        <v>116</v>
      </c>
      <c r="AK186" t="str">
        <f t="shared" si="15"/>
        <v>Carly J. McKillop, FNP</v>
      </c>
      <c r="AL186" t="s">
        <v>6065</v>
      </c>
      <c r="AM186" t="s">
        <v>108</v>
      </c>
      <c r="AN186" t="s">
        <v>108</v>
      </c>
      <c r="AO186" t="s">
        <v>108</v>
      </c>
      <c r="AP186" t="s">
        <v>108</v>
      </c>
      <c r="AQ186" t="s">
        <v>108</v>
      </c>
      <c r="AR186" t="s">
        <v>108</v>
      </c>
      <c r="AS186" t="s">
        <v>108</v>
      </c>
      <c r="AT186" t="s">
        <v>108</v>
      </c>
      <c r="AU186">
        <v>0</v>
      </c>
      <c r="AV186" t="s">
        <v>108</v>
      </c>
      <c r="AW186" t="s">
        <v>108</v>
      </c>
      <c r="AX186" s="24">
        <f t="shared" si="20"/>
        <v>1</v>
      </c>
      <c r="AY186" s="24" t="str">
        <f t="shared" si="20"/>
        <v/>
      </c>
      <c r="AZ186" s="24" t="str">
        <f t="shared" si="19"/>
        <v/>
      </c>
      <c r="BA186" s="24" t="str">
        <f t="shared" si="19"/>
        <v/>
      </c>
      <c r="BB186" s="24" t="str">
        <f t="shared" si="19"/>
        <v/>
      </c>
      <c r="BC186" s="24" t="str">
        <f t="shared" si="19"/>
        <v/>
      </c>
      <c r="BD186" s="24" t="str">
        <f t="shared" si="19"/>
        <v/>
      </c>
      <c r="BE186" s="24" t="str">
        <f t="shared" si="19"/>
        <v/>
      </c>
      <c r="BF186" s="24" t="str">
        <f t="shared" si="19"/>
        <v/>
      </c>
      <c r="BG186" s="24" t="str">
        <f t="shared" si="19"/>
        <v/>
      </c>
      <c r="BH186" s="24" t="str">
        <f t="shared" si="16"/>
        <v/>
      </c>
      <c r="BI186" s="24">
        <f t="shared" si="19"/>
        <v>1</v>
      </c>
      <c r="BJ186" s="24" t="str">
        <f t="shared" si="18"/>
        <v/>
      </c>
    </row>
    <row r="187" spans="1:62" ht="15" customHeight="1" x14ac:dyDescent="0.25">
      <c r="B187" t="str">
        <f>"01357611"</f>
        <v>01357611</v>
      </c>
      <c r="C187" t="s">
        <v>1544</v>
      </c>
      <c r="D187" t="s">
        <v>1545</v>
      </c>
      <c r="E187" t="s">
        <v>1546</v>
      </c>
      <c r="G187" t="s">
        <v>1544</v>
      </c>
      <c r="H187" t="s">
        <v>440</v>
      </c>
      <c r="J187" t="s">
        <v>1547</v>
      </c>
      <c r="L187" t="s">
        <v>68</v>
      </c>
      <c r="M187" t="s">
        <v>108</v>
      </c>
      <c r="W187" t="s">
        <v>1546</v>
      </c>
      <c r="X187" t="s">
        <v>128</v>
      </c>
      <c r="Y187" t="s">
        <v>129</v>
      </c>
      <c r="Z187" t="s">
        <v>111</v>
      </c>
      <c r="AA187" t="str">
        <f>"13790-2544"</f>
        <v>13790-2544</v>
      </c>
      <c r="AB187" t="s">
        <v>112</v>
      </c>
      <c r="AC187" t="s">
        <v>113</v>
      </c>
      <c r="AD187" t="s">
        <v>108</v>
      </c>
      <c r="AE187" t="s">
        <v>114</v>
      </c>
      <c r="AF187" t="s">
        <v>115</v>
      </c>
      <c r="AG187" t="s">
        <v>116</v>
      </c>
      <c r="AK187" t="str">
        <f t="shared" si="15"/>
        <v/>
      </c>
      <c r="AL187" t="s">
        <v>1545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  <c r="AS187">
        <v>0</v>
      </c>
      <c r="AT187">
        <v>0</v>
      </c>
      <c r="AU187">
        <v>0</v>
      </c>
      <c r="AV187">
        <v>0</v>
      </c>
      <c r="AW187">
        <v>0</v>
      </c>
      <c r="AX187" s="24" t="str">
        <f t="shared" si="20"/>
        <v/>
      </c>
      <c r="AY187" s="24" t="str">
        <f t="shared" si="20"/>
        <v/>
      </c>
      <c r="AZ187" s="24" t="str">
        <f t="shared" si="19"/>
        <v/>
      </c>
      <c r="BA187" s="24" t="str">
        <f t="shared" si="19"/>
        <v/>
      </c>
      <c r="BB187" s="24" t="str">
        <f t="shared" si="19"/>
        <v/>
      </c>
      <c r="BC187" s="24" t="str">
        <f t="shared" si="19"/>
        <v/>
      </c>
      <c r="BD187" s="24" t="str">
        <f t="shared" si="19"/>
        <v/>
      </c>
      <c r="BE187" s="24" t="str">
        <f t="shared" si="19"/>
        <v/>
      </c>
      <c r="BF187" s="24" t="str">
        <f t="shared" si="19"/>
        <v/>
      </c>
      <c r="BG187" s="24" t="str">
        <f t="shared" si="19"/>
        <v/>
      </c>
      <c r="BH187" s="24" t="str">
        <f t="shared" si="16"/>
        <v/>
      </c>
      <c r="BI187" s="24">
        <f t="shared" si="19"/>
        <v>1</v>
      </c>
      <c r="BJ187" s="24" t="str">
        <f t="shared" si="18"/>
        <v/>
      </c>
    </row>
    <row r="188" spans="1:62" ht="15" customHeight="1" x14ac:dyDescent="0.25">
      <c r="A188" t="str">
        <f>"1992017271"</f>
        <v>1992017271</v>
      </c>
      <c r="B188" t="str">
        <f>"03629710"</f>
        <v>03629710</v>
      </c>
      <c r="C188" t="s">
        <v>3973</v>
      </c>
      <c r="D188" t="s">
        <v>3974</v>
      </c>
      <c r="E188" t="s">
        <v>3973</v>
      </c>
      <c r="G188" t="s">
        <v>699</v>
      </c>
      <c r="H188" t="s">
        <v>700</v>
      </c>
      <c r="J188" t="s">
        <v>701</v>
      </c>
      <c r="L188" t="s">
        <v>138</v>
      </c>
      <c r="M188" t="s">
        <v>108</v>
      </c>
      <c r="R188" t="s">
        <v>3975</v>
      </c>
      <c r="W188" t="s">
        <v>3973</v>
      </c>
      <c r="X188" t="s">
        <v>196</v>
      </c>
      <c r="Y188" t="s">
        <v>181</v>
      </c>
      <c r="Z188" t="s">
        <v>182</v>
      </c>
      <c r="AA188" t="str">
        <f>"18840-1625"</f>
        <v>18840-1625</v>
      </c>
      <c r="AB188" t="s">
        <v>123</v>
      </c>
      <c r="AC188" t="s">
        <v>113</v>
      </c>
      <c r="AD188" t="s">
        <v>108</v>
      </c>
      <c r="AE188" t="s">
        <v>114</v>
      </c>
      <c r="AF188" t="s">
        <v>115</v>
      </c>
      <c r="AG188" t="s">
        <v>116</v>
      </c>
      <c r="AK188" t="str">
        <f t="shared" si="15"/>
        <v/>
      </c>
      <c r="AL188" t="s">
        <v>3974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0</v>
      </c>
      <c r="AU188">
        <v>0</v>
      </c>
      <c r="AV188">
        <v>0</v>
      </c>
      <c r="AW188">
        <v>0</v>
      </c>
      <c r="AX188" s="24" t="str">
        <f t="shared" si="20"/>
        <v/>
      </c>
      <c r="AY188" s="24">
        <f t="shared" si="20"/>
        <v>1</v>
      </c>
      <c r="AZ188" s="24" t="str">
        <f t="shared" si="19"/>
        <v/>
      </c>
      <c r="BA188" s="24" t="str">
        <f t="shared" si="19"/>
        <v/>
      </c>
      <c r="BB188" s="24" t="str">
        <f t="shared" si="19"/>
        <v/>
      </c>
      <c r="BC188" s="24" t="str">
        <f t="shared" si="19"/>
        <v/>
      </c>
      <c r="BD188" s="24" t="str">
        <f t="shared" si="19"/>
        <v/>
      </c>
      <c r="BE188" s="24" t="str">
        <f t="shared" si="19"/>
        <v/>
      </c>
      <c r="BF188" s="24" t="str">
        <f t="shared" si="19"/>
        <v/>
      </c>
      <c r="BG188" s="24" t="str">
        <f t="shared" si="19"/>
        <v/>
      </c>
      <c r="BH188" s="24" t="str">
        <f t="shared" si="16"/>
        <v/>
      </c>
      <c r="BI188" s="24">
        <f t="shared" si="19"/>
        <v>1</v>
      </c>
      <c r="BJ188" s="24" t="str">
        <f t="shared" si="18"/>
        <v/>
      </c>
    </row>
    <row r="189" spans="1:62" ht="15" customHeight="1" x14ac:dyDescent="0.25">
      <c r="A189" t="str">
        <f>"1447414255"</f>
        <v>1447414255</v>
      </c>
      <c r="B189" t="str">
        <f>"03044617"</f>
        <v>03044617</v>
      </c>
      <c r="C189" t="s">
        <v>6765</v>
      </c>
      <c r="D189" t="s">
        <v>7034</v>
      </c>
      <c r="E189" t="s">
        <v>7035</v>
      </c>
      <c r="G189" t="s">
        <v>6330</v>
      </c>
      <c r="H189" t="s">
        <v>6331</v>
      </c>
      <c r="J189" t="s">
        <v>6332</v>
      </c>
      <c r="L189" t="s">
        <v>120</v>
      </c>
      <c r="M189" t="s">
        <v>108</v>
      </c>
      <c r="R189" t="s">
        <v>6765</v>
      </c>
      <c r="W189" t="s">
        <v>6890</v>
      </c>
      <c r="X189" t="s">
        <v>6889</v>
      </c>
      <c r="Y189" t="s">
        <v>129</v>
      </c>
      <c r="Z189" t="s">
        <v>111</v>
      </c>
      <c r="AA189" t="str">
        <f>"13790-1805"</f>
        <v>13790-1805</v>
      </c>
      <c r="AB189" t="s">
        <v>123</v>
      </c>
      <c r="AC189" t="s">
        <v>113</v>
      </c>
      <c r="AD189" t="s">
        <v>108</v>
      </c>
      <c r="AE189" t="s">
        <v>114</v>
      </c>
      <c r="AF189" t="s">
        <v>115</v>
      </c>
      <c r="AG189" t="s">
        <v>116</v>
      </c>
      <c r="AK189" t="str">
        <f t="shared" si="15"/>
        <v>CARTER DAVID DR.</v>
      </c>
      <c r="AL189" t="s">
        <v>7034</v>
      </c>
      <c r="AM189" t="s">
        <v>108</v>
      </c>
      <c r="AN189" t="s">
        <v>108</v>
      </c>
      <c r="AO189" t="s">
        <v>108</v>
      </c>
      <c r="AP189" t="s">
        <v>108</v>
      </c>
      <c r="AQ189" t="s">
        <v>108</v>
      </c>
      <c r="AR189" t="s">
        <v>108</v>
      </c>
      <c r="AS189" t="s">
        <v>108</v>
      </c>
      <c r="AT189" t="s">
        <v>108</v>
      </c>
      <c r="AU189">
        <v>0</v>
      </c>
      <c r="AV189" t="s">
        <v>108</v>
      </c>
      <c r="AW189" t="s">
        <v>108</v>
      </c>
      <c r="AX189" s="24">
        <f t="shared" si="20"/>
        <v>1</v>
      </c>
      <c r="AY189" s="24" t="str">
        <f t="shared" si="20"/>
        <v/>
      </c>
      <c r="AZ189" s="24" t="str">
        <f t="shared" si="19"/>
        <v/>
      </c>
      <c r="BA189" s="24" t="str">
        <f t="shared" si="19"/>
        <v/>
      </c>
      <c r="BB189" s="24" t="str">
        <f t="shared" si="19"/>
        <v/>
      </c>
      <c r="BC189" s="24" t="str">
        <f t="shared" si="19"/>
        <v/>
      </c>
      <c r="BD189" s="24" t="str">
        <f t="shared" si="19"/>
        <v/>
      </c>
      <c r="BE189" s="24" t="str">
        <f t="shared" si="19"/>
        <v/>
      </c>
      <c r="BF189" s="24" t="str">
        <f t="shared" si="19"/>
        <v/>
      </c>
      <c r="BG189" s="24" t="str">
        <f t="shared" si="19"/>
        <v/>
      </c>
      <c r="BH189" s="24" t="str">
        <f t="shared" si="16"/>
        <v/>
      </c>
      <c r="BI189" s="24">
        <f t="shared" si="19"/>
        <v>1</v>
      </c>
      <c r="BJ189" s="24" t="str">
        <f t="shared" si="18"/>
        <v/>
      </c>
    </row>
    <row r="190" spans="1:62" ht="15" customHeight="1" x14ac:dyDescent="0.25">
      <c r="A190" t="str">
        <f>"1548518475"</f>
        <v>1548518475</v>
      </c>
      <c r="B190" t="str">
        <f>"03494057"</f>
        <v>03494057</v>
      </c>
      <c r="C190" t="s">
        <v>6854</v>
      </c>
      <c r="D190" t="s">
        <v>7149</v>
      </c>
      <c r="E190" t="s">
        <v>7004</v>
      </c>
      <c r="G190" t="s">
        <v>6330</v>
      </c>
      <c r="H190" t="s">
        <v>6331</v>
      </c>
      <c r="J190" t="s">
        <v>6332</v>
      </c>
      <c r="L190" t="s">
        <v>6867</v>
      </c>
      <c r="M190" t="s">
        <v>108</v>
      </c>
      <c r="R190" t="s">
        <v>6854</v>
      </c>
      <c r="W190" t="s">
        <v>7004</v>
      </c>
      <c r="X190" t="s">
        <v>4040</v>
      </c>
      <c r="Y190" t="s">
        <v>966</v>
      </c>
      <c r="Z190" t="s">
        <v>111</v>
      </c>
      <c r="AA190" t="str">
        <f>"13850-3556"</f>
        <v>13850-3556</v>
      </c>
      <c r="AB190" t="s">
        <v>123</v>
      </c>
      <c r="AC190" t="s">
        <v>113</v>
      </c>
      <c r="AD190" t="s">
        <v>108</v>
      </c>
      <c r="AE190" t="s">
        <v>114</v>
      </c>
      <c r="AF190" t="s">
        <v>124</v>
      </c>
      <c r="AG190" t="s">
        <v>116</v>
      </c>
      <c r="AK190" t="str">
        <f t="shared" si="15"/>
        <v>CASEY ERIN</v>
      </c>
      <c r="AL190" t="s">
        <v>7149</v>
      </c>
      <c r="AM190" t="s">
        <v>108</v>
      </c>
      <c r="AN190" t="s">
        <v>108</v>
      </c>
      <c r="AO190" t="s">
        <v>108</v>
      </c>
      <c r="AP190" t="s">
        <v>108</v>
      </c>
      <c r="AQ190" t="s">
        <v>108</v>
      </c>
      <c r="AR190" t="s">
        <v>108</v>
      </c>
      <c r="AS190" t="s">
        <v>108</v>
      </c>
      <c r="AT190" t="s">
        <v>108</v>
      </c>
      <c r="AU190">
        <v>1</v>
      </c>
      <c r="AV190" t="s">
        <v>108</v>
      </c>
      <c r="AW190" t="s">
        <v>108</v>
      </c>
      <c r="AX190" s="24">
        <f t="shared" si="20"/>
        <v>1</v>
      </c>
      <c r="AY190" s="24">
        <f t="shared" si="20"/>
        <v>1</v>
      </c>
      <c r="AZ190" s="24" t="str">
        <f t="shared" si="19"/>
        <v/>
      </c>
      <c r="BA190" s="24" t="str">
        <f t="shared" si="19"/>
        <v/>
      </c>
      <c r="BB190" s="24" t="str">
        <f t="shared" si="19"/>
        <v/>
      </c>
      <c r="BC190" s="24" t="str">
        <f t="shared" si="19"/>
        <v/>
      </c>
      <c r="BD190" s="24" t="str">
        <f t="shared" si="19"/>
        <v/>
      </c>
      <c r="BE190" s="24" t="str">
        <f t="shared" si="19"/>
        <v/>
      </c>
      <c r="BF190" s="24" t="str">
        <f t="shared" si="19"/>
        <v/>
      </c>
      <c r="BG190" s="24" t="str">
        <f t="shared" si="19"/>
        <v/>
      </c>
      <c r="BH190" s="24" t="str">
        <f t="shared" si="16"/>
        <v/>
      </c>
      <c r="BI190" s="24">
        <f t="shared" si="19"/>
        <v>1</v>
      </c>
      <c r="BJ190" s="24" t="str">
        <f t="shared" si="18"/>
        <v/>
      </c>
    </row>
    <row r="191" spans="1:62" ht="15" customHeight="1" x14ac:dyDescent="0.25">
      <c r="A191" t="str">
        <f>"1336116037"</f>
        <v>1336116037</v>
      </c>
      <c r="B191" t="str">
        <f>"01028899"</f>
        <v>01028899</v>
      </c>
      <c r="C191" t="s">
        <v>6668</v>
      </c>
      <c r="D191" t="s">
        <v>6669</v>
      </c>
      <c r="E191" t="s">
        <v>6670</v>
      </c>
      <c r="G191" t="s">
        <v>6507</v>
      </c>
      <c r="H191" t="s">
        <v>6508</v>
      </c>
      <c r="J191" t="s">
        <v>6509</v>
      </c>
      <c r="L191" t="s">
        <v>120</v>
      </c>
      <c r="M191" t="s">
        <v>108</v>
      </c>
      <c r="R191" t="s">
        <v>6671</v>
      </c>
      <c r="W191" t="s">
        <v>6670</v>
      </c>
      <c r="X191" t="s">
        <v>6672</v>
      </c>
      <c r="Y191" t="s">
        <v>927</v>
      </c>
      <c r="Z191" t="s">
        <v>111</v>
      </c>
      <c r="AA191" t="str">
        <f>"14901"</f>
        <v>14901</v>
      </c>
      <c r="AB191" t="s">
        <v>123</v>
      </c>
      <c r="AC191" t="s">
        <v>113</v>
      </c>
      <c r="AD191" t="s">
        <v>108</v>
      </c>
      <c r="AE191" t="s">
        <v>114</v>
      </c>
      <c r="AF191" t="s">
        <v>149</v>
      </c>
      <c r="AG191" t="s">
        <v>116</v>
      </c>
      <c r="AK191" t="str">
        <f t="shared" si="15"/>
        <v>Cassetta Brian</v>
      </c>
      <c r="AL191" t="s">
        <v>6669</v>
      </c>
      <c r="AM191" t="s">
        <v>108</v>
      </c>
      <c r="AN191" t="s">
        <v>108</v>
      </c>
      <c r="AO191" t="s">
        <v>108</v>
      </c>
      <c r="AP191" t="s">
        <v>108</v>
      </c>
      <c r="AQ191" t="s">
        <v>108</v>
      </c>
      <c r="AR191" t="s">
        <v>108</v>
      </c>
      <c r="AS191" t="s">
        <v>108</v>
      </c>
      <c r="AT191" t="s">
        <v>108</v>
      </c>
      <c r="AU191">
        <v>0</v>
      </c>
      <c r="AV191" t="s">
        <v>108</v>
      </c>
      <c r="AW191" t="s">
        <v>108</v>
      </c>
      <c r="AX191" s="24">
        <f t="shared" si="20"/>
        <v>1</v>
      </c>
      <c r="AY191" s="24" t="str">
        <f t="shared" si="20"/>
        <v/>
      </c>
      <c r="AZ191" s="24" t="str">
        <f t="shared" si="19"/>
        <v/>
      </c>
      <c r="BA191" s="24" t="str">
        <f t="shared" si="19"/>
        <v/>
      </c>
      <c r="BB191" s="24" t="str">
        <f t="shared" si="19"/>
        <v/>
      </c>
      <c r="BC191" s="24" t="str">
        <f t="shared" si="19"/>
        <v/>
      </c>
      <c r="BD191" s="24" t="str">
        <f t="shared" si="19"/>
        <v/>
      </c>
      <c r="BE191" s="24" t="str">
        <f t="shared" si="19"/>
        <v/>
      </c>
      <c r="BF191" s="24" t="str">
        <f t="shared" si="19"/>
        <v/>
      </c>
      <c r="BG191" s="24" t="str">
        <f t="shared" si="19"/>
        <v/>
      </c>
      <c r="BH191" s="24" t="str">
        <f t="shared" si="16"/>
        <v/>
      </c>
      <c r="BI191" s="24">
        <f t="shared" si="19"/>
        <v>1</v>
      </c>
      <c r="BJ191" s="24" t="str">
        <f t="shared" si="18"/>
        <v/>
      </c>
    </row>
    <row r="192" spans="1:62" ht="15" customHeight="1" x14ac:dyDescent="0.25">
      <c r="A192" t="str">
        <f>"1194831610"</f>
        <v>1194831610</v>
      </c>
      <c r="B192" t="str">
        <f>"01042259"</f>
        <v>01042259</v>
      </c>
      <c r="C192" t="s">
        <v>6793</v>
      </c>
      <c r="D192" t="s">
        <v>7069</v>
      </c>
      <c r="E192" t="s">
        <v>6930</v>
      </c>
      <c r="G192" t="s">
        <v>1352</v>
      </c>
      <c r="H192" t="s">
        <v>1301</v>
      </c>
      <c r="J192" t="s">
        <v>1354</v>
      </c>
      <c r="L192" t="s">
        <v>120</v>
      </c>
      <c r="M192" t="s">
        <v>108</v>
      </c>
      <c r="R192" t="s">
        <v>6793</v>
      </c>
      <c r="W192" t="s">
        <v>6930</v>
      </c>
      <c r="X192" t="s">
        <v>3329</v>
      </c>
      <c r="Y192" t="s">
        <v>239</v>
      </c>
      <c r="Z192" t="s">
        <v>111</v>
      </c>
      <c r="AA192" t="str">
        <f>"13045-1435"</f>
        <v>13045-1435</v>
      </c>
      <c r="AB192" t="s">
        <v>123</v>
      </c>
      <c r="AC192" t="s">
        <v>113</v>
      </c>
      <c r="AD192" t="s">
        <v>108</v>
      </c>
      <c r="AE192" t="s">
        <v>114</v>
      </c>
      <c r="AF192" t="s">
        <v>142</v>
      </c>
      <c r="AG192" t="s">
        <v>116</v>
      </c>
      <c r="AK192" t="str">
        <f t="shared" si="15"/>
        <v>CASTELLANOS ROBERT DR.</v>
      </c>
      <c r="AL192" t="s">
        <v>7069</v>
      </c>
      <c r="AM192" t="s">
        <v>108</v>
      </c>
      <c r="AN192" t="s">
        <v>108</v>
      </c>
      <c r="AO192" t="s">
        <v>108</v>
      </c>
      <c r="AP192" t="s">
        <v>108</v>
      </c>
      <c r="AQ192" t="s">
        <v>108</v>
      </c>
      <c r="AR192" t="s">
        <v>108</v>
      </c>
      <c r="AS192" t="s">
        <v>108</v>
      </c>
      <c r="AT192" t="s">
        <v>108</v>
      </c>
      <c r="AU192">
        <v>0</v>
      </c>
      <c r="AV192" t="s">
        <v>108</v>
      </c>
      <c r="AW192" t="s">
        <v>108</v>
      </c>
      <c r="AX192" s="24">
        <f t="shared" si="20"/>
        <v>1</v>
      </c>
      <c r="AY192" s="24" t="str">
        <f t="shared" si="20"/>
        <v/>
      </c>
      <c r="AZ192" s="24" t="str">
        <f t="shared" si="19"/>
        <v/>
      </c>
      <c r="BA192" s="24" t="str">
        <f t="shared" ref="AZ192:BI217" si="21">IF(ISERROR(FIND(BA$1,$L192,1)),"",1)</f>
        <v/>
      </c>
      <c r="BB192" s="24" t="str">
        <f t="shared" si="21"/>
        <v/>
      </c>
      <c r="BC192" s="24" t="str">
        <f t="shared" si="21"/>
        <v/>
      </c>
      <c r="BD192" s="24" t="str">
        <f t="shared" si="21"/>
        <v/>
      </c>
      <c r="BE192" s="24" t="str">
        <f t="shared" si="21"/>
        <v/>
      </c>
      <c r="BF192" s="24" t="str">
        <f t="shared" si="21"/>
        <v/>
      </c>
      <c r="BG192" s="24" t="str">
        <f t="shared" si="21"/>
        <v/>
      </c>
      <c r="BH192" s="24" t="str">
        <f t="shared" si="16"/>
        <v/>
      </c>
      <c r="BI192" s="24">
        <f t="shared" si="21"/>
        <v>1</v>
      </c>
      <c r="BJ192" s="24" t="str">
        <f t="shared" si="18"/>
        <v/>
      </c>
    </row>
    <row r="193" spans="1:62" ht="15" customHeight="1" x14ac:dyDescent="0.25">
      <c r="A193" t="str">
        <f>"1962503789"</f>
        <v>1962503789</v>
      </c>
      <c r="B193" t="str">
        <f>"03115726"</f>
        <v>03115726</v>
      </c>
      <c r="C193" t="s">
        <v>4575</v>
      </c>
      <c r="D193" t="s">
        <v>4576</v>
      </c>
      <c r="E193" t="s">
        <v>4575</v>
      </c>
      <c r="L193" t="s">
        <v>809</v>
      </c>
      <c r="M193" t="s">
        <v>108</v>
      </c>
      <c r="R193" t="s">
        <v>4575</v>
      </c>
      <c r="W193" t="s">
        <v>4577</v>
      </c>
      <c r="X193" t="s">
        <v>1009</v>
      </c>
      <c r="Y193" t="s">
        <v>110</v>
      </c>
      <c r="Z193" t="s">
        <v>111</v>
      </c>
      <c r="AA193" t="str">
        <f>"13903-1617"</f>
        <v>13903-1617</v>
      </c>
      <c r="AB193" t="s">
        <v>811</v>
      </c>
      <c r="AC193" t="s">
        <v>113</v>
      </c>
      <c r="AD193" t="s">
        <v>108</v>
      </c>
      <c r="AE193" t="s">
        <v>114</v>
      </c>
      <c r="AF193" t="s">
        <v>115</v>
      </c>
      <c r="AG193" t="s">
        <v>116</v>
      </c>
      <c r="AK193" t="str">
        <f t="shared" si="15"/>
        <v/>
      </c>
      <c r="AL193" t="s">
        <v>4576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  <c r="AS193">
        <v>0</v>
      </c>
      <c r="AT193">
        <v>0</v>
      </c>
      <c r="AU193">
        <v>0</v>
      </c>
      <c r="AV193">
        <v>0</v>
      </c>
      <c r="AW193">
        <v>0</v>
      </c>
      <c r="AX193" s="24" t="str">
        <f t="shared" si="20"/>
        <v/>
      </c>
      <c r="AY193" s="24">
        <f t="shared" si="20"/>
        <v>1</v>
      </c>
      <c r="AZ193" s="24" t="str">
        <f t="shared" si="21"/>
        <v/>
      </c>
      <c r="BA193" s="24" t="str">
        <f t="shared" si="21"/>
        <v/>
      </c>
      <c r="BB193" s="24" t="str">
        <f t="shared" si="21"/>
        <v/>
      </c>
      <c r="BC193" s="24">
        <f t="shared" si="21"/>
        <v>1</v>
      </c>
      <c r="BD193" s="24" t="str">
        <f t="shared" si="21"/>
        <v/>
      </c>
      <c r="BE193" s="24" t="str">
        <f t="shared" si="21"/>
        <v/>
      </c>
      <c r="BF193" s="24" t="str">
        <f t="shared" si="21"/>
        <v/>
      </c>
      <c r="BG193" s="24" t="str">
        <f t="shared" si="21"/>
        <v/>
      </c>
      <c r="BH193" s="24" t="str">
        <f t="shared" si="16"/>
        <v/>
      </c>
      <c r="BI193" s="24" t="str">
        <f t="shared" si="21"/>
        <v/>
      </c>
      <c r="BJ193" s="24" t="str">
        <f t="shared" si="18"/>
        <v/>
      </c>
    </row>
    <row r="194" spans="1:62" ht="15" customHeight="1" x14ac:dyDescent="0.25">
      <c r="A194" t="str">
        <f>"1619048303"</f>
        <v>1619048303</v>
      </c>
      <c r="B194" t="str">
        <f>"01969084"</f>
        <v>01969084</v>
      </c>
      <c r="C194" t="s">
        <v>6198</v>
      </c>
      <c r="D194" t="s">
        <v>6199</v>
      </c>
      <c r="E194" t="s">
        <v>6200</v>
      </c>
      <c r="G194" t="s">
        <v>815</v>
      </c>
      <c r="H194" t="s">
        <v>816</v>
      </c>
      <c r="J194" t="s">
        <v>817</v>
      </c>
      <c r="L194" t="s">
        <v>6867</v>
      </c>
      <c r="M194" t="s">
        <v>108</v>
      </c>
      <c r="R194" t="s">
        <v>6201</v>
      </c>
      <c r="W194" t="s">
        <v>6200</v>
      </c>
      <c r="X194" t="s">
        <v>1781</v>
      </c>
      <c r="Y194" t="s">
        <v>110</v>
      </c>
      <c r="Z194" t="s">
        <v>111</v>
      </c>
      <c r="AA194" t="str">
        <f>"13904-1659"</f>
        <v>13904-1659</v>
      </c>
      <c r="AB194" t="s">
        <v>123</v>
      </c>
      <c r="AC194" t="s">
        <v>113</v>
      </c>
      <c r="AD194" t="s">
        <v>108</v>
      </c>
      <c r="AE194" t="s">
        <v>114</v>
      </c>
      <c r="AF194" t="s">
        <v>115</v>
      </c>
      <c r="AG194" t="s">
        <v>116</v>
      </c>
      <c r="AK194" t="str">
        <f t="shared" ref="AK194:AK257" si="22">IF(AM194="No",C194,"")</f>
        <v>Catherine A. Dooley, FNP-C</v>
      </c>
      <c r="AL194" t="s">
        <v>6199</v>
      </c>
      <c r="AM194" t="s">
        <v>108</v>
      </c>
      <c r="AN194" t="s">
        <v>108</v>
      </c>
      <c r="AO194" t="s">
        <v>108</v>
      </c>
      <c r="AP194" t="s">
        <v>108</v>
      </c>
      <c r="AQ194" t="s">
        <v>108</v>
      </c>
      <c r="AR194" t="s">
        <v>108</v>
      </c>
      <c r="AS194" t="s">
        <v>108</v>
      </c>
      <c r="AT194" t="s">
        <v>108</v>
      </c>
      <c r="AU194">
        <v>0</v>
      </c>
      <c r="AV194" t="s">
        <v>108</v>
      </c>
      <c r="AW194" t="s">
        <v>108</v>
      </c>
      <c r="AX194" s="24">
        <f t="shared" si="20"/>
        <v>1</v>
      </c>
      <c r="AY194" s="24">
        <f t="shared" si="20"/>
        <v>1</v>
      </c>
      <c r="AZ194" s="24" t="str">
        <f t="shared" si="21"/>
        <v/>
      </c>
      <c r="BA194" s="24" t="str">
        <f t="shared" si="21"/>
        <v/>
      </c>
      <c r="BB194" s="24" t="str">
        <f t="shared" si="21"/>
        <v/>
      </c>
      <c r="BC194" s="24" t="str">
        <f t="shared" si="21"/>
        <v/>
      </c>
      <c r="BD194" s="24" t="str">
        <f t="shared" si="21"/>
        <v/>
      </c>
      <c r="BE194" s="24" t="str">
        <f t="shared" si="21"/>
        <v/>
      </c>
      <c r="BF194" s="24" t="str">
        <f t="shared" si="21"/>
        <v/>
      </c>
      <c r="BG194" s="24" t="str">
        <f t="shared" si="21"/>
        <v/>
      </c>
      <c r="BH194" s="24" t="str">
        <f t="shared" si="16"/>
        <v/>
      </c>
      <c r="BI194" s="24">
        <f t="shared" si="21"/>
        <v>1</v>
      </c>
      <c r="BJ194" s="24" t="str">
        <f t="shared" si="18"/>
        <v/>
      </c>
    </row>
    <row r="195" spans="1:62" ht="15" customHeight="1" x14ac:dyDescent="0.25">
      <c r="A195" t="str">
        <f>"1619352655"</f>
        <v>1619352655</v>
      </c>
      <c r="B195" t="str">
        <f>"04254615"</f>
        <v>04254615</v>
      </c>
      <c r="C195" t="s">
        <v>5940</v>
      </c>
      <c r="D195" t="s">
        <v>5941</v>
      </c>
      <c r="E195" t="s">
        <v>5942</v>
      </c>
      <c r="G195" t="s">
        <v>815</v>
      </c>
      <c r="H195" t="s">
        <v>816</v>
      </c>
      <c r="J195" t="s">
        <v>817</v>
      </c>
      <c r="L195" t="s">
        <v>247</v>
      </c>
      <c r="M195" t="s">
        <v>108</v>
      </c>
      <c r="R195" t="s">
        <v>5943</v>
      </c>
      <c r="W195" t="s">
        <v>5942</v>
      </c>
      <c r="X195" t="s">
        <v>5944</v>
      </c>
      <c r="Y195" t="s">
        <v>966</v>
      </c>
      <c r="Z195" t="s">
        <v>111</v>
      </c>
      <c r="AA195" t="str">
        <f>"13850-2003"</f>
        <v>13850-2003</v>
      </c>
      <c r="AB195" t="s">
        <v>123</v>
      </c>
      <c r="AC195" t="s">
        <v>113</v>
      </c>
      <c r="AD195" t="s">
        <v>108</v>
      </c>
      <c r="AE195" t="s">
        <v>114</v>
      </c>
      <c r="AF195" t="s">
        <v>115</v>
      </c>
      <c r="AG195" t="s">
        <v>116</v>
      </c>
      <c r="AK195" t="str">
        <f t="shared" si="22"/>
        <v>Catherine Walburger, FNP</v>
      </c>
      <c r="AL195" t="s">
        <v>5941</v>
      </c>
      <c r="AM195" t="s">
        <v>108</v>
      </c>
      <c r="AN195" t="s">
        <v>108</v>
      </c>
      <c r="AO195" t="s">
        <v>108</v>
      </c>
      <c r="AP195" t="s">
        <v>108</v>
      </c>
      <c r="AQ195" t="s">
        <v>108</v>
      </c>
      <c r="AR195" t="s">
        <v>108</v>
      </c>
      <c r="AS195" t="s">
        <v>108</v>
      </c>
      <c r="AT195" t="s">
        <v>108</v>
      </c>
      <c r="AU195">
        <v>0</v>
      </c>
      <c r="AV195" t="s">
        <v>108</v>
      </c>
      <c r="AW195" t="s">
        <v>108</v>
      </c>
      <c r="AX195" s="24" t="str">
        <f t="shared" si="20"/>
        <v/>
      </c>
      <c r="AY195" s="24">
        <f t="shared" si="20"/>
        <v>1</v>
      </c>
      <c r="AZ195" s="24" t="str">
        <f t="shared" si="21"/>
        <v/>
      </c>
      <c r="BA195" s="24" t="str">
        <f t="shared" si="21"/>
        <v/>
      </c>
      <c r="BB195" s="24" t="str">
        <f t="shared" si="21"/>
        <v/>
      </c>
      <c r="BC195" s="24" t="str">
        <f t="shared" si="21"/>
        <v/>
      </c>
      <c r="BD195" s="24" t="str">
        <f t="shared" si="21"/>
        <v/>
      </c>
      <c r="BE195" s="24" t="str">
        <f t="shared" si="21"/>
        <v/>
      </c>
      <c r="BF195" s="24" t="str">
        <f t="shared" si="21"/>
        <v/>
      </c>
      <c r="BG195" s="24" t="str">
        <f t="shared" si="21"/>
        <v/>
      </c>
      <c r="BH195" s="24" t="str">
        <f t="shared" ref="BH195:BH258" si="23">IF(ISERROR(FIND("CBO",$L195,1)),"",1)</f>
        <v/>
      </c>
      <c r="BI195" s="24" t="str">
        <f t="shared" si="21"/>
        <v/>
      </c>
      <c r="BJ195" s="24" t="str">
        <f t="shared" si="18"/>
        <v/>
      </c>
    </row>
    <row r="196" spans="1:62" ht="15" customHeight="1" x14ac:dyDescent="0.25">
      <c r="A196" t="str">
        <f>"1366597171"</f>
        <v>1366597171</v>
      </c>
      <c r="B196" t="str">
        <f>"02995435"</f>
        <v>02995435</v>
      </c>
      <c r="C196" t="s">
        <v>368</v>
      </c>
      <c r="D196" t="s">
        <v>369</v>
      </c>
      <c r="E196" t="s">
        <v>370</v>
      </c>
      <c r="G196" t="s">
        <v>371</v>
      </c>
      <c r="H196" t="s">
        <v>372</v>
      </c>
      <c r="J196" t="s">
        <v>373</v>
      </c>
      <c r="L196" t="s">
        <v>374</v>
      </c>
      <c r="M196" t="s">
        <v>139</v>
      </c>
      <c r="R196" t="s">
        <v>375</v>
      </c>
      <c r="W196" t="s">
        <v>368</v>
      </c>
      <c r="X196" t="s">
        <v>376</v>
      </c>
      <c r="Y196" t="s">
        <v>239</v>
      </c>
      <c r="Z196" t="s">
        <v>111</v>
      </c>
      <c r="AA196" t="str">
        <f>"13045-2601"</f>
        <v>13045-2601</v>
      </c>
      <c r="AB196" t="s">
        <v>165</v>
      </c>
      <c r="AC196" t="s">
        <v>113</v>
      </c>
      <c r="AD196" t="s">
        <v>108</v>
      </c>
      <c r="AE196" t="s">
        <v>114</v>
      </c>
      <c r="AF196" t="s">
        <v>142</v>
      </c>
      <c r="AG196" t="s">
        <v>116</v>
      </c>
      <c r="AK196" t="str">
        <f t="shared" si="22"/>
        <v/>
      </c>
      <c r="AL196" t="s">
        <v>369</v>
      </c>
      <c r="AM196">
        <v>1</v>
      </c>
      <c r="AN196">
        <v>0</v>
      </c>
      <c r="AO196">
        <v>0</v>
      </c>
      <c r="AP196">
        <v>1</v>
      </c>
      <c r="AQ196">
        <v>1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 s="24" t="str">
        <f t="shared" si="20"/>
        <v/>
      </c>
      <c r="AY196" s="24" t="str">
        <f t="shared" si="20"/>
        <v/>
      </c>
      <c r="AZ196" s="24" t="str">
        <f t="shared" si="21"/>
        <v/>
      </c>
      <c r="BA196" s="24" t="str">
        <f t="shared" si="21"/>
        <v/>
      </c>
      <c r="BB196" s="24">
        <f t="shared" si="21"/>
        <v>1</v>
      </c>
      <c r="BC196" s="24">
        <f t="shared" si="21"/>
        <v>1</v>
      </c>
      <c r="BD196" s="24" t="str">
        <f t="shared" si="21"/>
        <v/>
      </c>
      <c r="BE196" s="24" t="str">
        <f t="shared" si="21"/>
        <v/>
      </c>
      <c r="BF196" s="24" t="str">
        <f t="shared" si="21"/>
        <v/>
      </c>
      <c r="BG196" s="24" t="str">
        <f t="shared" si="21"/>
        <v/>
      </c>
      <c r="BH196" s="24" t="str">
        <f t="shared" si="23"/>
        <v/>
      </c>
      <c r="BI196" s="24" t="str">
        <f t="shared" si="21"/>
        <v/>
      </c>
      <c r="BJ196" s="24" t="str">
        <f t="shared" si="18"/>
        <v/>
      </c>
    </row>
    <row r="197" spans="1:62" ht="15" customHeight="1" x14ac:dyDescent="0.25">
      <c r="A197" t="str">
        <f>"1811932783"</f>
        <v>1811932783</v>
      </c>
      <c r="C197" t="s">
        <v>4806</v>
      </c>
      <c r="G197" t="s">
        <v>4807</v>
      </c>
      <c r="H197" t="s">
        <v>4808</v>
      </c>
      <c r="J197" t="s">
        <v>4809</v>
      </c>
      <c r="K197" t="s">
        <v>4810</v>
      </c>
      <c r="L197" t="s">
        <v>133</v>
      </c>
      <c r="M197" t="s">
        <v>108</v>
      </c>
      <c r="R197" t="s">
        <v>4811</v>
      </c>
      <c r="S197" t="s">
        <v>4812</v>
      </c>
      <c r="T197" t="s">
        <v>110</v>
      </c>
      <c r="U197" t="s">
        <v>111</v>
      </c>
      <c r="V197" t="str">
        <f>"139052610"</f>
        <v>139052610</v>
      </c>
      <c r="AC197" t="s">
        <v>113</v>
      </c>
      <c r="AD197" t="s">
        <v>108</v>
      </c>
      <c r="AE197" t="s">
        <v>775</v>
      </c>
      <c r="AF197" t="s">
        <v>115</v>
      </c>
      <c r="AG197" t="s">
        <v>116</v>
      </c>
      <c r="AK197" t="str">
        <f t="shared" si="22"/>
        <v>Catholic Charities of Broome County</v>
      </c>
      <c r="AM197" t="s">
        <v>108</v>
      </c>
      <c r="AN197" t="s">
        <v>108</v>
      </c>
      <c r="AO197" t="s">
        <v>108</v>
      </c>
      <c r="AP197" t="s">
        <v>108</v>
      </c>
      <c r="AQ197" t="s">
        <v>108</v>
      </c>
      <c r="AR197" t="s">
        <v>108</v>
      </c>
      <c r="AS197" t="s">
        <v>108</v>
      </c>
      <c r="AT197" t="s">
        <v>108</v>
      </c>
      <c r="AU197">
        <v>0</v>
      </c>
      <c r="AV197" t="s">
        <v>108</v>
      </c>
      <c r="AW197" t="s">
        <v>108</v>
      </c>
      <c r="AX197" s="24" t="str">
        <f t="shared" si="20"/>
        <v/>
      </c>
      <c r="AY197" s="24" t="str">
        <f t="shared" si="20"/>
        <v/>
      </c>
      <c r="AZ197" s="24" t="str">
        <f t="shared" si="21"/>
        <v/>
      </c>
      <c r="BA197" s="24" t="str">
        <f t="shared" si="21"/>
        <v/>
      </c>
      <c r="BB197" s="24" t="str">
        <f t="shared" si="21"/>
        <v/>
      </c>
      <c r="BC197" s="24" t="str">
        <f t="shared" si="21"/>
        <v/>
      </c>
      <c r="BD197" s="24" t="str">
        <f t="shared" si="21"/>
        <v/>
      </c>
      <c r="BE197" s="24" t="str">
        <f t="shared" si="21"/>
        <v/>
      </c>
      <c r="BF197" s="24" t="str">
        <f t="shared" si="21"/>
        <v/>
      </c>
      <c r="BG197" s="24" t="str">
        <f t="shared" si="21"/>
        <v/>
      </c>
      <c r="BH197" s="24" t="str">
        <f t="shared" si="23"/>
        <v/>
      </c>
      <c r="BI197" s="24" t="str">
        <f t="shared" si="21"/>
        <v/>
      </c>
      <c r="BJ197" s="24">
        <f t="shared" si="18"/>
        <v>1</v>
      </c>
    </row>
    <row r="198" spans="1:62" ht="15" customHeight="1" x14ac:dyDescent="0.25">
      <c r="A198" t="str">
        <f>"1689710154"</f>
        <v>1689710154</v>
      </c>
      <c r="B198" t="str">
        <f>"01164149"</f>
        <v>01164149</v>
      </c>
      <c r="C198" t="s">
        <v>4806</v>
      </c>
      <c r="D198" t="s">
        <v>5529</v>
      </c>
      <c r="E198" t="s">
        <v>5530</v>
      </c>
      <c r="G198" t="s">
        <v>4807</v>
      </c>
      <c r="H198" t="s">
        <v>4808</v>
      </c>
      <c r="J198" t="s">
        <v>4809</v>
      </c>
      <c r="L198" t="s">
        <v>66</v>
      </c>
      <c r="M198" t="s">
        <v>139</v>
      </c>
      <c r="R198" t="s">
        <v>4811</v>
      </c>
      <c r="W198" t="s">
        <v>5530</v>
      </c>
      <c r="X198" t="s">
        <v>5531</v>
      </c>
      <c r="Y198" t="s">
        <v>110</v>
      </c>
      <c r="Z198" t="s">
        <v>111</v>
      </c>
      <c r="AA198" t="str">
        <f>"13901-3102"</f>
        <v>13901-3102</v>
      </c>
      <c r="AB198" t="s">
        <v>165</v>
      </c>
      <c r="AC198" t="s">
        <v>113</v>
      </c>
      <c r="AD198" t="s">
        <v>108</v>
      </c>
      <c r="AE198" t="s">
        <v>114</v>
      </c>
      <c r="AF198" t="s">
        <v>115</v>
      </c>
      <c r="AG198" t="s">
        <v>116</v>
      </c>
      <c r="AK198" t="str">
        <f t="shared" si="22"/>
        <v/>
      </c>
      <c r="AL198" t="s">
        <v>5529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 s="24" t="str">
        <f t="shared" si="20"/>
        <v/>
      </c>
      <c r="AY198" s="24" t="str">
        <f t="shared" si="20"/>
        <v/>
      </c>
      <c r="AZ198" s="24" t="str">
        <f t="shared" si="21"/>
        <v/>
      </c>
      <c r="BA198" s="24" t="str">
        <f t="shared" si="21"/>
        <v/>
      </c>
      <c r="BB198" s="24">
        <f t="shared" si="21"/>
        <v>1</v>
      </c>
      <c r="BC198" s="24" t="str">
        <f t="shared" si="21"/>
        <v/>
      </c>
      <c r="BD198" s="24" t="str">
        <f t="shared" si="21"/>
        <v/>
      </c>
      <c r="BE198" s="24" t="str">
        <f t="shared" si="21"/>
        <v/>
      </c>
      <c r="BF198" s="24" t="str">
        <f t="shared" si="21"/>
        <v/>
      </c>
      <c r="BG198" s="24" t="str">
        <f t="shared" si="21"/>
        <v/>
      </c>
      <c r="BH198" s="24" t="str">
        <f t="shared" si="23"/>
        <v/>
      </c>
      <c r="BI198" s="24" t="str">
        <f t="shared" si="21"/>
        <v/>
      </c>
      <c r="BJ198" s="24" t="str">
        <f t="shared" si="18"/>
        <v/>
      </c>
    </row>
    <row r="199" spans="1:62" ht="15" customHeight="1" x14ac:dyDescent="0.25">
      <c r="A199" t="str">
        <f>"1447318662"</f>
        <v>1447318662</v>
      </c>
      <c r="B199" t="str">
        <f>"01303979"</f>
        <v>01303979</v>
      </c>
      <c r="C199" t="s">
        <v>4636</v>
      </c>
      <c r="D199" t="s">
        <v>4637</v>
      </c>
      <c r="E199" t="s">
        <v>4638</v>
      </c>
      <c r="G199" t="s">
        <v>4639</v>
      </c>
      <c r="H199" t="s">
        <v>4640</v>
      </c>
      <c r="J199" t="s">
        <v>4641</v>
      </c>
      <c r="L199" t="s">
        <v>374</v>
      </c>
      <c r="M199" t="s">
        <v>139</v>
      </c>
      <c r="R199" t="s">
        <v>4642</v>
      </c>
      <c r="W199" t="s">
        <v>4638</v>
      </c>
      <c r="X199" t="s">
        <v>4643</v>
      </c>
      <c r="Y199" t="s">
        <v>122</v>
      </c>
      <c r="Z199" t="s">
        <v>111</v>
      </c>
      <c r="AA199" t="str">
        <f>"13815-1627"</f>
        <v>13815-1627</v>
      </c>
      <c r="AB199" t="s">
        <v>165</v>
      </c>
      <c r="AC199" t="s">
        <v>113</v>
      </c>
      <c r="AD199" t="s">
        <v>108</v>
      </c>
      <c r="AE199" t="s">
        <v>114</v>
      </c>
      <c r="AF199" t="s">
        <v>124</v>
      </c>
      <c r="AG199" t="s">
        <v>116</v>
      </c>
      <c r="AK199" t="str">
        <f t="shared" si="22"/>
        <v/>
      </c>
      <c r="AL199" t="s">
        <v>4637</v>
      </c>
      <c r="AM199">
        <v>1</v>
      </c>
      <c r="AN199">
        <v>0</v>
      </c>
      <c r="AO199">
        <v>0</v>
      </c>
      <c r="AP199">
        <v>1</v>
      </c>
      <c r="AQ199">
        <v>1</v>
      </c>
      <c r="AR199">
        <v>0</v>
      </c>
      <c r="AS199">
        <v>0</v>
      </c>
      <c r="AT199">
        <v>0</v>
      </c>
      <c r="AU199">
        <v>0</v>
      </c>
      <c r="AV199">
        <v>0</v>
      </c>
      <c r="AW199">
        <v>0</v>
      </c>
      <c r="AX199" s="24" t="str">
        <f t="shared" si="20"/>
        <v/>
      </c>
      <c r="AY199" s="24" t="str">
        <f t="shared" si="20"/>
        <v/>
      </c>
      <c r="AZ199" s="24" t="str">
        <f t="shared" si="21"/>
        <v/>
      </c>
      <c r="BA199" s="24" t="str">
        <f t="shared" si="21"/>
        <v/>
      </c>
      <c r="BB199" s="24">
        <f t="shared" si="21"/>
        <v>1</v>
      </c>
      <c r="BC199" s="24">
        <f t="shared" si="21"/>
        <v>1</v>
      </c>
      <c r="BD199" s="24" t="str">
        <f t="shared" si="21"/>
        <v/>
      </c>
      <c r="BE199" s="24" t="str">
        <f t="shared" si="21"/>
        <v/>
      </c>
      <c r="BF199" s="24" t="str">
        <f t="shared" si="21"/>
        <v/>
      </c>
      <c r="BG199" s="24" t="str">
        <f t="shared" si="21"/>
        <v/>
      </c>
      <c r="BH199" s="24" t="str">
        <f t="shared" si="23"/>
        <v/>
      </c>
      <c r="BI199" s="24" t="str">
        <f t="shared" si="21"/>
        <v/>
      </c>
      <c r="BJ199" s="24" t="str">
        <f t="shared" si="18"/>
        <v/>
      </c>
    </row>
    <row r="200" spans="1:62" ht="15" customHeight="1" x14ac:dyDescent="0.25">
      <c r="A200" t="str">
        <f>"1083772628"</f>
        <v>1083772628</v>
      </c>
      <c r="B200" t="str">
        <f>"01304723"</f>
        <v>01304723</v>
      </c>
      <c r="C200" t="s">
        <v>4829</v>
      </c>
      <c r="D200" t="s">
        <v>4830</v>
      </c>
      <c r="E200" t="s">
        <v>4831</v>
      </c>
      <c r="G200" t="s">
        <v>4832</v>
      </c>
      <c r="H200" t="s">
        <v>4833</v>
      </c>
      <c r="J200" t="s">
        <v>4834</v>
      </c>
      <c r="L200" t="s">
        <v>14</v>
      </c>
      <c r="M200" t="s">
        <v>108</v>
      </c>
      <c r="R200" t="s">
        <v>4835</v>
      </c>
      <c r="W200" t="s">
        <v>4836</v>
      </c>
      <c r="X200" t="s">
        <v>4837</v>
      </c>
      <c r="Y200" t="s">
        <v>927</v>
      </c>
      <c r="Z200" t="s">
        <v>111</v>
      </c>
      <c r="AA200" t="str">
        <f>"14901-2743"</f>
        <v>14901-2743</v>
      </c>
      <c r="AB200" t="s">
        <v>165</v>
      </c>
      <c r="AC200" t="s">
        <v>113</v>
      </c>
      <c r="AD200" t="s">
        <v>108</v>
      </c>
      <c r="AE200" t="s">
        <v>114</v>
      </c>
      <c r="AF200" t="s">
        <v>149</v>
      </c>
      <c r="AG200" t="s">
        <v>116</v>
      </c>
      <c r="AK200" t="str">
        <f t="shared" si="22"/>
        <v/>
      </c>
      <c r="AL200" t="s">
        <v>4830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 s="24" t="str">
        <f t="shared" si="20"/>
        <v/>
      </c>
      <c r="AY200" s="24" t="str">
        <f t="shared" si="20"/>
        <v/>
      </c>
      <c r="AZ200" s="24" t="str">
        <f t="shared" si="21"/>
        <v/>
      </c>
      <c r="BA200" s="24" t="str">
        <f t="shared" si="21"/>
        <v/>
      </c>
      <c r="BB200" s="24" t="str">
        <f t="shared" si="21"/>
        <v/>
      </c>
      <c r="BC200" s="24">
        <f t="shared" si="21"/>
        <v>1</v>
      </c>
      <c r="BD200" s="24" t="str">
        <f t="shared" si="21"/>
        <v/>
      </c>
      <c r="BE200" s="24" t="str">
        <f t="shared" si="21"/>
        <v/>
      </c>
      <c r="BF200" s="24" t="str">
        <f t="shared" si="21"/>
        <v/>
      </c>
      <c r="BG200" s="24" t="str">
        <f t="shared" si="21"/>
        <v/>
      </c>
      <c r="BH200" s="24" t="str">
        <f t="shared" si="23"/>
        <v/>
      </c>
      <c r="BI200" s="24" t="str">
        <f t="shared" si="21"/>
        <v/>
      </c>
      <c r="BJ200" s="24" t="str">
        <f t="shared" si="18"/>
        <v/>
      </c>
    </row>
    <row r="201" spans="1:62" ht="15" customHeight="1" x14ac:dyDescent="0.25">
      <c r="C201" t="s">
        <v>5757</v>
      </c>
      <c r="G201" t="s">
        <v>5758</v>
      </c>
      <c r="H201" t="s">
        <v>5759</v>
      </c>
      <c r="J201" t="s">
        <v>5760</v>
      </c>
      <c r="K201" t="s">
        <v>780</v>
      </c>
      <c r="L201" t="s">
        <v>781</v>
      </c>
      <c r="M201" t="s">
        <v>108</v>
      </c>
      <c r="N201" t="s">
        <v>5761</v>
      </c>
      <c r="O201" t="s">
        <v>1088</v>
      </c>
      <c r="P201" t="s">
        <v>111</v>
      </c>
      <c r="Q201" t="str">
        <f>"14850"</f>
        <v>14850</v>
      </c>
      <c r="AC201" t="s">
        <v>113</v>
      </c>
      <c r="AD201" t="s">
        <v>108</v>
      </c>
      <c r="AE201" t="s">
        <v>784</v>
      </c>
      <c r="AF201" t="s">
        <v>142</v>
      </c>
      <c r="AG201" t="s">
        <v>116</v>
      </c>
      <c r="AK201" t="str">
        <f t="shared" si="22"/>
        <v>Catholic Charities Tompkins/Tioga</v>
      </c>
      <c r="AM201" t="s">
        <v>108</v>
      </c>
      <c r="AN201" t="s">
        <v>108</v>
      </c>
      <c r="AO201" t="s">
        <v>108</v>
      </c>
      <c r="AP201" t="s">
        <v>108</v>
      </c>
      <c r="AQ201" t="s">
        <v>108</v>
      </c>
      <c r="AR201" t="s">
        <v>108</v>
      </c>
      <c r="AS201" t="s">
        <v>108</v>
      </c>
      <c r="AT201" t="s">
        <v>108</v>
      </c>
      <c r="AU201">
        <v>0</v>
      </c>
      <c r="AV201" t="s">
        <v>108</v>
      </c>
      <c r="AW201" t="s">
        <v>108</v>
      </c>
      <c r="AX201" s="24" t="str">
        <f t="shared" si="20"/>
        <v/>
      </c>
      <c r="AY201" s="24" t="str">
        <f t="shared" si="20"/>
        <v/>
      </c>
      <c r="AZ201" s="24" t="str">
        <f t="shared" si="21"/>
        <v/>
      </c>
      <c r="BA201" s="24" t="str">
        <f t="shared" si="21"/>
        <v/>
      </c>
      <c r="BB201" s="24" t="str">
        <f t="shared" si="21"/>
        <v/>
      </c>
      <c r="BC201" s="24" t="str">
        <f t="shared" si="21"/>
        <v/>
      </c>
      <c r="BD201" s="24" t="str">
        <f t="shared" si="21"/>
        <v/>
      </c>
      <c r="BE201" s="24" t="str">
        <f t="shared" si="21"/>
        <v/>
      </c>
      <c r="BF201" s="24" t="str">
        <f t="shared" si="21"/>
        <v/>
      </c>
      <c r="BG201" s="24" t="str">
        <f t="shared" si="21"/>
        <v/>
      </c>
      <c r="BH201" s="24">
        <f t="shared" si="23"/>
        <v>1</v>
      </c>
      <c r="BI201" s="24" t="str">
        <f t="shared" si="21"/>
        <v/>
      </c>
      <c r="BJ201" s="24" t="str">
        <f t="shared" si="18"/>
        <v/>
      </c>
    </row>
    <row r="202" spans="1:62" ht="15" customHeight="1" x14ac:dyDescent="0.25">
      <c r="A202" t="str">
        <f>"1063642825"</f>
        <v>1063642825</v>
      </c>
      <c r="B202" t="str">
        <f>"03126116"</f>
        <v>03126116</v>
      </c>
      <c r="C202" t="s">
        <v>4676</v>
      </c>
      <c r="D202" t="s">
        <v>4677</v>
      </c>
      <c r="E202" t="s">
        <v>4678</v>
      </c>
      <c r="G202" t="s">
        <v>4676</v>
      </c>
      <c r="H202" t="s">
        <v>403</v>
      </c>
      <c r="J202" t="s">
        <v>4679</v>
      </c>
      <c r="L202" t="s">
        <v>247</v>
      </c>
      <c r="M202" t="s">
        <v>108</v>
      </c>
      <c r="R202" t="s">
        <v>4680</v>
      </c>
      <c r="W202" t="s">
        <v>4678</v>
      </c>
      <c r="X202" t="s">
        <v>406</v>
      </c>
      <c r="Y202" t="s">
        <v>129</v>
      </c>
      <c r="Z202" t="s">
        <v>111</v>
      </c>
      <c r="AA202" t="str">
        <f>"13790-2107"</f>
        <v>13790-2107</v>
      </c>
      <c r="AB202" t="s">
        <v>123</v>
      </c>
      <c r="AC202" t="s">
        <v>113</v>
      </c>
      <c r="AD202" t="s">
        <v>108</v>
      </c>
      <c r="AE202" t="s">
        <v>114</v>
      </c>
      <c r="AF202" t="s">
        <v>115</v>
      </c>
      <c r="AG202" t="s">
        <v>116</v>
      </c>
      <c r="AK202" t="str">
        <f t="shared" si="22"/>
        <v/>
      </c>
      <c r="AL202" t="s">
        <v>4677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 s="24" t="str">
        <f t="shared" si="20"/>
        <v/>
      </c>
      <c r="AY202" s="24">
        <f t="shared" si="20"/>
        <v>1</v>
      </c>
      <c r="AZ202" s="24" t="str">
        <f t="shared" si="21"/>
        <v/>
      </c>
      <c r="BA202" s="24" t="str">
        <f t="shared" si="21"/>
        <v/>
      </c>
      <c r="BB202" s="24" t="str">
        <f t="shared" si="21"/>
        <v/>
      </c>
      <c r="BC202" s="24" t="str">
        <f t="shared" si="21"/>
        <v/>
      </c>
      <c r="BD202" s="24" t="str">
        <f t="shared" si="21"/>
        <v/>
      </c>
      <c r="BE202" s="24" t="str">
        <f t="shared" si="21"/>
        <v/>
      </c>
      <c r="BF202" s="24" t="str">
        <f t="shared" si="21"/>
        <v/>
      </c>
      <c r="BG202" s="24" t="str">
        <f t="shared" si="21"/>
        <v/>
      </c>
      <c r="BH202" s="24" t="str">
        <f t="shared" si="23"/>
        <v/>
      </c>
      <c r="BI202" s="24" t="str">
        <f t="shared" si="21"/>
        <v/>
      </c>
      <c r="BJ202" s="24" t="str">
        <f t="shared" si="18"/>
        <v/>
      </c>
    </row>
    <row r="203" spans="1:62" ht="15" customHeight="1" x14ac:dyDescent="0.25">
      <c r="A203" t="str">
        <f>"1598714610"</f>
        <v>1598714610</v>
      </c>
      <c r="B203" t="str">
        <f>"01944861"</f>
        <v>01944861</v>
      </c>
      <c r="C203" t="s">
        <v>3790</v>
      </c>
      <c r="D203" t="s">
        <v>3791</v>
      </c>
      <c r="E203" t="s">
        <v>3792</v>
      </c>
      <c r="G203" t="s">
        <v>3793</v>
      </c>
      <c r="H203" t="s">
        <v>3794</v>
      </c>
      <c r="J203" t="s">
        <v>3795</v>
      </c>
      <c r="L203" t="s">
        <v>120</v>
      </c>
      <c r="M203" t="s">
        <v>139</v>
      </c>
      <c r="R203" t="s">
        <v>3792</v>
      </c>
      <c r="W203" t="s">
        <v>3792</v>
      </c>
      <c r="X203" t="s">
        <v>3796</v>
      </c>
      <c r="Y203" t="s">
        <v>239</v>
      </c>
      <c r="Z203" t="s">
        <v>111</v>
      </c>
      <c r="AA203" t="str">
        <f>"13045-1124"</f>
        <v>13045-1124</v>
      </c>
      <c r="AB203" t="s">
        <v>123</v>
      </c>
      <c r="AC203" t="s">
        <v>113</v>
      </c>
      <c r="AD203" t="s">
        <v>108</v>
      </c>
      <c r="AE203" t="s">
        <v>114</v>
      </c>
      <c r="AF203" t="s">
        <v>142</v>
      </c>
      <c r="AG203" t="s">
        <v>116</v>
      </c>
      <c r="AK203" t="str">
        <f t="shared" si="22"/>
        <v/>
      </c>
      <c r="AL203" t="s">
        <v>3791</v>
      </c>
      <c r="AM203">
        <v>1</v>
      </c>
      <c r="AN203">
        <v>1</v>
      </c>
      <c r="AO203">
        <v>0</v>
      </c>
      <c r="AP203">
        <v>0</v>
      </c>
      <c r="AQ203">
        <v>1</v>
      </c>
      <c r="AR203">
        <v>1</v>
      </c>
      <c r="AS203">
        <v>0</v>
      </c>
      <c r="AT203">
        <v>0</v>
      </c>
      <c r="AU203">
        <v>1</v>
      </c>
      <c r="AV203">
        <v>0</v>
      </c>
      <c r="AW203">
        <v>0</v>
      </c>
      <c r="AX203" s="24">
        <f t="shared" si="20"/>
        <v>1</v>
      </c>
      <c r="AY203" s="24" t="str">
        <f t="shared" si="20"/>
        <v/>
      </c>
      <c r="AZ203" s="24" t="str">
        <f t="shared" si="21"/>
        <v/>
      </c>
      <c r="BA203" s="24" t="str">
        <f t="shared" si="21"/>
        <v/>
      </c>
      <c r="BB203" s="24" t="str">
        <f t="shared" si="21"/>
        <v/>
      </c>
      <c r="BC203" s="24" t="str">
        <f t="shared" si="21"/>
        <v/>
      </c>
      <c r="BD203" s="24" t="str">
        <f t="shared" si="21"/>
        <v/>
      </c>
      <c r="BE203" s="24" t="str">
        <f t="shared" si="21"/>
        <v/>
      </c>
      <c r="BF203" s="24" t="str">
        <f t="shared" si="21"/>
        <v/>
      </c>
      <c r="BG203" s="24" t="str">
        <f t="shared" si="21"/>
        <v/>
      </c>
      <c r="BH203" s="24" t="str">
        <f t="shared" si="23"/>
        <v/>
      </c>
      <c r="BI203" s="24">
        <f t="shared" si="21"/>
        <v>1</v>
      </c>
      <c r="BJ203" s="24" t="str">
        <f t="shared" si="18"/>
        <v/>
      </c>
    </row>
    <row r="204" spans="1:62" ht="15" customHeight="1" x14ac:dyDescent="0.25">
      <c r="C204" t="s">
        <v>5825</v>
      </c>
      <c r="G204" t="s">
        <v>5826</v>
      </c>
      <c r="H204" t="s">
        <v>5827</v>
      </c>
      <c r="J204" t="s">
        <v>5828</v>
      </c>
      <c r="K204" t="s">
        <v>780</v>
      </c>
      <c r="L204" t="s">
        <v>781</v>
      </c>
      <c r="M204" t="s">
        <v>108</v>
      </c>
      <c r="N204" t="s">
        <v>5829</v>
      </c>
      <c r="O204" t="s">
        <v>5212</v>
      </c>
      <c r="P204" t="s">
        <v>111</v>
      </c>
      <c r="Q204" t="str">
        <f>"13820"</f>
        <v>13820</v>
      </c>
      <c r="AC204" t="s">
        <v>113</v>
      </c>
      <c r="AD204" t="s">
        <v>108</v>
      </c>
      <c r="AE204" t="s">
        <v>784</v>
      </c>
      <c r="AF204" t="s">
        <v>124</v>
      </c>
      <c r="AG204" t="s">
        <v>116</v>
      </c>
      <c r="AK204" t="str">
        <f t="shared" si="22"/>
        <v/>
      </c>
      <c r="AL204" t="s">
        <v>5825</v>
      </c>
      <c r="AM204">
        <v>1</v>
      </c>
      <c r="AN204">
        <v>1</v>
      </c>
      <c r="AU204">
        <v>1</v>
      </c>
      <c r="AV204" t="s">
        <v>108</v>
      </c>
      <c r="AW204" t="s">
        <v>108</v>
      </c>
      <c r="AX204" s="24" t="str">
        <f t="shared" si="20"/>
        <v/>
      </c>
      <c r="AY204" s="24" t="str">
        <f t="shared" si="20"/>
        <v/>
      </c>
      <c r="AZ204" s="24" t="str">
        <f t="shared" si="21"/>
        <v/>
      </c>
      <c r="BA204" s="24" t="str">
        <f t="shared" si="21"/>
        <v/>
      </c>
      <c r="BB204" s="24" t="str">
        <f t="shared" si="21"/>
        <v/>
      </c>
      <c r="BC204" s="24" t="str">
        <f t="shared" si="21"/>
        <v/>
      </c>
      <c r="BD204" s="24" t="str">
        <f t="shared" si="21"/>
        <v/>
      </c>
      <c r="BE204" s="24" t="str">
        <f t="shared" si="21"/>
        <v/>
      </c>
      <c r="BF204" s="24" t="str">
        <f t="shared" si="21"/>
        <v/>
      </c>
      <c r="BG204" s="24" t="str">
        <f t="shared" si="21"/>
        <v/>
      </c>
      <c r="BH204" s="24">
        <f t="shared" si="23"/>
        <v>1</v>
      </c>
      <c r="BI204" s="24" t="str">
        <f t="shared" si="21"/>
        <v/>
      </c>
      <c r="BJ204" s="24" t="str">
        <f t="shared" si="18"/>
        <v/>
      </c>
    </row>
    <row r="205" spans="1:62" ht="15" customHeight="1" x14ac:dyDescent="0.25">
      <c r="A205" t="str">
        <f>"1558353680"</f>
        <v>1558353680</v>
      </c>
      <c r="B205" t="str">
        <f>"01067674"</f>
        <v>01067674</v>
      </c>
      <c r="C205" t="s">
        <v>5825</v>
      </c>
      <c r="D205" t="s">
        <v>5862</v>
      </c>
      <c r="E205" t="s">
        <v>5863</v>
      </c>
      <c r="G205" t="s">
        <v>5826</v>
      </c>
      <c r="H205" t="s">
        <v>5827</v>
      </c>
      <c r="J205" t="s">
        <v>5828</v>
      </c>
      <c r="L205" t="s">
        <v>1115</v>
      </c>
      <c r="M205" t="s">
        <v>108</v>
      </c>
      <c r="R205" t="s">
        <v>5864</v>
      </c>
      <c r="W205" t="s">
        <v>5863</v>
      </c>
      <c r="X205" t="s">
        <v>5865</v>
      </c>
      <c r="Y205" t="s">
        <v>335</v>
      </c>
      <c r="Z205" t="s">
        <v>111</v>
      </c>
      <c r="AA205" t="str">
        <f>"13820-1319"</f>
        <v>13820-1319</v>
      </c>
      <c r="AB205" t="s">
        <v>385</v>
      </c>
      <c r="AC205" t="s">
        <v>113</v>
      </c>
      <c r="AD205" t="s">
        <v>108</v>
      </c>
      <c r="AE205" t="s">
        <v>114</v>
      </c>
      <c r="AF205" t="s">
        <v>124</v>
      </c>
      <c r="AG205" t="s">
        <v>116</v>
      </c>
      <c r="AK205" t="str">
        <f t="shared" si="22"/>
        <v/>
      </c>
      <c r="AL205" t="s">
        <v>5862</v>
      </c>
      <c r="AM205">
        <v>1</v>
      </c>
      <c r="AN205">
        <v>1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1</v>
      </c>
      <c r="AV205">
        <v>0</v>
      </c>
      <c r="AW205">
        <v>0</v>
      </c>
      <c r="AX205" s="24" t="str">
        <f t="shared" si="20"/>
        <v/>
      </c>
      <c r="AY205" s="24" t="str">
        <f t="shared" si="20"/>
        <v/>
      </c>
      <c r="AZ205" s="24" t="str">
        <f t="shared" si="21"/>
        <v/>
      </c>
      <c r="BA205" s="24" t="str">
        <f t="shared" si="21"/>
        <v/>
      </c>
      <c r="BB205" s="24" t="str">
        <f t="shared" si="21"/>
        <v/>
      </c>
      <c r="BC205" s="24" t="str">
        <f t="shared" si="21"/>
        <v/>
      </c>
      <c r="BD205" s="24" t="str">
        <f t="shared" si="21"/>
        <v/>
      </c>
      <c r="BE205" s="24" t="str">
        <f t="shared" si="21"/>
        <v/>
      </c>
      <c r="BF205" s="24" t="str">
        <f t="shared" si="21"/>
        <v/>
      </c>
      <c r="BG205" s="24">
        <f t="shared" si="21"/>
        <v>1</v>
      </c>
      <c r="BH205" s="24" t="str">
        <f t="shared" si="23"/>
        <v/>
      </c>
      <c r="BI205" s="24">
        <f t="shared" si="21"/>
        <v>1</v>
      </c>
      <c r="BJ205" s="24" t="str">
        <f t="shared" si="18"/>
        <v/>
      </c>
    </row>
    <row r="206" spans="1:62" ht="15" customHeight="1" x14ac:dyDescent="0.25">
      <c r="C206" t="s">
        <v>5835</v>
      </c>
      <c r="G206" t="s">
        <v>5836</v>
      </c>
      <c r="H206" t="s">
        <v>5837</v>
      </c>
      <c r="J206" t="s">
        <v>5838</v>
      </c>
      <c r="K206" t="s">
        <v>780</v>
      </c>
      <c r="L206" t="s">
        <v>781</v>
      </c>
      <c r="M206" t="s">
        <v>108</v>
      </c>
      <c r="N206" t="s">
        <v>5839</v>
      </c>
      <c r="O206" t="s">
        <v>5840</v>
      </c>
      <c r="P206" t="s">
        <v>111</v>
      </c>
      <c r="Q206" t="str">
        <f>"14580"</f>
        <v>14580</v>
      </c>
      <c r="AC206" t="s">
        <v>113</v>
      </c>
      <c r="AD206" t="s">
        <v>108</v>
      </c>
      <c r="AE206" t="s">
        <v>784</v>
      </c>
      <c r="AF206" t="s">
        <v>142</v>
      </c>
      <c r="AG206" t="s">
        <v>116</v>
      </c>
      <c r="AK206" t="str">
        <f t="shared" si="22"/>
        <v/>
      </c>
      <c r="AL206" t="s">
        <v>5835</v>
      </c>
      <c r="AM206">
        <v>1</v>
      </c>
      <c r="AP206">
        <v>1</v>
      </c>
      <c r="AU206">
        <v>0</v>
      </c>
      <c r="AW206" t="s">
        <v>108</v>
      </c>
      <c r="AX206" s="24" t="str">
        <f t="shared" si="20"/>
        <v/>
      </c>
      <c r="AY206" s="24" t="str">
        <f t="shared" si="20"/>
        <v/>
      </c>
      <c r="AZ206" s="24" t="str">
        <f t="shared" si="21"/>
        <v/>
      </c>
      <c r="BA206" s="24" t="str">
        <f t="shared" si="21"/>
        <v/>
      </c>
      <c r="BB206" s="24" t="str">
        <f t="shared" si="21"/>
        <v/>
      </c>
      <c r="BC206" s="24" t="str">
        <f t="shared" si="21"/>
        <v/>
      </c>
      <c r="BD206" s="24" t="str">
        <f t="shared" si="21"/>
        <v/>
      </c>
      <c r="BE206" s="24" t="str">
        <f t="shared" si="21"/>
        <v/>
      </c>
      <c r="BF206" s="24" t="str">
        <f t="shared" si="21"/>
        <v/>
      </c>
      <c r="BG206" s="24" t="str">
        <f t="shared" si="21"/>
        <v/>
      </c>
      <c r="BH206" s="24">
        <f t="shared" si="23"/>
        <v>1</v>
      </c>
      <c r="BI206" s="24" t="str">
        <f t="shared" si="21"/>
        <v/>
      </c>
      <c r="BJ206" s="24" t="str">
        <f t="shared" si="18"/>
        <v/>
      </c>
    </row>
    <row r="207" spans="1:62" ht="15" customHeight="1" x14ac:dyDescent="0.25">
      <c r="A207" t="str">
        <f>"1750308474"</f>
        <v>1750308474</v>
      </c>
      <c r="B207" t="str">
        <f>"02053863"</f>
        <v>02053863</v>
      </c>
      <c r="C207" t="s">
        <v>6673</v>
      </c>
      <c r="D207" t="s">
        <v>6674</v>
      </c>
      <c r="E207" t="s">
        <v>6673</v>
      </c>
      <c r="G207" t="s">
        <v>1686</v>
      </c>
      <c r="H207" t="s">
        <v>1683</v>
      </c>
      <c r="J207" t="s">
        <v>6657</v>
      </c>
      <c r="L207" t="s">
        <v>68</v>
      </c>
      <c r="M207" t="s">
        <v>108</v>
      </c>
      <c r="R207" t="s">
        <v>6673</v>
      </c>
      <c r="W207" t="s">
        <v>6673</v>
      </c>
      <c r="X207" t="s">
        <v>6660</v>
      </c>
      <c r="Y207" t="s">
        <v>293</v>
      </c>
      <c r="Z207" t="s">
        <v>111</v>
      </c>
      <c r="AA207" t="str">
        <f>"14850-4130"</f>
        <v>14850-4130</v>
      </c>
      <c r="AB207" t="s">
        <v>112</v>
      </c>
      <c r="AC207" t="s">
        <v>113</v>
      </c>
      <c r="AD207" t="s">
        <v>108</v>
      </c>
      <c r="AE207" t="s">
        <v>114</v>
      </c>
      <c r="AF207" t="s">
        <v>142</v>
      </c>
      <c r="AG207" t="s">
        <v>116</v>
      </c>
      <c r="AK207" t="str">
        <f t="shared" si="22"/>
        <v/>
      </c>
      <c r="AL207" t="s">
        <v>6674</v>
      </c>
      <c r="AM207">
        <v>1</v>
      </c>
      <c r="AN207" t="s">
        <v>108</v>
      </c>
      <c r="AO207" t="s">
        <v>108</v>
      </c>
      <c r="AP207">
        <v>1</v>
      </c>
      <c r="AQ207" t="s">
        <v>108</v>
      </c>
      <c r="AR207">
        <v>1</v>
      </c>
      <c r="AS207" t="s">
        <v>108</v>
      </c>
      <c r="AT207" t="s">
        <v>108</v>
      </c>
      <c r="AU207">
        <v>0</v>
      </c>
      <c r="AV207" t="s">
        <v>108</v>
      </c>
      <c r="AW207" t="s">
        <v>108</v>
      </c>
      <c r="AX207" s="24" t="str">
        <f t="shared" si="20"/>
        <v/>
      </c>
      <c r="AY207" s="24" t="str">
        <f t="shared" si="20"/>
        <v/>
      </c>
      <c r="AZ207" s="24" t="str">
        <f t="shared" si="21"/>
        <v/>
      </c>
      <c r="BA207" s="24" t="str">
        <f t="shared" si="21"/>
        <v/>
      </c>
      <c r="BB207" s="24" t="str">
        <f t="shared" si="21"/>
        <v/>
      </c>
      <c r="BC207" s="24" t="str">
        <f t="shared" si="21"/>
        <v/>
      </c>
      <c r="BD207" s="24" t="str">
        <f t="shared" si="21"/>
        <v/>
      </c>
      <c r="BE207" s="24" t="str">
        <f t="shared" si="21"/>
        <v/>
      </c>
      <c r="BF207" s="24" t="str">
        <f t="shared" si="21"/>
        <v/>
      </c>
      <c r="BG207" s="24" t="str">
        <f t="shared" si="21"/>
        <v/>
      </c>
      <c r="BH207" s="24" t="str">
        <f t="shared" si="23"/>
        <v/>
      </c>
      <c r="BI207" s="24">
        <f t="shared" si="21"/>
        <v>1</v>
      </c>
      <c r="BJ207" s="24" t="str">
        <f t="shared" si="18"/>
        <v/>
      </c>
    </row>
    <row r="208" spans="1:62" ht="15" customHeight="1" x14ac:dyDescent="0.25">
      <c r="C208" t="s">
        <v>5841</v>
      </c>
      <c r="G208" t="s">
        <v>5842</v>
      </c>
      <c r="H208" t="s">
        <v>5843</v>
      </c>
      <c r="J208" t="s">
        <v>5844</v>
      </c>
      <c r="K208" t="s">
        <v>780</v>
      </c>
      <c r="L208" t="s">
        <v>781</v>
      </c>
      <c r="M208" t="s">
        <v>108</v>
      </c>
      <c r="N208" t="s">
        <v>5845</v>
      </c>
      <c r="O208" t="s">
        <v>1088</v>
      </c>
      <c r="P208" t="s">
        <v>111</v>
      </c>
      <c r="Q208" t="str">
        <f>"14850"</f>
        <v>14850</v>
      </c>
      <c r="AC208" t="s">
        <v>113</v>
      </c>
      <c r="AD208" t="s">
        <v>108</v>
      </c>
      <c r="AE208" t="s">
        <v>784</v>
      </c>
      <c r="AF208" t="s">
        <v>142</v>
      </c>
      <c r="AG208" t="s">
        <v>116</v>
      </c>
      <c r="AK208" t="str">
        <f t="shared" si="22"/>
        <v/>
      </c>
      <c r="AL208" t="s">
        <v>5841</v>
      </c>
      <c r="AM208">
        <v>1</v>
      </c>
      <c r="AP208">
        <v>1</v>
      </c>
      <c r="AR208">
        <v>1</v>
      </c>
      <c r="AU208">
        <v>0</v>
      </c>
      <c r="AV208">
        <v>1</v>
      </c>
      <c r="AW208" t="s">
        <v>108</v>
      </c>
      <c r="AX208" s="24" t="str">
        <f t="shared" si="20"/>
        <v/>
      </c>
      <c r="AY208" s="24" t="str">
        <f t="shared" si="20"/>
        <v/>
      </c>
      <c r="AZ208" s="24" t="str">
        <f t="shared" si="21"/>
        <v/>
      </c>
      <c r="BA208" s="24" t="str">
        <f t="shared" si="21"/>
        <v/>
      </c>
      <c r="BB208" s="24" t="str">
        <f t="shared" si="21"/>
        <v/>
      </c>
      <c r="BC208" s="24" t="str">
        <f t="shared" si="21"/>
        <v/>
      </c>
      <c r="BD208" s="24" t="str">
        <f t="shared" si="21"/>
        <v/>
      </c>
      <c r="BE208" s="24" t="str">
        <f t="shared" si="21"/>
        <v/>
      </c>
      <c r="BF208" s="24" t="str">
        <f t="shared" si="21"/>
        <v/>
      </c>
      <c r="BG208" s="24" t="str">
        <f t="shared" si="21"/>
        <v/>
      </c>
      <c r="BH208" s="24">
        <f t="shared" si="23"/>
        <v>1</v>
      </c>
      <c r="BI208" s="24" t="str">
        <f t="shared" si="21"/>
        <v/>
      </c>
      <c r="BJ208" s="24" t="str">
        <f t="shared" si="18"/>
        <v/>
      </c>
    </row>
    <row r="209" spans="1:62" ht="15" customHeight="1" x14ac:dyDescent="0.25">
      <c r="A209" t="str">
        <f>"1679525455"</f>
        <v>1679525455</v>
      </c>
      <c r="B209" t="str">
        <f>"02749104"</f>
        <v>02749104</v>
      </c>
      <c r="C209" t="s">
        <v>5841</v>
      </c>
      <c r="D209" t="s">
        <v>6277</v>
      </c>
      <c r="E209" t="s">
        <v>6278</v>
      </c>
      <c r="G209" t="s">
        <v>6279</v>
      </c>
      <c r="H209" t="s">
        <v>5843</v>
      </c>
      <c r="J209" t="s">
        <v>6280</v>
      </c>
      <c r="L209" t="s">
        <v>68</v>
      </c>
      <c r="M209" t="s">
        <v>108</v>
      </c>
      <c r="R209" t="s">
        <v>6281</v>
      </c>
      <c r="W209" t="s">
        <v>6278</v>
      </c>
      <c r="X209" t="s">
        <v>6282</v>
      </c>
      <c r="Y209" t="s">
        <v>293</v>
      </c>
      <c r="Z209" t="s">
        <v>111</v>
      </c>
      <c r="AA209" t="str">
        <f>"14850-1863"</f>
        <v>14850-1863</v>
      </c>
      <c r="AB209" t="s">
        <v>112</v>
      </c>
      <c r="AC209" t="s">
        <v>113</v>
      </c>
      <c r="AD209" t="s">
        <v>108</v>
      </c>
      <c r="AE209" t="s">
        <v>114</v>
      </c>
      <c r="AF209" t="s">
        <v>142</v>
      </c>
      <c r="AG209" t="s">
        <v>116</v>
      </c>
      <c r="AK209" t="str">
        <f t="shared" si="22"/>
        <v/>
      </c>
      <c r="AL209" t="s">
        <v>6277</v>
      </c>
      <c r="AM209">
        <v>1</v>
      </c>
      <c r="AP209">
        <v>1</v>
      </c>
      <c r="AR209">
        <v>1</v>
      </c>
      <c r="AU209">
        <v>0</v>
      </c>
      <c r="AV209">
        <v>1</v>
      </c>
      <c r="AW209" t="s">
        <v>108</v>
      </c>
      <c r="AX209" s="24" t="str">
        <f t="shared" si="20"/>
        <v/>
      </c>
      <c r="AY209" s="24" t="str">
        <f t="shared" si="20"/>
        <v/>
      </c>
      <c r="AZ209" s="24" t="str">
        <f t="shared" si="21"/>
        <v/>
      </c>
      <c r="BA209" s="24" t="str">
        <f t="shared" si="21"/>
        <v/>
      </c>
      <c r="BB209" s="24" t="str">
        <f t="shared" si="21"/>
        <v/>
      </c>
      <c r="BC209" s="24" t="str">
        <f t="shared" si="21"/>
        <v/>
      </c>
      <c r="BD209" s="24" t="str">
        <f t="shared" si="21"/>
        <v/>
      </c>
      <c r="BE209" s="24" t="str">
        <f t="shared" si="21"/>
        <v/>
      </c>
      <c r="BF209" s="24" t="str">
        <f t="shared" si="21"/>
        <v/>
      </c>
      <c r="BG209" s="24" t="str">
        <f t="shared" si="21"/>
        <v/>
      </c>
      <c r="BH209" s="24" t="str">
        <f t="shared" si="23"/>
        <v/>
      </c>
      <c r="BI209" s="24">
        <f t="shared" si="21"/>
        <v>1</v>
      </c>
      <c r="BJ209" s="24" t="str">
        <f t="shared" si="18"/>
        <v/>
      </c>
    </row>
    <row r="210" spans="1:62" x14ac:dyDescent="0.25">
      <c r="A210" t="str">
        <f>"1962422733"</f>
        <v>1962422733</v>
      </c>
      <c r="B210" t="str">
        <f>"03001085"</f>
        <v>03001085</v>
      </c>
      <c r="C210" t="s">
        <v>294</v>
      </c>
      <c r="D210" t="s">
        <v>295</v>
      </c>
      <c r="E210" t="s">
        <v>296</v>
      </c>
      <c r="G210" t="s">
        <v>297</v>
      </c>
      <c r="H210" t="s">
        <v>298</v>
      </c>
      <c r="J210" t="s">
        <v>299</v>
      </c>
      <c r="L210" t="s">
        <v>300</v>
      </c>
      <c r="M210" t="s">
        <v>139</v>
      </c>
      <c r="R210" t="s">
        <v>301</v>
      </c>
      <c r="W210" t="s">
        <v>296</v>
      </c>
      <c r="X210" t="s">
        <v>302</v>
      </c>
      <c r="Y210" t="s">
        <v>293</v>
      </c>
      <c r="Z210" t="s">
        <v>111</v>
      </c>
      <c r="AA210" t="str">
        <f>"14850-1342"</f>
        <v>14850-1342</v>
      </c>
      <c r="AB210" t="s">
        <v>303</v>
      </c>
      <c r="AC210" t="s">
        <v>113</v>
      </c>
      <c r="AD210" t="s">
        <v>108</v>
      </c>
      <c r="AE210" t="s">
        <v>114</v>
      </c>
      <c r="AF210" t="s">
        <v>142</v>
      </c>
      <c r="AG210" t="s">
        <v>116</v>
      </c>
      <c r="AK210" t="str">
        <f t="shared" si="22"/>
        <v/>
      </c>
      <c r="AL210" t="s">
        <v>295</v>
      </c>
      <c r="AM210">
        <v>1</v>
      </c>
      <c r="AN210">
        <v>1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 s="24" t="str">
        <f t="shared" si="20"/>
        <v/>
      </c>
      <c r="AY210" s="24" t="str">
        <f t="shared" si="20"/>
        <v/>
      </c>
      <c r="AZ210" s="24">
        <f t="shared" si="21"/>
        <v>1</v>
      </c>
      <c r="BA210" s="24">
        <f t="shared" si="21"/>
        <v>1</v>
      </c>
      <c r="BB210" s="24" t="str">
        <f t="shared" si="21"/>
        <v/>
      </c>
      <c r="BC210" s="24">
        <f t="shared" si="21"/>
        <v>1</v>
      </c>
      <c r="BD210" s="24" t="str">
        <f t="shared" si="21"/>
        <v/>
      </c>
      <c r="BE210" s="24" t="str">
        <f t="shared" si="21"/>
        <v/>
      </c>
      <c r="BF210" s="24" t="str">
        <f t="shared" si="21"/>
        <v/>
      </c>
      <c r="BG210" s="24" t="str">
        <f t="shared" si="21"/>
        <v/>
      </c>
      <c r="BH210" s="24" t="str">
        <f t="shared" si="23"/>
        <v/>
      </c>
      <c r="BI210" s="24">
        <f t="shared" si="21"/>
        <v>1</v>
      </c>
      <c r="BJ210" s="24" t="str">
        <f t="shared" ref="BJ210:BJ273" si="24">IF(ISERROR(FIND(BJ$1,$L210,1)),"",1)</f>
        <v/>
      </c>
    </row>
    <row r="211" spans="1:62" x14ac:dyDescent="0.25">
      <c r="A211" t="str">
        <f>"1144397100"</f>
        <v>1144397100</v>
      </c>
      <c r="B211" t="str">
        <f>"00332729"</f>
        <v>00332729</v>
      </c>
      <c r="C211" t="s">
        <v>294</v>
      </c>
      <c r="D211" t="s">
        <v>295</v>
      </c>
      <c r="E211" t="s">
        <v>296</v>
      </c>
      <c r="G211" t="s">
        <v>297</v>
      </c>
      <c r="H211" t="s">
        <v>298</v>
      </c>
      <c r="J211" t="s">
        <v>299</v>
      </c>
      <c r="L211" t="s">
        <v>300</v>
      </c>
      <c r="M211" t="s">
        <v>139</v>
      </c>
      <c r="R211" t="s">
        <v>301</v>
      </c>
      <c r="W211" t="s">
        <v>296</v>
      </c>
      <c r="X211" t="s">
        <v>302</v>
      </c>
      <c r="Y211" t="s">
        <v>293</v>
      </c>
      <c r="Z211" t="s">
        <v>111</v>
      </c>
      <c r="AA211" t="str">
        <f>"14850-1342"</f>
        <v>14850-1342</v>
      </c>
      <c r="AB211" t="s">
        <v>303</v>
      </c>
      <c r="AC211" t="s">
        <v>113</v>
      </c>
      <c r="AD211" t="s">
        <v>108</v>
      </c>
      <c r="AE211" t="s">
        <v>114</v>
      </c>
      <c r="AF211" t="s">
        <v>142</v>
      </c>
      <c r="AG211" t="s">
        <v>116</v>
      </c>
      <c r="AK211" t="str">
        <f t="shared" si="22"/>
        <v/>
      </c>
      <c r="AL211" t="s">
        <v>295</v>
      </c>
      <c r="AM211">
        <v>1</v>
      </c>
      <c r="AN211">
        <v>1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0</v>
      </c>
      <c r="AX211" s="24" t="str">
        <f t="shared" si="20"/>
        <v/>
      </c>
      <c r="AY211" s="24" t="str">
        <f t="shared" si="20"/>
        <v/>
      </c>
      <c r="AZ211" s="24">
        <f t="shared" si="21"/>
        <v>1</v>
      </c>
      <c r="BA211" s="24">
        <f t="shared" si="21"/>
        <v>1</v>
      </c>
      <c r="BB211" s="24" t="str">
        <f t="shared" si="21"/>
        <v/>
      </c>
      <c r="BC211" s="24">
        <f t="shared" si="21"/>
        <v>1</v>
      </c>
      <c r="BD211" s="24" t="str">
        <f t="shared" si="21"/>
        <v/>
      </c>
      <c r="BE211" s="24" t="str">
        <f t="shared" si="21"/>
        <v/>
      </c>
      <c r="BF211" s="24" t="str">
        <f t="shared" si="21"/>
        <v/>
      </c>
      <c r="BG211" s="24" t="str">
        <f t="shared" si="21"/>
        <v/>
      </c>
      <c r="BH211" s="24" t="str">
        <f t="shared" si="23"/>
        <v/>
      </c>
      <c r="BI211" s="24">
        <f t="shared" si="21"/>
        <v>1</v>
      </c>
      <c r="BJ211" s="24" t="str">
        <f t="shared" si="24"/>
        <v/>
      </c>
    </row>
    <row r="212" spans="1:62" ht="15" customHeight="1" x14ac:dyDescent="0.25">
      <c r="A212" t="str">
        <f>"1730596107"</f>
        <v>1730596107</v>
      </c>
      <c r="B212" t="str">
        <f>"04036797"</f>
        <v>04036797</v>
      </c>
      <c r="C212" t="s">
        <v>6846</v>
      </c>
      <c r="D212" t="s">
        <v>7139</v>
      </c>
      <c r="E212" t="s">
        <v>6991</v>
      </c>
      <c r="G212" t="s">
        <v>297</v>
      </c>
      <c r="H212" t="s">
        <v>298</v>
      </c>
      <c r="J212" t="s">
        <v>299</v>
      </c>
      <c r="L212" t="s">
        <v>133</v>
      </c>
      <c r="M212" t="s">
        <v>108</v>
      </c>
      <c r="R212" t="s">
        <v>6846</v>
      </c>
      <c r="W212" t="s">
        <v>6991</v>
      </c>
      <c r="X212" t="s">
        <v>302</v>
      </c>
      <c r="Y212" t="s">
        <v>293</v>
      </c>
      <c r="Z212" t="s">
        <v>111</v>
      </c>
      <c r="AA212" t="str">
        <f>"14850-1342"</f>
        <v>14850-1342</v>
      </c>
      <c r="AB212" t="s">
        <v>112</v>
      </c>
      <c r="AC212" t="s">
        <v>113</v>
      </c>
      <c r="AD212" t="s">
        <v>108</v>
      </c>
      <c r="AE212" t="s">
        <v>114</v>
      </c>
      <c r="AF212" t="s">
        <v>142</v>
      </c>
      <c r="AG212" t="s">
        <v>116</v>
      </c>
      <c r="AK212" t="str">
        <f t="shared" si="22"/>
        <v>CAYUGA MEDICAL CENTER EMPLOYED PHYSICIANS GROUP</v>
      </c>
      <c r="AL212" t="s">
        <v>7139</v>
      </c>
      <c r="AM212" t="s">
        <v>108</v>
      </c>
      <c r="AN212" t="s">
        <v>108</v>
      </c>
      <c r="AO212" t="s">
        <v>108</v>
      </c>
      <c r="AP212" t="s">
        <v>108</v>
      </c>
      <c r="AQ212" t="s">
        <v>108</v>
      </c>
      <c r="AR212" t="s">
        <v>108</v>
      </c>
      <c r="AS212" t="s">
        <v>108</v>
      </c>
      <c r="AT212" t="s">
        <v>108</v>
      </c>
      <c r="AU212">
        <v>0</v>
      </c>
      <c r="AV212" t="s">
        <v>108</v>
      </c>
      <c r="AW212" t="s">
        <v>108</v>
      </c>
      <c r="AX212" s="24" t="str">
        <f t="shared" si="20"/>
        <v/>
      </c>
      <c r="AY212" s="24" t="str">
        <f t="shared" si="20"/>
        <v/>
      </c>
      <c r="AZ212" s="24" t="str">
        <f t="shared" si="21"/>
        <v/>
      </c>
      <c r="BA212" s="24" t="str">
        <f t="shared" si="21"/>
        <v/>
      </c>
      <c r="BB212" s="24" t="str">
        <f t="shared" si="21"/>
        <v/>
      </c>
      <c r="BC212" s="24" t="str">
        <f t="shared" si="21"/>
        <v/>
      </c>
      <c r="BD212" s="24" t="str">
        <f t="shared" si="21"/>
        <v/>
      </c>
      <c r="BE212" s="24" t="str">
        <f t="shared" si="21"/>
        <v/>
      </c>
      <c r="BF212" s="24" t="str">
        <f t="shared" si="21"/>
        <v/>
      </c>
      <c r="BG212" s="24" t="str">
        <f t="shared" si="21"/>
        <v/>
      </c>
      <c r="BH212" s="24" t="str">
        <f t="shared" si="23"/>
        <v/>
      </c>
      <c r="BI212" s="24" t="str">
        <f t="shared" si="21"/>
        <v/>
      </c>
      <c r="BJ212" s="24">
        <f t="shared" si="24"/>
        <v>1</v>
      </c>
    </row>
    <row r="213" spans="1:62" ht="15" customHeight="1" x14ac:dyDescent="0.25">
      <c r="A213" t="str">
        <f>"1871820076"</f>
        <v>1871820076</v>
      </c>
      <c r="B213" t="str">
        <f>"00308181"</f>
        <v>00308181</v>
      </c>
      <c r="C213" t="s">
        <v>304</v>
      </c>
      <c r="D213" t="s">
        <v>305</v>
      </c>
      <c r="E213" t="s">
        <v>306</v>
      </c>
      <c r="G213" t="s">
        <v>307</v>
      </c>
      <c r="H213" t="s">
        <v>308</v>
      </c>
      <c r="J213" t="s">
        <v>309</v>
      </c>
      <c r="L213" t="s">
        <v>19</v>
      </c>
      <c r="M213" t="s">
        <v>139</v>
      </c>
      <c r="R213" t="s">
        <v>310</v>
      </c>
      <c r="W213" t="s">
        <v>306</v>
      </c>
      <c r="X213" t="s">
        <v>311</v>
      </c>
      <c r="Y213" t="s">
        <v>293</v>
      </c>
      <c r="Z213" t="s">
        <v>111</v>
      </c>
      <c r="AA213" t="str">
        <f>"14850-1313"</f>
        <v>14850-1313</v>
      </c>
      <c r="AB213" t="s">
        <v>312</v>
      </c>
      <c r="AC213" t="s">
        <v>113</v>
      </c>
      <c r="AD213" t="s">
        <v>108</v>
      </c>
      <c r="AE213" t="s">
        <v>114</v>
      </c>
      <c r="AF213" t="s">
        <v>142</v>
      </c>
      <c r="AG213" t="s">
        <v>116</v>
      </c>
      <c r="AK213" t="str">
        <f t="shared" si="22"/>
        <v/>
      </c>
      <c r="AL213" t="s">
        <v>305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 s="24" t="str">
        <f t="shared" si="20"/>
        <v/>
      </c>
      <c r="AY213" s="24" t="str">
        <f t="shared" si="20"/>
        <v/>
      </c>
      <c r="AZ213" s="24" t="str">
        <f t="shared" si="21"/>
        <v/>
      </c>
      <c r="BA213" s="24" t="str">
        <f t="shared" si="21"/>
        <v/>
      </c>
      <c r="BB213" s="24" t="str">
        <f t="shared" si="21"/>
        <v/>
      </c>
      <c r="BC213" s="24" t="str">
        <f t="shared" si="21"/>
        <v/>
      </c>
      <c r="BD213" s="24" t="str">
        <f t="shared" si="21"/>
        <v/>
      </c>
      <c r="BE213" s="24">
        <f t="shared" si="21"/>
        <v>1</v>
      </c>
      <c r="BF213" s="24" t="str">
        <f t="shared" si="21"/>
        <v/>
      </c>
      <c r="BG213" s="24" t="str">
        <f t="shared" si="21"/>
        <v/>
      </c>
      <c r="BH213" s="24" t="str">
        <f t="shared" si="23"/>
        <v/>
      </c>
      <c r="BI213" s="24" t="str">
        <f t="shared" si="21"/>
        <v/>
      </c>
      <c r="BJ213" s="24" t="str">
        <f t="shared" si="24"/>
        <v/>
      </c>
    </row>
    <row r="214" spans="1:62" ht="15" customHeight="1" x14ac:dyDescent="0.25">
      <c r="A214" t="str">
        <f>"1760456370"</f>
        <v>1760456370</v>
      </c>
      <c r="B214" t="str">
        <f>"02081001"</f>
        <v>02081001</v>
      </c>
      <c r="C214" t="s">
        <v>3976</v>
      </c>
      <c r="D214" t="s">
        <v>3977</v>
      </c>
      <c r="E214" t="s">
        <v>3976</v>
      </c>
      <c r="G214" t="s">
        <v>699</v>
      </c>
      <c r="H214" t="s">
        <v>700</v>
      </c>
      <c r="J214" t="s">
        <v>701</v>
      </c>
      <c r="L214" t="s">
        <v>138</v>
      </c>
      <c r="M214" t="s">
        <v>108</v>
      </c>
      <c r="R214" t="s">
        <v>3978</v>
      </c>
      <c r="W214" t="s">
        <v>3979</v>
      </c>
      <c r="X214" t="s">
        <v>3980</v>
      </c>
      <c r="Y214" t="s">
        <v>3981</v>
      </c>
      <c r="Z214" t="s">
        <v>182</v>
      </c>
      <c r="AA214" t="str">
        <f>"16933"</f>
        <v>16933</v>
      </c>
      <c r="AB214" t="s">
        <v>123</v>
      </c>
      <c r="AC214" t="s">
        <v>113</v>
      </c>
      <c r="AD214" t="s">
        <v>108</v>
      </c>
      <c r="AE214" t="s">
        <v>114</v>
      </c>
      <c r="AF214" t="s">
        <v>149</v>
      </c>
      <c r="AG214" t="s">
        <v>116</v>
      </c>
      <c r="AK214" t="str">
        <f t="shared" si="22"/>
        <v/>
      </c>
      <c r="AL214" t="s">
        <v>3977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 s="24" t="str">
        <f t="shared" si="20"/>
        <v/>
      </c>
      <c r="AY214" s="24">
        <f t="shared" si="20"/>
        <v>1</v>
      </c>
      <c r="AZ214" s="24" t="str">
        <f t="shared" si="21"/>
        <v/>
      </c>
      <c r="BA214" s="24" t="str">
        <f t="shared" si="21"/>
        <v/>
      </c>
      <c r="BB214" s="24" t="str">
        <f t="shared" si="21"/>
        <v/>
      </c>
      <c r="BC214" s="24" t="str">
        <f t="shared" si="21"/>
        <v/>
      </c>
      <c r="BD214" s="24" t="str">
        <f t="shared" si="21"/>
        <v/>
      </c>
      <c r="BE214" s="24" t="str">
        <f t="shared" si="21"/>
        <v/>
      </c>
      <c r="BF214" s="24" t="str">
        <f t="shared" si="21"/>
        <v/>
      </c>
      <c r="BG214" s="24" t="str">
        <f t="shared" si="21"/>
        <v/>
      </c>
      <c r="BH214" s="24" t="str">
        <f t="shared" si="23"/>
        <v/>
      </c>
      <c r="BI214" s="24">
        <f t="shared" si="21"/>
        <v>1</v>
      </c>
      <c r="BJ214" s="24" t="str">
        <f t="shared" si="24"/>
        <v/>
      </c>
    </row>
    <row r="215" spans="1:62" ht="15" customHeight="1" x14ac:dyDescent="0.25">
      <c r="B215" t="str">
        <f>"01489321"</f>
        <v>01489321</v>
      </c>
      <c r="C215" t="s">
        <v>1957</v>
      </c>
      <c r="D215" t="s">
        <v>1958</v>
      </c>
      <c r="E215" t="s">
        <v>1957</v>
      </c>
      <c r="F215">
        <v>160956917</v>
      </c>
      <c r="G215" t="s">
        <v>1959</v>
      </c>
      <c r="H215" t="s">
        <v>1960</v>
      </c>
      <c r="L215" t="s">
        <v>68</v>
      </c>
      <c r="M215" t="s">
        <v>139</v>
      </c>
      <c r="W215" t="s">
        <v>1957</v>
      </c>
      <c r="X215" t="s">
        <v>1961</v>
      </c>
      <c r="Y215" t="s">
        <v>293</v>
      </c>
      <c r="Z215" t="s">
        <v>111</v>
      </c>
      <c r="AA215" t="str">
        <f>"14850-5793"</f>
        <v>14850-5793</v>
      </c>
      <c r="AB215" t="s">
        <v>165</v>
      </c>
      <c r="AC215" t="s">
        <v>113</v>
      </c>
      <c r="AD215" t="s">
        <v>108</v>
      </c>
      <c r="AE215" t="s">
        <v>114</v>
      </c>
      <c r="AF215" t="s">
        <v>142</v>
      </c>
      <c r="AG215" t="s">
        <v>116</v>
      </c>
      <c r="AK215" t="str">
        <f t="shared" si="22"/>
        <v/>
      </c>
      <c r="AL215" t="s">
        <v>1958</v>
      </c>
      <c r="AM215">
        <v>1</v>
      </c>
      <c r="AN215">
        <v>0</v>
      </c>
      <c r="AO215">
        <v>0</v>
      </c>
      <c r="AP215">
        <v>1</v>
      </c>
      <c r="AQ215">
        <v>1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 s="24" t="str">
        <f t="shared" si="20"/>
        <v/>
      </c>
      <c r="AY215" s="24" t="str">
        <f t="shared" si="20"/>
        <v/>
      </c>
      <c r="AZ215" s="24" t="str">
        <f t="shared" si="21"/>
        <v/>
      </c>
      <c r="BA215" s="24" t="str">
        <f t="shared" si="21"/>
        <v/>
      </c>
      <c r="BB215" s="24" t="str">
        <f t="shared" si="21"/>
        <v/>
      </c>
      <c r="BC215" s="24" t="str">
        <f t="shared" si="21"/>
        <v/>
      </c>
      <c r="BD215" s="24" t="str">
        <f t="shared" si="21"/>
        <v/>
      </c>
      <c r="BE215" s="24" t="str">
        <f t="shared" si="21"/>
        <v/>
      </c>
      <c r="BF215" s="24" t="str">
        <f t="shared" si="21"/>
        <v/>
      </c>
      <c r="BG215" s="24" t="str">
        <f t="shared" si="21"/>
        <v/>
      </c>
      <c r="BH215" s="24" t="str">
        <f t="shared" si="23"/>
        <v/>
      </c>
      <c r="BI215" s="24">
        <f t="shared" si="21"/>
        <v>1</v>
      </c>
      <c r="BJ215" s="24" t="str">
        <f t="shared" si="24"/>
        <v/>
      </c>
    </row>
    <row r="216" spans="1:62" ht="15" customHeight="1" x14ac:dyDescent="0.25">
      <c r="B216" t="str">
        <f>"02171391"</f>
        <v>02171391</v>
      </c>
      <c r="C216" t="s">
        <v>1962</v>
      </c>
      <c r="D216" t="s">
        <v>1963</v>
      </c>
      <c r="E216" t="s">
        <v>1962</v>
      </c>
      <c r="F216">
        <v>160956917</v>
      </c>
      <c r="G216" t="s">
        <v>1959</v>
      </c>
      <c r="H216" t="s">
        <v>1960</v>
      </c>
      <c r="L216" t="s">
        <v>68</v>
      </c>
      <c r="M216" t="s">
        <v>139</v>
      </c>
      <c r="W216" t="s">
        <v>1962</v>
      </c>
      <c r="X216" t="s">
        <v>1065</v>
      </c>
      <c r="Y216" t="s">
        <v>293</v>
      </c>
      <c r="Z216" t="s">
        <v>111</v>
      </c>
      <c r="AA216" t="str">
        <f>"14850-5793"</f>
        <v>14850-5793</v>
      </c>
      <c r="AB216" t="s">
        <v>165</v>
      </c>
      <c r="AC216" t="s">
        <v>113</v>
      </c>
      <c r="AD216" t="s">
        <v>108</v>
      </c>
      <c r="AE216" t="s">
        <v>114</v>
      </c>
      <c r="AF216" t="s">
        <v>142</v>
      </c>
      <c r="AG216" t="s">
        <v>116</v>
      </c>
      <c r="AK216" t="str">
        <f t="shared" si="22"/>
        <v/>
      </c>
      <c r="AL216" t="s">
        <v>1963</v>
      </c>
      <c r="AM216">
        <v>1</v>
      </c>
      <c r="AN216">
        <v>0</v>
      </c>
      <c r="AO216">
        <v>0</v>
      </c>
      <c r="AP216">
        <v>1</v>
      </c>
      <c r="AQ216">
        <v>1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 s="24" t="str">
        <f t="shared" si="20"/>
        <v/>
      </c>
      <c r="AY216" s="24" t="str">
        <f t="shared" si="20"/>
        <v/>
      </c>
      <c r="AZ216" s="24" t="str">
        <f t="shared" si="21"/>
        <v/>
      </c>
      <c r="BA216" s="24" t="str">
        <f t="shared" si="21"/>
        <v/>
      </c>
      <c r="BB216" s="24" t="str">
        <f t="shared" si="21"/>
        <v/>
      </c>
      <c r="BC216" s="24" t="str">
        <f t="shared" si="21"/>
        <v/>
      </c>
      <c r="BD216" s="24" t="str">
        <f t="shared" si="21"/>
        <v/>
      </c>
      <c r="BE216" s="24" t="str">
        <f t="shared" si="21"/>
        <v/>
      </c>
      <c r="BF216" s="24" t="str">
        <f t="shared" si="21"/>
        <v/>
      </c>
      <c r="BG216" s="24" t="str">
        <f t="shared" si="21"/>
        <v/>
      </c>
      <c r="BH216" s="24" t="str">
        <f t="shared" si="23"/>
        <v/>
      </c>
      <c r="BI216" s="24">
        <f t="shared" si="21"/>
        <v>1</v>
      </c>
      <c r="BJ216" s="24" t="str">
        <f t="shared" si="24"/>
        <v/>
      </c>
    </row>
    <row r="217" spans="1:62" ht="15" customHeight="1" x14ac:dyDescent="0.25">
      <c r="A217" t="str">
        <f>"1689846867"</f>
        <v>1689846867</v>
      </c>
      <c r="B217" t="str">
        <f>"03138121"</f>
        <v>03138121</v>
      </c>
      <c r="C217" t="s">
        <v>6864</v>
      </c>
      <c r="D217" t="s">
        <v>7160</v>
      </c>
      <c r="E217" t="s">
        <v>7161</v>
      </c>
      <c r="G217" t="s">
        <v>6330</v>
      </c>
      <c r="H217" t="s">
        <v>6331</v>
      </c>
      <c r="J217" t="s">
        <v>6332</v>
      </c>
      <c r="L217" t="s">
        <v>6868</v>
      </c>
      <c r="M217" t="s">
        <v>108</v>
      </c>
      <c r="R217" t="s">
        <v>6864</v>
      </c>
      <c r="W217" t="s">
        <v>7020</v>
      </c>
      <c r="X217" t="s">
        <v>7021</v>
      </c>
      <c r="Y217" t="s">
        <v>129</v>
      </c>
      <c r="Z217" t="s">
        <v>111</v>
      </c>
      <c r="AA217" t="str">
        <f>"13790-2798"</f>
        <v>13790-2798</v>
      </c>
      <c r="AB217" t="s">
        <v>123</v>
      </c>
      <c r="AC217" t="s">
        <v>113</v>
      </c>
      <c r="AD217" t="s">
        <v>108</v>
      </c>
      <c r="AE217" t="s">
        <v>114</v>
      </c>
      <c r="AF217" t="s">
        <v>115</v>
      </c>
      <c r="AG217" t="s">
        <v>116</v>
      </c>
      <c r="AK217" t="str">
        <f t="shared" si="22"/>
        <v>CHAMBERLIN LYNN</v>
      </c>
      <c r="AL217" t="s">
        <v>7160</v>
      </c>
      <c r="AM217" t="s">
        <v>108</v>
      </c>
      <c r="AN217" t="s">
        <v>108</v>
      </c>
      <c r="AO217" t="s">
        <v>108</v>
      </c>
      <c r="AP217" t="s">
        <v>108</v>
      </c>
      <c r="AQ217" t="s">
        <v>108</v>
      </c>
      <c r="AR217" t="s">
        <v>108</v>
      </c>
      <c r="AS217" t="s">
        <v>108</v>
      </c>
      <c r="AT217" t="s">
        <v>108</v>
      </c>
      <c r="AU217">
        <v>1</v>
      </c>
      <c r="AV217" t="s">
        <v>108</v>
      </c>
      <c r="AW217" t="s">
        <v>108</v>
      </c>
      <c r="AX217" s="24">
        <f t="shared" si="20"/>
        <v>1</v>
      </c>
      <c r="AY217" s="24">
        <f t="shared" si="20"/>
        <v>1</v>
      </c>
      <c r="AZ217" s="24" t="str">
        <f t="shared" si="21"/>
        <v/>
      </c>
      <c r="BA217" s="24" t="str">
        <f t="shared" si="21"/>
        <v/>
      </c>
      <c r="BB217" s="24" t="str">
        <f t="shared" si="21"/>
        <v/>
      </c>
      <c r="BC217" s="24" t="str">
        <f t="shared" si="21"/>
        <v/>
      </c>
      <c r="BD217" s="24" t="str">
        <f t="shared" si="21"/>
        <v/>
      </c>
      <c r="BE217" s="24" t="str">
        <f t="shared" si="21"/>
        <v/>
      </c>
      <c r="BF217" s="24" t="str">
        <f t="shared" ref="AZ217:BI243" si="25">IF(ISERROR(FIND(BF$1,$L217,1)),"",1)</f>
        <v/>
      </c>
      <c r="BG217" s="24" t="str">
        <f t="shared" si="25"/>
        <v/>
      </c>
      <c r="BH217" s="24" t="str">
        <f t="shared" si="23"/>
        <v/>
      </c>
      <c r="BI217" s="24" t="str">
        <f t="shared" si="25"/>
        <v/>
      </c>
      <c r="BJ217" s="24" t="str">
        <f t="shared" si="24"/>
        <v/>
      </c>
    </row>
    <row r="218" spans="1:62" ht="15" customHeight="1" x14ac:dyDescent="0.25">
      <c r="A218" t="str">
        <f>"1295798502"</f>
        <v>1295798502</v>
      </c>
      <c r="B218" t="str">
        <f>"03248735"</f>
        <v>03248735</v>
      </c>
      <c r="C218" t="s">
        <v>193</v>
      </c>
      <c r="D218" t="s">
        <v>194</v>
      </c>
      <c r="E218" t="s">
        <v>195</v>
      </c>
      <c r="G218" t="s">
        <v>177</v>
      </c>
      <c r="H218" t="s">
        <v>178</v>
      </c>
      <c r="J218" t="s">
        <v>179</v>
      </c>
      <c r="L218" t="s">
        <v>138</v>
      </c>
      <c r="M218" t="s">
        <v>108</v>
      </c>
      <c r="R218" t="s">
        <v>193</v>
      </c>
      <c r="W218" t="s">
        <v>195</v>
      </c>
      <c r="X218" t="s">
        <v>196</v>
      </c>
      <c r="Y218" t="s">
        <v>181</v>
      </c>
      <c r="Z218" t="s">
        <v>182</v>
      </c>
      <c r="AA218" t="str">
        <f>"18840-1625"</f>
        <v>18840-1625</v>
      </c>
      <c r="AB218" t="s">
        <v>123</v>
      </c>
      <c r="AC218" t="s">
        <v>113</v>
      </c>
      <c r="AD218" t="s">
        <v>108</v>
      </c>
      <c r="AE218" t="s">
        <v>114</v>
      </c>
      <c r="AF218" t="s">
        <v>115</v>
      </c>
      <c r="AG218" t="s">
        <v>116</v>
      </c>
      <c r="AK218" t="str">
        <f t="shared" si="22"/>
        <v/>
      </c>
      <c r="AL218" t="s">
        <v>194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 s="24" t="str">
        <f t="shared" si="20"/>
        <v/>
      </c>
      <c r="AY218" s="24">
        <f t="shared" si="20"/>
        <v>1</v>
      </c>
      <c r="AZ218" s="24" t="str">
        <f t="shared" si="25"/>
        <v/>
      </c>
      <c r="BA218" s="24" t="str">
        <f t="shared" si="25"/>
        <v/>
      </c>
      <c r="BB218" s="24" t="str">
        <f t="shared" si="25"/>
        <v/>
      </c>
      <c r="BC218" s="24" t="str">
        <f t="shared" si="25"/>
        <v/>
      </c>
      <c r="BD218" s="24" t="str">
        <f t="shared" si="25"/>
        <v/>
      </c>
      <c r="BE218" s="24" t="str">
        <f t="shared" si="25"/>
        <v/>
      </c>
      <c r="BF218" s="24" t="str">
        <f t="shared" si="25"/>
        <v/>
      </c>
      <c r="BG218" s="24" t="str">
        <f t="shared" si="25"/>
        <v/>
      </c>
      <c r="BH218" s="24" t="str">
        <f t="shared" si="23"/>
        <v/>
      </c>
      <c r="BI218" s="24">
        <f t="shared" si="25"/>
        <v>1</v>
      </c>
      <c r="BJ218" s="24" t="str">
        <f t="shared" si="24"/>
        <v/>
      </c>
    </row>
    <row r="219" spans="1:62" ht="15" customHeight="1" x14ac:dyDescent="0.25">
      <c r="A219" t="str">
        <f>"1558335174"</f>
        <v>1558335174</v>
      </c>
      <c r="B219" t="str">
        <f>"02581464"</f>
        <v>02581464</v>
      </c>
      <c r="C219" t="s">
        <v>3982</v>
      </c>
      <c r="D219" t="s">
        <v>3983</v>
      </c>
      <c r="E219" t="s">
        <v>3982</v>
      </c>
      <c r="G219" t="s">
        <v>699</v>
      </c>
      <c r="H219" t="s">
        <v>700</v>
      </c>
      <c r="J219" t="s">
        <v>701</v>
      </c>
      <c r="L219" t="s">
        <v>120</v>
      </c>
      <c r="M219" t="s">
        <v>108</v>
      </c>
      <c r="R219" t="s">
        <v>3984</v>
      </c>
      <c r="W219" t="s">
        <v>3982</v>
      </c>
      <c r="Y219" t="s">
        <v>148</v>
      </c>
      <c r="Z219" t="s">
        <v>111</v>
      </c>
      <c r="AA219" t="str">
        <f>"14845-8533"</f>
        <v>14845-8533</v>
      </c>
      <c r="AB219" t="s">
        <v>123</v>
      </c>
      <c r="AC219" t="s">
        <v>113</v>
      </c>
      <c r="AD219" t="s">
        <v>108</v>
      </c>
      <c r="AE219" t="s">
        <v>114</v>
      </c>
      <c r="AF219" t="s">
        <v>149</v>
      </c>
      <c r="AG219" t="s">
        <v>116</v>
      </c>
      <c r="AK219" t="str">
        <f t="shared" si="22"/>
        <v/>
      </c>
      <c r="AL219" t="s">
        <v>3983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 s="24">
        <f t="shared" si="20"/>
        <v>1</v>
      </c>
      <c r="AY219" s="24" t="str">
        <f t="shared" si="20"/>
        <v/>
      </c>
      <c r="AZ219" s="24" t="str">
        <f t="shared" si="25"/>
        <v/>
      </c>
      <c r="BA219" s="24" t="str">
        <f t="shared" si="25"/>
        <v/>
      </c>
      <c r="BB219" s="24" t="str">
        <f t="shared" si="25"/>
        <v/>
      </c>
      <c r="BC219" s="24" t="str">
        <f t="shared" si="25"/>
        <v/>
      </c>
      <c r="BD219" s="24" t="str">
        <f t="shared" si="25"/>
        <v/>
      </c>
      <c r="BE219" s="24" t="str">
        <f t="shared" si="25"/>
        <v/>
      </c>
      <c r="BF219" s="24" t="str">
        <f t="shared" si="25"/>
        <v/>
      </c>
      <c r="BG219" s="24" t="str">
        <f t="shared" si="25"/>
        <v/>
      </c>
      <c r="BH219" s="24" t="str">
        <f t="shared" si="23"/>
        <v/>
      </c>
      <c r="BI219" s="24">
        <f t="shared" si="25"/>
        <v>1</v>
      </c>
      <c r="BJ219" s="24" t="str">
        <f t="shared" si="24"/>
        <v/>
      </c>
    </row>
    <row r="220" spans="1:62" ht="15" customHeight="1" x14ac:dyDescent="0.25">
      <c r="A220" t="str">
        <f>"1538268289"</f>
        <v>1538268289</v>
      </c>
      <c r="B220" t="str">
        <f>"02642822"</f>
        <v>02642822</v>
      </c>
      <c r="C220" t="s">
        <v>5329</v>
      </c>
      <c r="D220" t="s">
        <v>5330</v>
      </c>
      <c r="E220" t="s">
        <v>5331</v>
      </c>
      <c r="G220" t="s">
        <v>5294</v>
      </c>
      <c r="H220" t="s">
        <v>2626</v>
      </c>
      <c r="J220" t="s">
        <v>5332</v>
      </c>
      <c r="L220" t="s">
        <v>120</v>
      </c>
      <c r="M220" t="s">
        <v>108</v>
      </c>
      <c r="R220" t="s">
        <v>5333</v>
      </c>
      <c r="W220" t="s">
        <v>5331</v>
      </c>
      <c r="X220" t="s">
        <v>121</v>
      </c>
      <c r="Y220" t="s">
        <v>122</v>
      </c>
      <c r="Z220" t="s">
        <v>111</v>
      </c>
      <c r="AA220" t="str">
        <f>"13815-1019"</f>
        <v>13815-1019</v>
      </c>
      <c r="AB220" t="s">
        <v>123</v>
      </c>
      <c r="AC220" t="s">
        <v>113</v>
      </c>
      <c r="AD220" t="s">
        <v>108</v>
      </c>
      <c r="AE220" t="s">
        <v>114</v>
      </c>
      <c r="AF220" t="s">
        <v>124</v>
      </c>
      <c r="AG220" t="s">
        <v>116</v>
      </c>
      <c r="AK220" t="str">
        <f t="shared" si="22"/>
        <v/>
      </c>
      <c r="AL220" t="s">
        <v>5330</v>
      </c>
      <c r="AM220">
        <v>1</v>
      </c>
      <c r="AN220">
        <v>1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 s="24">
        <f t="shared" si="20"/>
        <v>1</v>
      </c>
      <c r="AY220" s="24" t="str">
        <f t="shared" si="20"/>
        <v/>
      </c>
      <c r="AZ220" s="24" t="str">
        <f t="shared" si="25"/>
        <v/>
      </c>
      <c r="BA220" s="24" t="str">
        <f t="shared" si="25"/>
        <v/>
      </c>
      <c r="BB220" s="24" t="str">
        <f t="shared" si="25"/>
        <v/>
      </c>
      <c r="BC220" s="24" t="str">
        <f t="shared" si="25"/>
        <v/>
      </c>
      <c r="BD220" s="24" t="str">
        <f t="shared" si="25"/>
        <v/>
      </c>
      <c r="BE220" s="24" t="str">
        <f t="shared" si="25"/>
        <v/>
      </c>
      <c r="BF220" s="24" t="str">
        <f t="shared" si="25"/>
        <v/>
      </c>
      <c r="BG220" s="24" t="str">
        <f t="shared" si="25"/>
        <v/>
      </c>
      <c r="BH220" s="24" t="str">
        <f t="shared" si="23"/>
        <v/>
      </c>
      <c r="BI220" s="24">
        <f t="shared" si="25"/>
        <v>1</v>
      </c>
      <c r="BJ220" s="24" t="str">
        <f t="shared" si="24"/>
        <v/>
      </c>
    </row>
    <row r="221" spans="1:62" ht="15" customHeight="1" x14ac:dyDescent="0.25">
      <c r="A221" t="str">
        <f>"1942363346"</f>
        <v>1942363346</v>
      </c>
      <c r="B221" t="str">
        <f>"01383971"</f>
        <v>01383971</v>
      </c>
      <c r="C221" t="s">
        <v>4212</v>
      </c>
      <c r="D221" t="s">
        <v>4213</v>
      </c>
      <c r="E221" t="s">
        <v>4214</v>
      </c>
      <c r="G221" t="s">
        <v>4202</v>
      </c>
      <c r="H221" t="s">
        <v>4203</v>
      </c>
      <c r="J221" t="s">
        <v>4215</v>
      </c>
      <c r="L221" t="s">
        <v>247</v>
      </c>
      <c r="M221" t="s">
        <v>108</v>
      </c>
      <c r="R221" t="s">
        <v>4216</v>
      </c>
      <c r="W221" t="s">
        <v>4214</v>
      </c>
      <c r="X221" t="s">
        <v>1506</v>
      </c>
      <c r="Y221" t="s">
        <v>293</v>
      </c>
      <c r="Z221" t="s">
        <v>111</v>
      </c>
      <c r="AA221" t="str">
        <f>"14850-1345"</f>
        <v>14850-1345</v>
      </c>
      <c r="AB221" t="s">
        <v>123</v>
      </c>
      <c r="AC221" t="s">
        <v>113</v>
      </c>
      <c r="AD221" t="s">
        <v>108</v>
      </c>
      <c r="AE221" t="s">
        <v>114</v>
      </c>
      <c r="AF221" t="s">
        <v>142</v>
      </c>
      <c r="AG221" t="s">
        <v>116</v>
      </c>
      <c r="AK221" t="str">
        <f t="shared" si="22"/>
        <v/>
      </c>
      <c r="AL221" t="s">
        <v>4213</v>
      </c>
      <c r="AM221">
        <v>1</v>
      </c>
      <c r="AN221">
        <v>1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 s="24" t="str">
        <f t="shared" si="20"/>
        <v/>
      </c>
      <c r="AY221" s="24">
        <f t="shared" si="20"/>
        <v>1</v>
      </c>
      <c r="AZ221" s="24" t="str">
        <f t="shared" si="25"/>
        <v/>
      </c>
      <c r="BA221" s="24" t="str">
        <f t="shared" si="25"/>
        <v/>
      </c>
      <c r="BB221" s="24" t="str">
        <f t="shared" si="25"/>
        <v/>
      </c>
      <c r="BC221" s="24" t="str">
        <f t="shared" si="25"/>
        <v/>
      </c>
      <c r="BD221" s="24" t="str">
        <f t="shared" si="25"/>
        <v/>
      </c>
      <c r="BE221" s="24" t="str">
        <f t="shared" si="25"/>
        <v/>
      </c>
      <c r="BF221" s="24" t="str">
        <f t="shared" si="25"/>
        <v/>
      </c>
      <c r="BG221" s="24" t="str">
        <f t="shared" si="25"/>
        <v/>
      </c>
      <c r="BH221" s="24" t="str">
        <f t="shared" si="23"/>
        <v/>
      </c>
      <c r="BI221" s="24" t="str">
        <f t="shared" si="25"/>
        <v/>
      </c>
      <c r="BJ221" s="24" t="str">
        <f t="shared" si="24"/>
        <v/>
      </c>
    </row>
    <row r="222" spans="1:62" ht="15" customHeight="1" x14ac:dyDescent="0.25">
      <c r="A222" t="str">
        <f>"1558313247"</f>
        <v>1558313247</v>
      </c>
      <c r="B222" t="str">
        <f>"01910356"</f>
        <v>01910356</v>
      </c>
      <c r="C222" t="s">
        <v>6206</v>
      </c>
      <c r="D222" t="s">
        <v>6207</v>
      </c>
      <c r="E222" t="s">
        <v>6208</v>
      </c>
      <c r="G222" t="s">
        <v>815</v>
      </c>
      <c r="H222" t="s">
        <v>816</v>
      </c>
      <c r="J222" t="s">
        <v>817</v>
      </c>
      <c r="L222" t="s">
        <v>138</v>
      </c>
      <c r="M222" t="s">
        <v>108</v>
      </c>
      <c r="R222" t="s">
        <v>6209</v>
      </c>
      <c r="W222" t="s">
        <v>6208</v>
      </c>
      <c r="X222" t="s">
        <v>6210</v>
      </c>
      <c r="Y222" t="s">
        <v>129</v>
      </c>
      <c r="Z222" t="s">
        <v>111</v>
      </c>
      <c r="AA222" t="str">
        <f>"13790-2165"</f>
        <v>13790-2165</v>
      </c>
      <c r="AB222" t="s">
        <v>123</v>
      </c>
      <c r="AC222" t="s">
        <v>113</v>
      </c>
      <c r="AD222" t="s">
        <v>108</v>
      </c>
      <c r="AE222" t="s">
        <v>114</v>
      </c>
      <c r="AF222" t="s">
        <v>115</v>
      </c>
      <c r="AG222" t="s">
        <v>116</v>
      </c>
      <c r="AK222" t="str">
        <f t="shared" si="22"/>
        <v>Charles R. Campbell, MD</v>
      </c>
      <c r="AL222" t="s">
        <v>6207</v>
      </c>
      <c r="AM222" t="s">
        <v>108</v>
      </c>
      <c r="AN222" t="s">
        <v>108</v>
      </c>
      <c r="AO222" t="s">
        <v>108</v>
      </c>
      <c r="AP222" t="s">
        <v>108</v>
      </c>
      <c r="AQ222" t="s">
        <v>108</v>
      </c>
      <c r="AR222" t="s">
        <v>108</v>
      </c>
      <c r="AS222" t="s">
        <v>108</v>
      </c>
      <c r="AT222" t="s">
        <v>108</v>
      </c>
      <c r="AU222">
        <v>0</v>
      </c>
      <c r="AV222" t="s">
        <v>108</v>
      </c>
      <c r="AW222" t="s">
        <v>108</v>
      </c>
      <c r="AX222" s="24" t="str">
        <f t="shared" si="20"/>
        <v/>
      </c>
      <c r="AY222" s="24">
        <f t="shared" si="20"/>
        <v>1</v>
      </c>
      <c r="AZ222" s="24" t="str">
        <f t="shared" si="25"/>
        <v/>
      </c>
      <c r="BA222" s="24" t="str">
        <f t="shared" si="25"/>
        <v/>
      </c>
      <c r="BB222" s="24" t="str">
        <f t="shared" si="25"/>
        <v/>
      </c>
      <c r="BC222" s="24" t="str">
        <f t="shared" si="25"/>
        <v/>
      </c>
      <c r="BD222" s="24" t="str">
        <f t="shared" si="25"/>
        <v/>
      </c>
      <c r="BE222" s="24" t="str">
        <f t="shared" si="25"/>
        <v/>
      </c>
      <c r="BF222" s="24" t="str">
        <f t="shared" si="25"/>
        <v/>
      </c>
      <c r="BG222" s="24" t="str">
        <f t="shared" si="25"/>
        <v/>
      </c>
      <c r="BH222" s="24" t="str">
        <f t="shared" si="23"/>
        <v/>
      </c>
      <c r="BI222" s="24">
        <f t="shared" si="25"/>
        <v>1</v>
      </c>
      <c r="BJ222" s="24" t="str">
        <f t="shared" si="24"/>
        <v/>
      </c>
    </row>
    <row r="223" spans="1:62" ht="15" customHeight="1" x14ac:dyDescent="0.25">
      <c r="A223" t="str">
        <f>"1790856029"</f>
        <v>1790856029</v>
      </c>
      <c r="B223" t="str">
        <f>"00783431"</f>
        <v>00783431</v>
      </c>
      <c r="C223" t="s">
        <v>3749</v>
      </c>
      <c r="D223" t="s">
        <v>3754</v>
      </c>
      <c r="E223" t="s">
        <v>3755</v>
      </c>
      <c r="G223" t="s">
        <v>3749</v>
      </c>
      <c r="H223" t="s">
        <v>3750</v>
      </c>
      <c r="J223" t="s">
        <v>3751</v>
      </c>
      <c r="L223" t="s">
        <v>120</v>
      </c>
      <c r="M223" t="s">
        <v>139</v>
      </c>
      <c r="R223" t="s">
        <v>3756</v>
      </c>
      <c r="W223" t="s">
        <v>3755</v>
      </c>
      <c r="X223" t="s">
        <v>3753</v>
      </c>
      <c r="Y223" t="s">
        <v>239</v>
      </c>
      <c r="Z223" t="s">
        <v>111</v>
      </c>
      <c r="AA223" t="str">
        <f>"13045-1637"</f>
        <v>13045-1637</v>
      </c>
      <c r="AB223" t="s">
        <v>123</v>
      </c>
      <c r="AC223" t="s">
        <v>113</v>
      </c>
      <c r="AD223" t="s">
        <v>108</v>
      </c>
      <c r="AE223" t="s">
        <v>114</v>
      </c>
      <c r="AF223" t="s">
        <v>142</v>
      </c>
      <c r="AG223" t="s">
        <v>116</v>
      </c>
      <c r="AK223" t="str">
        <f t="shared" si="22"/>
        <v/>
      </c>
      <c r="AL223" t="s">
        <v>3754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 s="24">
        <f t="shared" si="20"/>
        <v>1</v>
      </c>
      <c r="AY223" s="24" t="str">
        <f t="shared" si="20"/>
        <v/>
      </c>
      <c r="AZ223" s="24" t="str">
        <f t="shared" si="25"/>
        <v/>
      </c>
      <c r="BA223" s="24" t="str">
        <f t="shared" si="25"/>
        <v/>
      </c>
      <c r="BB223" s="24" t="str">
        <f t="shared" si="25"/>
        <v/>
      </c>
      <c r="BC223" s="24" t="str">
        <f t="shared" si="25"/>
        <v/>
      </c>
      <c r="BD223" s="24" t="str">
        <f t="shared" si="25"/>
        <v/>
      </c>
      <c r="BE223" s="24" t="str">
        <f t="shared" si="25"/>
        <v/>
      </c>
      <c r="BF223" s="24" t="str">
        <f t="shared" si="25"/>
        <v/>
      </c>
      <c r="BG223" s="24" t="str">
        <f t="shared" si="25"/>
        <v/>
      </c>
      <c r="BH223" s="24" t="str">
        <f t="shared" si="23"/>
        <v/>
      </c>
      <c r="BI223" s="24">
        <f t="shared" si="25"/>
        <v>1</v>
      </c>
      <c r="BJ223" s="24" t="str">
        <f t="shared" si="24"/>
        <v/>
      </c>
    </row>
    <row r="224" spans="1:62" ht="15" customHeight="1" x14ac:dyDescent="0.25">
      <c r="A224" t="str">
        <f>"1326253865"</f>
        <v>1326253865</v>
      </c>
      <c r="B224" t="str">
        <f>"01338494"</f>
        <v>01338494</v>
      </c>
      <c r="C224" t="s">
        <v>3746</v>
      </c>
      <c r="D224" t="s">
        <v>3747</v>
      </c>
      <c r="E224" t="s">
        <v>3748</v>
      </c>
      <c r="G224" t="s">
        <v>3749</v>
      </c>
      <c r="H224" t="s">
        <v>3750</v>
      </c>
      <c r="J224" t="s">
        <v>3751</v>
      </c>
      <c r="L224" t="s">
        <v>133</v>
      </c>
      <c r="M224" t="s">
        <v>108</v>
      </c>
      <c r="R224" t="s">
        <v>3752</v>
      </c>
      <c r="W224" t="s">
        <v>3748</v>
      </c>
      <c r="X224" t="s">
        <v>3753</v>
      </c>
      <c r="Y224" t="s">
        <v>239</v>
      </c>
      <c r="Z224" t="s">
        <v>111</v>
      </c>
      <c r="AA224" t="str">
        <f>"13045-1637"</f>
        <v>13045-1637</v>
      </c>
      <c r="AB224" t="s">
        <v>112</v>
      </c>
      <c r="AC224" t="s">
        <v>113</v>
      </c>
      <c r="AD224" t="s">
        <v>108</v>
      </c>
      <c r="AE224" t="s">
        <v>114</v>
      </c>
      <c r="AF224" t="s">
        <v>142</v>
      </c>
      <c r="AG224" t="s">
        <v>116</v>
      </c>
      <c r="AK224" t="str">
        <f t="shared" si="22"/>
        <v>Charlotte Hawkins MD</v>
      </c>
      <c r="AL224" t="s">
        <v>3747</v>
      </c>
      <c r="AM224" t="s">
        <v>108</v>
      </c>
      <c r="AN224" t="s">
        <v>108</v>
      </c>
      <c r="AO224" t="s">
        <v>108</v>
      </c>
      <c r="AP224" t="s">
        <v>108</v>
      </c>
      <c r="AQ224" t="s">
        <v>108</v>
      </c>
      <c r="AR224" t="s">
        <v>108</v>
      </c>
      <c r="AS224" t="s">
        <v>108</v>
      </c>
      <c r="AT224" t="s">
        <v>108</v>
      </c>
      <c r="AU224">
        <v>0</v>
      </c>
      <c r="AV224" t="s">
        <v>108</v>
      </c>
      <c r="AW224" t="s">
        <v>108</v>
      </c>
      <c r="AX224" s="24" t="str">
        <f t="shared" si="20"/>
        <v/>
      </c>
      <c r="AY224" s="24" t="str">
        <f t="shared" si="20"/>
        <v/>
      </c>
      <c r="AZ224" s="24" t="str">
        <f t="shared" si="25"/>
        <v/>
      </c>
      <c r="BA224" s="24" t="str">
        <f t="shared" si="25"/>
        <v/>
      </c>
      <c r="BB224" s="24" t="str">
        <f t="shared" si="25"/>
        <v/>
      </c>
      <c r="BC224" s="24" t="str">
        <f t="shared" si="25"/>
        <v/>
      </c>
      <c r="BD224" s="24" t="str">
        <f t="shared" si="25"/>
        <v/>
      </c>
      <c r="BE224" s="24" t="str">
        <f t="shared" si="25"/>
        <v/>
      </c>
      <c r="BF224" s="24" t="str">
        <f t="shared" si="25"/>
        <v/>
      </c>
      <c r="BG224" s="24" t="str">
        <f t="shared" si="25"/>
        <v/>
      </c>
      <c r="BH224" s="24" t="str">
        <f t="shared" si="23"/>
        <v/>
      </c>
      <c r="BI224" s="24" t="str">
        <f t="shared" si="25"/>
        <v/>
      </c>
      <c r="BJ224" s="24">
        <f t="shared" si="24"/>
        <v>1</v>
      </c>
    </row>
    <row r="225" spans="1:62" ht="15" customHeight="1" x14ac:dyDescent="0.25">
      <c r="A225" t="str">
        <f>"1760576631"</f>
        <v>1760576631</v>
      </c>
      <c r="B225" t="str">
        <f>"00474713"</f>
        <v>00474713</v>
      </c>
      <c r="C225" t="s">
        <v>5732</v>
      </c>
      <c r="D225" t="s">
        <v>5733</v>
      </c>
      <c r="E225" t="s">
        <v>5734</v>
      </c>
      <c r="G225" t="s">
        <v>1077</v>
      </c>
      <c r="H225" t="s">
        <v>5735</v>
      </c>
      <c r="J225" t="s">
        <v>5736</v>
      </c>
      <c r="L225" t="s">
        <v>1382</v>
      </c>
      <c r="M225" t="s">
        <v>139</v>
      </c>
      <c r="R225" t="s">
        <v>5732</v>
      </c>
      <c r="W225" t="s">
        <v>5737</v>
      </c>
      <c r="X225" t="s">
        <v>5738</v>
      </c>
      <c r="Y225" t="s">
        <v>5739</v>
      </c>
      <c r="Z225" t="s">
        <v>111</v>
      </c>
      <c r="AA225" t="str">
        <f>"13411-9515"</f>
        <v>13411-9515</v>
      </c>
      <c r="AB225" t="s">
        <v>312</v>
      </c>
      <c r="AC225" t="s">
        <v>113</v>
      </c>
      <c r="AD225" t="s">
        <v>108</v>
      </c>
      <c r="AE225" t="s">
        <v>114</v>
      </c>
      <c r="AF225" t="s">
        <v>124</v>
      </c>
      <c r="AG225" t="s">
        <v>116</v>
      </c>
      <c r="AK225" t="str">
        <f t="shared" si="22"/>
        <v/>
      </c>
      <c r="AL225" t="s">
        <v>5733</v>
      </c>
      <c r="AM225">
        <v>1</v>
      </c>
      <c r="AN225">
        <v>0</v>
      </c>
      <c r="AO225">
        <v>1</v>
      </c>
      <c r="AP225">
        <v>0</v>
      </c>
      <c r="AQ225">
        <v>1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 s="24" t="str">
        <f t="shared" si="20"/>
        <v/>
      </c>
      <c r="AY225" s="24" t="str">
        <f t="shared" si="20"/>
        <v/>
      </c>
      <c r="AZ225" s="24" t="str">
        <f t="shared" si="25"/>
        <v/>
      </c>
      <c r="BA225" s="24" t="str">
        <f t="shared" si="25"/>
        <v/>
      </c>
      <c r="BB225" s="24" t="str">
        <f t="shared" si="25"/>
        <v/>
      </c>
      <c r="BC225" s="24" t="str">
        <f t="shared" si="25"/>
        <v/>
      </c>
      <c r="BD225" s="24" t="str">
        <f t="shared" si="25"/>
        <v/>
      </c>
      <c r="BE225" s="24">
        <f t="shared" si="25"/>
        <v>1</v>
      </c>
      <c r="BF225" s="24" t="str">
        <f t="shared" si="25"/>
        <v/>
      </c>
      <c r="BG225" s="24" t="str">
        <f t="shared" si="25"/>
        <v/>
      </c>
      <c r="BH225" s="24" t="str">
        <f t="shared" si="23"/>
        <v/>
      </c>
      <c r="BI225" s="24">
        <f t="shared" si="25"/>
        <v>1</v>
      </c>
      <c r="BJ225" s="24" t="str">
        <f t="shared" si="24"/>
        <v/>
      </c>
    </row>
    <row r="226" spans="1:62" ht="15" customHeight="1" x14ac:dyDescent="0.25">
      <c r="A226" t="str">
        <f>"1144213976"</f>
        <v>1144213976</v>
      </c>
      <c r="B226" t="str">
        <f>"02499347"</f>
        <v>02499347</v>
      </c>
      <c r="C226" t="s">
        <v>200</v>
      </c>
      <c r="D226" t="s">
        <v>201</v>
      </c>
      <c r="E226" t="s">
        <v>202</v>
      </c>
      <c r="G226" t="s">
        <v>177</v>
      </c>
      <c r="H226" t="s">
        <v>178</v>
      </c>
      <c r="J226" t="s">
        <v>179</v>
      </c>
      <c r="L226" t="s">
        <v>138</v>
      </c>
      <c r="M226" t="s">
        <v>108</v>
      </c>
      <c r="R226" t="s">
        <v>200</v>
      </c>
      <c r="W226" t="s">
        <v>203</v>
      </c>
      <c r="X226" t="s">
        <v>204</v>
      </c>
      <c r="Y226" t="s">
        <v>110</v>
      </c>
      <c r="Z226" t="s">
        <v>111</v>
      </c>
      <c r="AA226" t="str">
        <f>"13905-4246"</f>
        <v>13905-4246</v>
      </c>
      <c r="AB226" t="s">
        <v>123</v>
      </c>
      <c r="AC226" t="s">
        <v>113</v>
      </c>
      <c r="AD226" t="s">
        <v>108</v>
      </c>
      <c r="AE226" t="s">
        <v>114</v>
      </c>
      <c r="AF226" t="s">
        <v>115</v>
      </c>
      <c r="AG226" t="s">
        <v>116</v>
      </c>
      <c r="AK226" t="str">
        <f t="shared" si="22"/>
        <v/>
      </c>
      <c r="AL226" t="s">
        <v>201</v>
      </c>
      <c r="AM226">
        <v>1</v>
      </c>
      <c r="AN226">
        <v>1</v>
      </c>
      <c r="AO226">
        <v>0</v>
      </c>
      <c r="AP226">
        <v>0</v>
      </c>
      <c r="AQ226">
        <v>0</v>
      </c>
      <c r="AR226">
        <v>0</v>
      </c>
      <c r="AS226">
        <v>0</v>
      </c>
      <c r="AT226">
        <v>0</v>
      </c>
      <c r="AU226">
        <v>0</v>
      </c>
      <c r="AV226">
        <v>1</v>
      </c>
      <c r="AW226">
        <v>0</v>
      </c>
      <c r="AX226" s="24" t="str">
        <f t="shared" si="20"/>
        <v/>
      </c>
      <c r="AY226" s="24">
        <f t="shared" si="20"/>
        <v>1</v>
      </c>
      <c r="AZ226" s="24" t="str">
        <f t="shared" si="25"/>
        <v/>
      </c>
      <c r="BA226" s="24" t="str">
        <f t="shared" si="25"/>
        <v/>
      </c>
      <c r="BB226" s="24" t="str">
        <f t="shared" si="25"/>
        <v/>
      </c>
      <c r="BC226" s="24" t="str">
        <f t="shared" si="25"/>
        <v/>
      </c>
      <c r="BD226" s="24" t="str">
        <f t="shared" si="25"/>
        <v/>
      </c>
      <c r="BE226" s="24" t="str">
        <f t="shared" si="25"/>
        <v/>
      </c>
      <c r="BF226" s="24" t="str">
        <f t="shared" si="25"/>
        <v/>
      </c>
      <c r="BG226" s="24" t="str">
        <f t="shared" si="25"/>
        <v/>
      </c>
      <c r="BH226" s="24" t="str">
        <f t="shared" si="23"/>
        <v/>
      </c>
      <c r="BI226" s="24">
        <f t="shared" si="25"/>
        <v>1</v>
      </c>
      <c r="BJ226" s="24" t="str">
        <f t="shared" si="24"/>
        <v/>
      </c>
    </row>
    <row r="227" spans="1:62" ht="15" customHeight="1" x14ac:dyDescent="0.25">
      <c r="A227" t="str">
        <f>"1821066762"</f>
        <v>1821066762</v>
      </c>
      <c r="B227" t="str">
        <f>"02527131"</f>
        <v>02527131</v>
      </c>
      <c r="C227" t="s">
        <v>4990</v>
      </c>
      <c r="D227" t="s">
        <v>4991</v>
      </c>
      <c r="E227" t="s">
        <v>4992</v>
      </c>
      <c r="G227" t="s">
        <v>229</v>
      </c>
      <c r="H227" t="s">
        <v>230</v>
      </c>
      <c r="J227" t="s">
        <v>231</v>
      </c>
      <c r="L227" t="s">
        <v>138</v>
      </c>
      <c r="M227" t="s">
        <v>139</v>
      </c>
      <c r="W227" t="s">
        <v>4993</v>
      </c>
      <c r="X227" t="s">
        <v>4994</v>
      </c>
      <c r="Y227" t="s">
        <v>141</v>
      </c>
      <c r="Z227" t="s">
        <v>111</v>
      </c>
      <c r="AA227" t="str">
        <f>"13203-1807"</f>
        <v>13203-1807</v>
      </c>
      <c r="AB227" t="s">
        <v>123</v>
      </c>
      <c r="AC227" t="s">
        <v>113</v>
      </c>
      <c r="AD227" t="s">
        <v>108</v>
      </c>
      <c r="AE227" t="s">
        <v>114</v>
      </c>
      <c r="AF227" t="s">
        <v>142</v>
      </c>
      <c r="AG227" t="s">
        <v>116</v>
      </c>
      <c r="AK227" t="str">
        <f t="shared" si="22"/>
        <v/>
      </c>
      <c r="AL227" t="s">
        <v>4991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  <c r="AS227">
        <v>0</v>
      </c>
      <c r="AT227">
        <v>0</v>
      </c>
      <c r="AU227">
        <v>0</v>
      </c>
      <c r="AV227">
        <v>0</v>
      </c>
      <c r="AW227">
        <v>0</v>
      </c>
      <c r="AX227" s="24" t="str">
        <f t="shared" si="20"/>
        <v/>
      </c>
      <c r="AY227" s="24">
        <f t="shared" si="20"/>
        <v>1</v>
      </c>
      <c r="AZ227" s="24" t="str">
        <f t="shared" si="25"/>
        <v/>
      </c>
      <c r="BA227" s="24" t="str">
        <f t="shared" si="25"/>
        <v/>
      </c>
      <c r="BB227" s="24" t="str">
        <f t="shared" si="25"/>
        <v/>
      </c>
      <c r="BC227" s="24" t="str">
        <f t="shared" si="25"/>
        <v/>
      </c>
      <c r="BD227" s="24" t="str">
        <f t="shared" si="25"/>
        <v/>
      </c>
      <c r="BE227" s="24" t="str">
        <f t="shared" si="25"/>
        <v/>
      </c>
      <c r="BF227" s="24" t="str">
        <f t="shared" si="25"/>
        <v/>
      </c>
      <c r="BG227" s="24" t="str">
        <f t="shared" si="25"/>
        <v/>
      </c>
      <c r="BH227" s="24" t="str">
        <f t="shared" si="23"/>
        <v/>
      </c>
      <c r="BI227" s="24">
        <f t="shared" si="25"/>
        <v>1</v>
      </c>
      <c r="BJ227" s="24" t="str">
        <f t="shared" si="24"/>
        <v/>
      </c>
    </row>
    <row r="228" spans="1:62" x14ac:dyDescent="0.25">
      <c r="A228" t="str">
        <f>"1528054194"</f>
        <v>1528054194</v>
      </c>
      <c r="B228" t="str">
        <f>"02996023"</f>
        <v>02996023</v>
      </c>
      <c r="C228" t="s">
        <v>4667</v>
      </c>
      <c r="D228" t="s">
        <v>4668</v>
      </c>
      <c r="E228" t="s">
        <v>4669</v>
      </c>
      <c r="G228" t="s">
        <v>4670</v>
      </c>
      <c r="H228" t="s">
        <v>4671</v>
      </c>
      <c r="J228" t="s">
        <v>4672</v>
      </c>
      <c r="L228" t="s">
        <v>695</v>
      </c>
      <c r="M228" t="s">
        <v>139</v>
      </c>
      <c r="R228" t="s">
        <v>4673</v>
      </c>
      <c r="W228" t="s">
        <v>4674</v>
      </c>
      <c r="X228" t="s">
        <v>4675</v>
      </c>
      <c r="Y228" t="s">
        <v>927</v>
      </c>
      <c r="Z228" t="s">
        <v>111</v>
      </c>
      <c r="AA228" t="str">
        <f>"14901-3220"</f>
        <v>14901-3220</v>
      </c>
      <c r="AB228" t="s">
        <v>385</v>
      </c>
      <c r="AC228" t="s">
        <v>113</v>
      </c>
      <c r="AD228" t="s">
        <v>108</v>
      </c>
      <c r="AE228" t="s">
        <v>114</v>
      </c>
      <c r="AF228" t="s">
        <v>149</v>
      </c>
      <c r="AG228" t="s">
        <v>116</v>
      </c>
      <c r="AK228" t="str">
        <f t="shared" si="22"/>
        <v/>
      </c>
      <c r="AL228" t="s">
        <v>4668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  <c r="AS228">
        <v>0</v>
      </c>
      <c r="AT228">
        <v>0</v>
      </c>
      <c r="AU228">
        <v>0</v>
      </c>
      <c r="AV228">
        <v>0</v>
      </c>
      <c r="AW228">
        <v>0</v>
      </c>
      <c r="AX228" s="24" t="str">
        <f t="shared" si="20"/>
        <v/>
      </c>
      <c r="AY228" s="24" t="str">
        <f t="shared" si="20"/>
        <v/>
      </c>
      <c r="AZ228" s="24" t="str">
        <f t="shared" si="25"/>
        <v/>
      </c>
      <c r="BA228" s="24">
        <f t="shared" si="25"/>
        <v>1</v>
      </c>
      <c r="BB228" s="24" t="str">
        <f t="shared" si="25"/>
        <v/>
      </c>
      <c r="BC228" s="24" t="str">
        <f t="shared" si="25"/>
        <v/>
      </c>
      <c r="BD228" s="24" t="str">
        <f t="shared" si="25"/>
        <v/>
      </c>
      <c r="BE228" s="24" t="str">
        <f t="shared" si="25"/>
        <v/>
      </c>
      <c r="BF228" s="24" t="str">
        <f t="shared" si="25"/>
        <v/>
      </c>
      <c r="BG228" s="24" t="str">
        <f t="shared" si="25"/>
        <v/>
      </c>
      <c r="BH228" s="24" t="str">
        <f t="shared" si="23"/>
        <v/>
      </c>
      <c r="BI228" s="24">
        <f t="shared" si="25"/>
        <v>1</v>
      </c>
      <c r="BJ228" s="24" t="str">
        <f t="shared" si="24"/>
        <v/>
      </c>
    </row>
    <row r="229" spans="1:62" ht="15" customHeight="1" x14ac:dyDescent="0.25">
      <c r="C229" t="s">
        <v>4772</v>
      </c>
      <c r="G229" t="s">
        <v>4773</v>
      </c>
      <c r="H229" t="s">
        <v>4671</v>
      </c>
      <c r="J229" t="s">
        <v>4774</v>
      </c>
      <c r="K229" t="s">
        <v>1590</v>
      </c>
      <c r="L229" t="s">
        <v>781</v>
      </c>
      <c r="M229" t="s">
        <v>108</v>
      </c>
      <c r="N229" t="s">
        <v>4775</v>
      </c>
      <c r="O229" t="s">
        <v>783</v>
      </c>
      <c r="P229" t="s">
        <v>111</v>
      </c>
      <c r="Q229" t="str">
        <f>"14901"</f>
        <v>14901</v>
      </c>
      <c r="AC229" t="s">
        <v>113</v>
      </c>
      <c r="AD229" t="s">
        <v>108</v>
      </c>
      <c r="AE229" t="s">
        <v>784</v>
      </c>
      <c r="AF229" t="s">
        <v>149</v>
      </c>
      <c r="AG229" t="s">
        <v>116</v>
      </c>
      <c r="AK229" t="str">
        <f t="shared" si="22"/>
        <v>Chemung County Public Health</v>
      </c>
      <c r="AM229" t="s">
        <v>108</v>
      </c>
      <c r="AN229" t="s">
        <v>108</v>
      </c>
      <c r="AO229" t="s">
        <v>108</v>
      </c>
      <c r="AP229" t="s">
        <v>108</v>
      </c>
      <c r="AQ229" t="s">
        <v>108</v>
      </c>
      <c r="AR229" t="s">
        <v>108</v>
      </c>
      <c r="AS229" t="s">
        <v>108</v>
      </c>
      <c r="AT229" t="s">
        <v>108</v>
      </c>
      <c r="AU229">
        <v>0</v>
      </c>
      <c r="AV229" t="s">
        <v>108</v>
      </c>
      <c r="AW229" t="s">
        <v>108</v>
      </c>
      <c r="AX229" s="24" t="str">
        <f t="shared" si="20"/>
        <v/>
      </c>
      <c r="AY229" s="24" t="str">
        <f t="shared" si="20"/>
        <v/>
      </c>
      <c r="AZ229" s="24" t="str">
        <f t="shared" si="25"/>
        <v/>
      </c>
      <c r="BA229" s="24" t="str">
        <f t="shared" si="25"/>
        <v/>
      </c>
      <c r="BB229" s="24" t="str">
        <f t="shared" si="25"/>
        <v/>
      </c>
      <c r="BC229" s="24" t="str">
        <f t="shared" si="25"/>
        <v/>
      </c>
      <c r="BD229" s="24" t="str">
        <f t="shared" si="25"/>
        <v/>
      </c>
      <c r="BE229" s="24" t="str">
        <f t="shared" si="25"/>
        <v/>
      </c>
      <c r="BF229" s="24" t="str">
        <f t="shared" si="25"/>
        <v/>
      </c>
      <c r="BG229" s="24" t="str">
        <f t="shared" si="25"/>
        <v/>
      </c>
      <c r="BH229" s="24">
        <f t="shared" si="23"/>
        <v>1</v>
      </c>
      <c r="BI229" s="24" t="str">
        <f t="shared" si="25"/>
        <v/>
      </c>
      <c r="BJ229" s="24" t="str">
        <f t="shared" si="24"/>
        <v/>
      </c>
    </row>
    <row r="230" spans="1:62" ht="15" customHeight="1" x14ac:dyDescent="0.25">
      <c r="A230" t="str">
        <f>"1144283391"</f>
        <v>1144283391</v>
      </c>
      <c r="B230" t="str">
        <f>"00749293"</f>
        <v>00749293</v>
      </c>
      <c r="C230" t="s">
        <v>4772</v>
      </c>
      <c r="D230" t="s">
        <v>4856</v>
      </c>
      <c r="E230" t="s">
        <v>4857</v>
      </c>
      <c r="G230" t="s">
        <v>4773</v>
      </c>
      <c r="H230" t="s">
        <v>4671</v>
      </c>
      <c r="J230" t="s">
        <v>4774</v>
      </c>
      <c r="L230" t="s">
        <v>247</v>
      </c>
      <c r="M230" t="s">
        <v>108</v>
      </c>
      <c r="R230" t="s">
        <v>4858</v>
      </c>
      <c r="W230" t="s">
        <v>4858</v>
      </c>
      <c r="X230" t="s">
        <v>4675</v>
      </c>
      <c r="Y230" t="s">
        <v>927</v>
      </c>
      <c r="Z230" t="s">
        <v>111</v>
      </c>
      <c r="AA230" t="str">
        <f>"14901-3220"</f>
        <v>14901-3220</v>
      </c>
      <c r="AB230" t="s">
        <v>1872</v>
      </c>
      <c r="AC230" t="s">
        <v>113</v>
      </c>
      <c r="AD230" t="s">
        <v>108</v>
      </c>
      <c r="AE230" t="s">
        <v>114</v>
      </c>
      <c r="AF230" t="s">
        <v>149</v>
      </c>
      <c r="AG230" t="s">
        <v>116</v>
      </c>
      <c r="AK230" t="str">
        <f t="shared" si="22"/>
        <v/>
      </c>
      <c r="AL230" t="s">
        <v>4856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  <c r="AS230">
        <v>0</v>
      </c>
      <c r="AT230">
        <v>0</v>
      </c>
      <c r="AU230">
        <v>0</v>
      </c>
      <c r="AV230">
        <v>0</v>
      </c>
      <c r="AW230">
        <v>0</v>
      </c>
      <c r="AX230" s="24" t="str">
        <f t="shared" si="20"/>
        <v/>
      </c>
      <c r="AY230" s="24">
        <f t="shared" si="20"/>
        <v>1</v>
      </c>
      <c r="AZ230" s="24" t="str">
        <f t="shared" si="25"/>
        <v/>
      </c>
      <c r="BA230" s="24" t="str">
        <f t="shared" si="25"/>
        <v/>
      </c>
      <c r="BB230" s="24" t="str">
        <f t="shared" si="25"/>
        <v/>
      </c>
      <c r="BC230" s="24" t="str">
        <f t="shared" si="25"/>
        <v/>
      </c>
      <c r="BD230" s="24" t="str">
        <f t="shared" si="25"/>
        <v/>
      </c>
      <c r="BE230" s="24" t="str">
        <f t="shared" si="25"/>
        <v/>
      </c>
      <c r="BF230" s="24" t="str">
        <f t="shared" si="25"/>
        <v/>
      </c>
      <c r="BG230" s="24" t="str">
        <f t="shared" si="25"/>
        <v/>
      </c>
      <c r="BH230" s="24" t="str">
        <f t="shared" si="23"/>
        <v/>
      </c>
      <c r="BI230" s="24" t="str">
        <f t="shared" si="25"/>
        <v/>
      </c>
      <c r="BJ230" s="24" t="str">
        <f t="shared" si="24"/>
        <v/>
      </c>
    </row>
    <row r="231" spans="1:62" ht="15" customHeight="1" x14ac:dyDescent="0.25">
      <c r="A231" t="str">
        <f>"1629063573"</f>
        <v>1629063573</v>
      </c>
      <c r="B231" t="str">
        <f>"00365884"</f>
        <v>00365884</v>
      </c>
      <c r="C231" t="s">
        <v>4772</v>
      </c>
      <c r="D231" t="s">
        <v>4859</v>
      </c>
      <c r="E231" t="s">
        <v>4860</v>
      </c>
      <c r="G231" t="s">
        <v>4773</v>
      </c>
      <c r="H231" t="s">
        <v>4671</v>
      </c>
      <c r="J231" t="s">
        <v>4774</v>
      </c>
      <c r="L231" t="s">
        <v>1382</v>
      </c>
      <c r="M231" t="s">
        <v>139</v>
      </c>
      <c r="R231" t="s">
        <v>4861</v>
      </c>
      <c r="W231" t="s">
        <v>4860</v>
      </c>
      <c r="X231" t="s">
        <v>4675</v>
      </c>
      <c r="Y231" t="s">
        <v>927</v>
      </c>
      <c r="Z231" t="s">
        <v>111</v>
      </c>
      <c r="AA231" t="str">
        <f>"14901-3220"</f>
        <v>14901-3220</v>
      </c>
      <c r="AB231" t="s">
        <v>312</v>
      </c>
      <c r="AC231" t="s">
        <v>113</v>
      </c>
      <c r="AD231" t="s">
        <v>108</v>
      </c>
      <c r="AE231" t="s">
        <v>114</v>
      </c>
      <c r="AF231" t="s">
        <v>149</v>
      </c>
      <c r="AG231" t="s">
        <v>116</v>
      </c>
      <c r="AK231" t="str">
        <f t="shared" si="22"/>
        <v/>
      </c>
      <c r="AL231" t="s">
        <v>4859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0</v>
      </c>
      <c r="AX231" s="24" t="str">
        <f t="shared" si="20"/>
        <v/>
      </c>
      <c r="AY231" s="24" t="str">
        <f t="shared" si="20"/>
        <v/>
      </c>
      <c r="AZ231" s="24" t="str">
        <f t="shared" si="25"/>
        <v/>
      </c>
      <c r="BA231" s="24" t="str">
        <f t="shared" si="25"/>
        <v/>
      </c>
      <c r="BB231" s="24" t="str">
        <f t="shared" si="25"/>
        <v/>
      </c>
      <c r="BC231" s="24" t="str">
        <f t="shared" si="25"/>
        <v/>
      </c>
      <c r="BD231" s="24" t="str">
        <f t="shared" si="25"/>
        <v/>
      </c>
      <c r="BE231" s="24">
        <f t="shared" si="25"/>
        <v>1</v>
      </c>
      <c r="BF231" s="24" t="str">
        <f t="shared" si="25"/>
        <v/>
      </c>
      <c r="BG231" s="24" t="str">
        <f t="shared" si="25"/>
        <v/>
      </c>
      <c r="BH231" s="24" t="str">
        <f t="shared" si="23"/>
        <v/>
      </c>
      <c r="BI231" s="24">
        <f t="shared" si="25"/>
        <v>1</v>
      </c>
      <c r="BJ231" s="24" t="str">
        <f t="shared" si="24"/>
        <v/>
      </c>
    </row>
    <row r="232" spans="1:62" ht="15" customHeight="1" x14ac:dyDescent="0.25">
      <c r="B232" t="str">
        <f>"01489601"</f>
        <v>01489601</v>
      </c>
      <c r="C232" t="s">
        <v>1189</v>
      </c>
      <c r="D232" t="s">
        <v>1190</v>
      </c>
      <c r="E232" t="s">
        <v>1189</v>
      </c>
      <c r="G232" t="s">
        <v>907</v>
      </c>
      <c r="H232" t="s">
        <v>908</v>
      </c>
      <c r="L232" t="s">
        <v>133</v>
      </c>
      <c r="M232" t="s">
        <v>108</v>
      </c>
      <c r="W232" t="s">
        <v>1189</v>
      </c>
      <c r="X232" t="s">
        <v>1191</v>
      </c>
      <c r="Y232" t="s">
        <v>122</v>
      </c>
      <c r="Z232" t="s">
        <v>111</v>
      </c>
      <c r="AA232" t="str">
        <f>"13815-1914"</f>
        <v>13815-1914</v>
      </c>
      <c r="AB232" t="s">
        <v>165</v>
      </c>
      <c r="AC232" t="s">
        <v>113</v>
      </c>
      <c r="AD232" t="s">
        <v>108</v>
      </c>
      <c r="AE232" t="s">
        <v>114</v>
      </c>
      <c r="AF232" t="s">
        <v>124</v>
      </c>
      <c r="AG232" t="s">
        <v>116</v>
      </c>
      <c r="AK232" t="str">
        <f t="shared" si="22"/>
        <v>CHENANGO C0 CHAP NYS ARC HCBS</v>
      </c>
      <c r="AL232" t="s">
        <v>1190</v>
      </c>
      <c r="AM232" t="s">
        <v>108</v>
      </c>
      <c r="AN232" t="s">
        <v>108</v>
      </c>
      <c r="AO232" t="s">
        <v>108</v>
      </c>
      <c r="AP232" t="s">
        <v>108</v>
      </c>
      <c r="AQ232" t="s">
        <v>108</v>
      </c>
      <c r="AR232" t="s">
        <v>108</v>
      </c>
      <c r="AS232" t="s">
        <v>108</v>
      </c>
      <c r="AT232" t="s">
        <v>108</v>
      </c>
      <c r="AU232">
        <v>0</v>
      </c>
      <c r="AV232" t="s">
        <v>108</v>
      </c>
      <c r="AW232" t="s">
        <v>108</v>
      </c>
      <c r="AX232" s="24" t="str">
        <f t="shared" ref="AX232:AY295" si="26">IF(ISERROR(FIND(AX$1,$L232,1)),"",1)</f>
        <v/>
      </c>
      <c r="AY232" s="24" t="str">
        <f t="shared" si="26"/>
        <v/>
      </c>
      <c r="AZ232" s="24" t="str">
        <f t="shared" si="25"/>
        <v/>
      </c>
      <c r="BA232" s="24" t="str">
        <f t="shared" si="25"/>
        <v/>
      </c>
      <c r="BB232" s="24" t="str">
        <f t="shared" si="25"/>
        <v/>
      </c>
      <c r="BC232" s="24" t="str">
        <f t="shared" si="25"/>
        <v/>
      </c>
      <c r="BD232" s="24" t="str">
        <f t="shared" si="25"/>
        <v/>
      </c>
      <c r="BE232" s="24" t="str">
        <f t="shared" si="25"/>
        <v/>
      </c>
      <c r="BF232" s="24" t="str">
        <f t="shared" si="25"/>
        <v/>
      </c>
      <c r="BG232" s="24" t="str">
        <f t="shared" si="25"/>
        <v/>
      </c>
      <c r="BH232" s="24" t="str">
        <f t="shared" si="23"/>
        <v/>
      </c>
      <c r="BI232" s="24" t="str">
        <f t="shared" si="25"/>
        <v/>
      </c>
      <c r="BJ232" s="24">
        <f t="shared" si="24"/>
        <v>1</v>
      </c>
    </row>
    <row r="233" spans="1:62" ht="15" customHeight="1" x14ac:dyDescent="0.25">
      <c r="B233" t="str">
        <f>"01384821"</f>
        <v>01384821</v>
      </c>
      <c r="C233" t="s">
        <v>1192</v>
      </c>
      <c r="D233" t="s">
        <v>1193</v>
      </c>
      <c r="E233" t="s">
        <v>1192</v>
      </c>
      <c r="G233" t="s">
        <v>907</v>
      </c>
      <c r="H233" t="s">
        <v>908</v>
      </c>
      <c r="L233" t="s">
        <v>133</v>
      </c>
      <c r="M233" t="s">
        <v>108</v>
      </c>
      <c r="W233" t="s">
        <v>1192</v>
      </c>
      <c r="X233" t="s">
        <v>1194</v>
      </c>
      <c r="Y233" t="s">
        <v>122</v>
      </c>
      <c r="Z233" t="s">
        <v>111</v>
      </c>
      <c r="AA233" t="str">
        <f>"13815-1942"</f>
        <v>13815-1942</v>
      </c>
      <c r="AB233" t="s">
        <v>165</v>
      </c>
      <c r="AC233" t="s">
        <v>113</v>
      </c>
      <c r="AD233" t="s">
        <v>108</v>
      </c>
      <c r="AE233" t="s">
        <v>114</v>
      </c>
      <c r="AF233" t="s">
        <v>124</v>
      </c>
      <c r="AG233" t="s">
        <v>116</v>
      </c>
      <c r="AK233" t="str">
        <f t="shared" si="22"/>
        <v>CHENANGO CNTY CHAPTER NYS ARC</v>
      </c>
      <c r="AL233" t="s">
        <v>1193</v>
      </c>
      <c r="AM233" t="s">
        <v>108</v>
      </c>
      <c r="AN233" t="s">
        <v>108</v>
      </c>
      <c r="AO233" t="s">
        <v>108</v>
      </c>
      <c r="AP233" t="s">
        <v>108</v>
      </c>
      <c r="AQ233" t="s">
        <v>108</v>
      </c>
      <c r="AR233" t="s">
        <v>108</v>
      </c>
      <c r="AS233" t="s">
        <v>108</v>
      </c>
      <c r="AT233" t="s">
        <v>108</v>
      </c>
      <c r="AU233">
        <v>0</v>
      </c>
      <c r="AV233" t="s">
        <v>108</v>
      </c>
      <c r="AW233" t="s">
        <v>108</v>
      </c>
      <c r="AX233" s="24" t="str">
        <f t="shared" si="26"/>
        <v/>
      </c>
      <c r="AY233" s="24" t="str">
        <f t="shared" si="26"/>
        <v/>
      </c>
      <c r="AZ233" s="24" t="str">
        <f t="shared" si="25"/>
        <v/>
      </c>
      <c r="BA233" s="24" t="str">
        <f t="shared" si="25"/>
        <v/>
      </c>
      <c r="BB233" s="24" t="str">
        <f t="shared" si="25"/>
        <v/>
      </c>
      <c r="BC233" s="24" t="str">
        <f t="shared" si="25"/>
        <v/>
      </c>
      <c r="BD233" s="24" t="str">
        <f t="shared" si="25"/>
        <v/>
      </c>
      <c r="BE233" s="24" t="str">
        <f t="shared" si="25"/>
        <v/>
      </c>
      <c r="BF233" s="24" t="str">
        <f t="shared" si="25"/>
        <v/>
      </c>
      <c r="BG233" s="24" t="str">
        <f t="shared" si="25"/>
        <v/>
      </c>
      <c r="BH233" s="24" t="str">
        <f t="shared" si="23"/>
        <v/>
      </c>
      <c r="BI233" s="24" t="str">
        <f t="shared" si="25"/>
        <v/>
      </c>
      <c r="BJ233" s="24">
        <f t="shared" si="24"/>
        <v>1</v>
      </c>
    </row>
    <row r="234" spans="1:62" ht="15" customHeight="1" x14ac:dyDescent="0.25">
      <c r="B234" t="str">
        <f>"02058597"</f>
        <v>02058597</v>
      </c>
      <c r="C234" t="s">
        <v>1180</v>
      </c>
      <c r="D234" t="s">
        <v>1181</v>
      </c>
      <c r="E234" t="s">
        <v>1180</v>
      </c>
      <c r="G234" t="s">
        <v>907</v>
      </c>
      <c r="H234" t="s">
        <v>908</v>
      </c>
      <c r="L234" t="s">
        <v>68</v>
      </c>
      <c r="M234" t="s">
        <v>108</v>
      </c>
      <c r="W234" t="s">
        <v>1180</v>
      </c>
      <c r="X234" t="s">
        <v>1182</v>
      </c>
      <c r="Y234" t="s">
        <v>122</v>
      </c>
      <c r="Z234" t="s">
        <v>111</v>
      </c>
      <c r="AA234" t="str">
        <f>"13815-1914"</f>
        <v>13815-1914</v>
      </c>
      <c r="AB234" t="s">
        <v>165</v>
      </c>
      <c r="AC234" t="s">
        <v>113</v>
      </c>
      <c r="AD234" t="s">
        <v>108</v>
      </c>
      <c r="AE234" t="s">
        <v>114</v>
      </c>
      <c r="AF234" t="s">
        <v>124</v>
      </c>
      <c r="AG234" t="s">
        <v>116</v>
      </c>
      <c r="AK234" t="str">
        <f t="shared" si="22"/>
        <v/>
      </c>
      <c r="AL234" t="s">
        <v>1181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0</v>
      </c>
      <c r="AX234" s="24" t="str">
        <f t="shared" si="26"/>
        <v/>
      </c>
      <c r="AY234" s="24" t="str">
        <f t="shared" si="26"/>
        <v/>
      </c>
      <c r="AZ234" s="24" t="str">
        <f t="shared" si="25"/>
        <v/>
      </c>
      <c r="BA234" s="24" t="str">
        <f t="shared" si="25"/>
        <v/>
      </c>
      <c r="BB234" s="24" t="str">
        <f t="shared" si="25"/>
        <v/>
      </c>
      <c r="BC234" s="24" t="str">
        <f t="shared" si="25"/>
        <v/>
      </c>
      <c r="BD234" s="24" t="str">
        <f t="shared" si="25"/>
        <v/>
      </c>
      <c r="BE234" s="24" t="str">
        <f t="shared" si="25"/>
        <v/>
      </c>
      <c r="BF234" s="24" t="str">
        <f t="shared" si="25"/>
        <v/>
      </c>
      <c r="BG234" s="24" t="str">
        <f t="shared" si="25"/>
        <v/>
      </c>
      <c r="BH234" s="24" t="str">
        <f t="shared" si="23"/>
        <v/>
      </c>
      <c r="BI234" s="24">
        <f t="shared" si="25"/>
        <v>1</v>
      </c>
      <c r="BJ234" s="24" t="str">
        <f t="shared" si="24"/>
        <v/>
      </c>
    </row>
    <row r="235" spans="1:62" ht="15" customHeight="1" x14ac:dyDescent="0.25">
      <c r="B235" t="str">
        <f>"02359768"</f>
        <v>02359768</v>
      </c>
      <c r="C235" t="s">
        <v>1183</v>
      </c>
      <c r="D235" t="s">
        <v>1184</v>
      </c>
      <c r="E235" t="s">
        <v>1185</v>
      </c>
      <c r="F235">
        <v>160970103</v>
      </c>
      <c r="G235" t="s">
        <v>907</v>
      </c>
      <c r="H235" t="s">
        <v>908</v>
      </c>
      <c r="L235" t="s">
        <v>68</v>
      </c>
      <c r="M235" t="s">
        <v>108</v>
      </c>
      <c r="W235" t="s">
        <v>1183</v>
      </c>
      <c r="X235" t="s">
        <v>1186</v>
      </c>
      <c r="Y235" t="s">
        <v>122</v>
      </c>
      <c r="Z235" t="s">
        <v>111</v>
      </c>
      <c r="AA235" t="str">
        <f>"13815-9999"</f>
        <v>13815-9999</v>
      </c>
      <c r="AB235" t="s">
        <v>165</v>
      </c>
      <c r="AC235" t="s">
        <v>113</v>
      </c>
      <c r="AD235" t="s">
        <v>108</v>
      </c>
      <c r="AE235" t="s">
        <v>114</v>
      </c>
      <c r="AF235" t="s">
        <v>124</v>
      </c>
      <c r="AG235" t="s">
        <v>116</v>
      </c>
      <c r="AK235" t="str">
        <f t="shared" si="22"/>
        <v/>
      </c>
      <c r="AL235" t="s">
        <v>1184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  <c r="AS235">
        <v>0</v>
      </c>
      <c r="AT235">
        <v>0</v>
      </c>
      <c r="AU235">
        <v>0</v>
      </c>
      <c r="AV235">
        <v>0</v>
      </c>
      <c r="AW235">
        <v>0</v>
      </c>
      <c r="AX235" s="24" t="str">
        <f t="shared" si="26"/>
        <v/>
      </c>
      <c r="AY235" s="24" t="str">
        <f t="shared" si="26"/>
        <v/>
      </c>
      <c r="AZ235" s="24" t="str">
        <f t="shared" si="25"/>
        <v/>
      </c>
      <c r="BA235" s="24" t="str">
        <f t="shared" si="25"/>
        <v/>
      </c>
      <c r="BB235" s="24" t="str">
        <f t="shared" si="25"/>
        <v/>
      </c>
      <c r="BC235" s="24" t="str">
        <f t="shared" si="25"/>
        <v/>
      </c>
      <c r="BD235" s="24" t="str">
        <f t="shared" si="25"/>
        <v/>
      </c>
      <c r="BE235" s="24" t="str">
        <f t="shared" si="25"/>
        <v/>
      </c>
      <c r="BF235" s="24" t="str">
        <f t="shared" si="25"/>
        <v/>
      </c>
      <c r="BG235" s="24" t="str">
        <f t="shared" si="25"/>
        <v/>
      </c>
      <c r="BH235" s="24" t="str">
        <f t="shared" si="23"/>
        <v/>
      </c>
      <c r="BI235" s="24">
        <f t="shared" si="25"/>
        <v>1</v>
      </c>
      <c r="BJ235" s="24" t="str">
        <f t="shared" si="24"/>
        <v/>
      </c>
    </row>
    <row r="236" spans="1:62" ht="15" customHeight="1" x14ac:dyDescent="0.25">
      <c r="B236" t="str">
        <f>"02704341"</f>
        <v>02704341</v>
      </c>
      <c r="C236" t="s">
        <v>1187</v>
      </c>
      <c r="D236" t="s">
        <v>1188</v>
      </c>
      <c r="E236" t="s">
        <v>1187</v>
      </c>
      <c r="F236">
        <v>160970103</v>
      </c>
      <c r="G236" t="s">
        <v>907</v>
      </c>
      <c r="H236" t="s">
        <v>908</v>
      </c>
      <c r="L236" t="s">
        <v>68</v>
      </c>
      <c r="M236" t="s">
        <v>108</v>
      </c>
      <c r="W236" t="s">
        <v>1187</v>
      </c>
      <c r="X236" t="s">
        <v>173</v>
      </c>
      <c r="Y236" t="s">
        <v>122</v>
      </c>
      <c r="Z236" t="s">
        <v>111</v>
      </c>
      <c r="AA236" t="str">
        <f>"13815-1914"</f>
        <v>13815-1914</v>
      </c>
      <c r="AB236" t="s">
        <v>165</v>
      </c>
      <c r="AC236" t="s">
        <v>113</v>
      </c>
      <c r="AD236" t="s">
        <v>108</v>
      </c>
      <c r="AE236" t="s">
        <v>114</v>
      </c>
      <c r="AF236" t="s">
        <v>124</v>
      </c>
      <c r="AG236" t="s">
        <v>116</v>
      </c>
      <c r="AK236" t="str">
        <f t="shared" si="22"/>
        <v/>
      </c>
      <c r="AL236" t="s">
        <v>1188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0</v>
      </c>
      <c r="AS236">
        <v>0</v>
      </c>
      <c r="AT236">
        <v>0</v>
      </c>
      <c r="AU236">
        <v>0</v>
      </c>
      <c r="AV236">
        <v>0</v>
      </c>
      <c r="AW236">
        <v>0</v>
      </c>
      <c r="AX236" s="24" t="str">
        <f t="shared" si="26"/>
        <v/>
      </c>
      <c r="AY236" s="24" t="str">
        <f t="shared" si="26"/>
        <v/>
      </c>
      <c r="AZ236" s="24" t="str">
        <f t="shared" si="25"/>
        <v/>
      </c>
      <c r="BA236" s="24" t="str">
        <f t="shared" si="25"/>
        <v/>
      </c>
      <c r="BB236" s="24" t="str">
        <f t="shared" si="25"/>
        <v/>
      </c>
      <c r="BC236" s="24" t="str">
        <f t="shared" si="25"/>
        <v/>
      </c>
      <c r="BD236" s="24" t="str">
        <f t="shared" si="25"/>
        <v/>
      </c>
      <c r="BE236" s="24" t="str">
        <f t="shared" si="25"/>
        <v/>
      </c>
      <c r="BF236" s="24" t="str">
        <f t="shared" si="25"/>
        <v/>
      </c>
      <c r="BG236" s="24" t="str">
        <f t="shared" si="25"/>
        <v/>
      </c>
      <c r="BH236" s="24" t="str">
        <f t="shared" si="23"/>
        <v/>
      </c>
      <c r="BI236" s="24">
        <f t="shared" si="25"/>
        <v>1</v>
      </c>
      <c r="BJ236" s="24" t="str">
        <f t="shared" si="24"/>
        <v/>
      </c>
    </row>
    <row r="237" spans="1:62" ht="15" customHeight="1" x14ac:dyDescent="0.25">
      <c r="B237" t="str">
        <f>"02622200"</f>
        <v>02622200</v>
      </c>
      <c r="C237" t="s">
        <v>1178</v>
      </c>
      <c r="D237" t="s">
        <v>1179</v>
      </c>
      <c r="E237" t="s">
        <v>1178</v>
      </c>
      <c r="G237" t="s">
        <v>907</v>
      </c>
      <c r="H237" t="s">
        <v>908</v>
      </c>
      <c r="L237" t="s">
        <v>68</v>
      </c>
      <c r="M237" t="s">
        <v>108</v>
      </c>
      <c r="W237" t="s">
        <v>1178</v>
      </c>
      <c r="X237" t="s">
        <v>910</v>
      </c>
      <c r="Y237" t="s">
        <v>122</v>
      </c>
      <c r="Z237" t="s">
        <v>111</v>
      </c>
      <c r="AA237" t="str">
        <f>"13815-1914"</f>
        <v>13815-1914</v>
      </c>
      <c r="AB237" t="s">
        <v>165</v>
      </c>
      <c r="AC237" t="s">
        <v>113</v>
      </c>
      <c r="AD237" t="s">
        <v>108</v>
      </c>
      <c r="AE237" t="s">
        <v>114</v>
      </c>
      <c r="AF237" t="s">
        <v>124</v>
      </c>
      <c r="AG237" t="s">
        <v>116</v>
      </c>
      <c r="AK237" t="str">
        <f t="shared" si="22"/>
        <v/>
      </c>
      <c r="AL237" t="s">
        <v>1179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  <c r="AS237">
        <v>0</v>
      </c>
      <c r="AT237">
        <v>0</v>
      </c>
      <c r="AU237">
        <v>0</v>
      </c>
      <c r="AV237">
        <v>0</v>
      </c>
      <c r="AW237">
        <v>0</v>
      </c>
      <c r="AX237" s="24" t="str">
        <f t="shared" si="26"/>
        <v/>
      </c>
      <c r="AY237" s="24" t="str">
        <f t="shared" si="26"/>
        <v/>
      </c>
      <c r="AZ237" s="24" t="str">
        <f t="shared" si="25"/>
        <v/>
      </c>
      <c r="BA237" s="24" t="str">
        <f t="shared" si="25"/>
        <v/>
      </c>
      <c r="BB237" s="24" t="str">
        <f t="shared" si="25"/>
        <v/>
      </c>
      <c r="BC237" s="24" t="str">
        <f t="shared" si="25"/>
        <v/>
      </c>
      <c r="BD237" s="24" t="str">
        <f t="shared" si="25"/>
        <v/>
      </c>
      <c r="BE237" s="24" t="str">
        <f t="shared" si="25"/>
        <v/>
      </c>
      <c r="BF237" s="24" t="str">
        <f t="shared" si="25"/>
        <v/>
      </c>
      <c r="BG237" s="24" t="str">
        <f t="shared" si="25"/>
        <v/>
      </c>
      <c r="BH237" s="24" t="str">
        <f t="shared" si="23"/>
        <v/>
      </c>
      <c r="BI237" s="24">
        <f t="shared" si="25"/>
        <v>1</v>
      </c>
      <c r="BJ237" s="24" t="str">
        <f t="shared" si="24"/>
        <v/>
      </c>
    </row>
    <row r="238" spans="1:62" ht="15" customHeight="1" x14ac:dyDescent="0.25">
      <c r="B238" t="str">
        <f>"02359777"</f>
        <v>02359777</v>
      </c>
      <c r="C238" t="s">
        <v>911</v>
      </c>
      <c r="D238" t="s">
        <v>912</v>
      </c>
      <c r="E238" t="s">
        <v>913</v>
      </c>
      <c r="F238">
        <v>160970103</v>
      </c>
      <c r="G238" t="s">
        <v>907</v>
      </c>
      <c r="H238" t="s">
        <v>908</v>
      </c>
      <c r="L238" t="s">
        <v>68</v>
      </c>
      <c r="M238" t="s">
        <v>108</v>
      </c>
      <c r="W238" t="s">
        <v>911</v>
      </c>
      <c r="X238" t="s">
        <v>170</v>
      </c>
      <c r="Y238" t="s">
        <v>122</v>
      </c>
      <c r="Z238" t="s">
        <v>111</v>
      </c>
      <c r="AA238" t="str">
        <f>"13815-9999"</f>
        <v>13815-9999</v>
      </c>
      <c r="AB238" t="s">
        <v>165</v>
      </c>
      <c r="AC238" t="s">
        <v>113</v>
      </c>
      <c r="AD238" t="s">
        <v>108</v>
      </c>
      <c r="AE238" t="s">
        <v>114</v>
      </c>
      <c r="AF238" t="s">
        <v>124</v>
      </c>
      <c r="AG238" t="s">
        <v>116</v>
      </c>
      <c r="AK238" t="str">
        <f t="shared" si="22"/>
        <v/>
      </c>
      <c r="AL238" t="s">
        <v>912</v>
      </c>
      <c r="AM238">
        <v>0</v>
      </c>
      <c r="AN238">
        <v>0</v>
      </c>
      <c r="AO238">
        <v>0</v>
      </c>
      <c r="AP238">
        <v>0</v>
      </c>
      <c r="AQ238">
        <v>0</v>
      </c>
      <c r="AR238">
        <v>0</v>
      </c>
      <c r="AS238">
        <v>0</v>
      </c>
      <c r="AT238">
        <v>0</v>
      </c>
      <c r="AU238">
        <v>0</v>
      </c>
      <c r="AV238">
        <v>0</v>
      </c>
      <c r="AW238">
        <v>0</v>
      </c>
      <c r="AX238" s="24" t="str">
        <f t="shared" si="26"/>
        <v/>
      </c>
      <c r="AY238" s="24" t="str">
        <f t="shared" si="26"/>
        <v/>
      </c>
      <c r="AZ238" s="24" t="str">
        <f t="shared" si="25"/>
        <v/>
      </c>
      <c r="BA238" s="24" t="str">
        <f t="shared" si="25"/>
        <v/>
      </c>
      <c r="BB238" s="24" t="str">
        <f t="shared" si="25"/>
        <v/>
      </c>
      <c r="BC238" s="24" t="str">
        <f t="shared" si="25"/>
        <v/>
      </c>
      <c r="BD238" s="24" t="str">
        <f t="shared" si="25"/>
        <v/>
      </c>
      <c r="BE238" s="24" t="str">
        <f t="shared" si="25"/>
        <v/>
      </c>
      <c r="BF238" s="24" t="str">
        <f t="shared" si="25"/>
        <v/>
      </c>
      <c r="BG238" s="24" t="str">
        <f t="shared" si="25"/>
        <v/>
      </c>
      <c r="BH238" s="24" t="str">
        <f t="shared" si="23"/>
        <v/>
      </c>
      <c r="BI238" s="24">
        <f t="shared" si="25"/>
        <v>1</v>
      </c>
      <c r="BJ238" s="24" t="str">
        <f t="shared" si="24"/>
        <v/>
      </c>
    </row>
    <row r="239" spans="1:62" ht="15" customHeight="1" x14ac:dyDescent="0.25">
      <c r="B239" t="str">
        <f>"03879458"</f>
        <v>03879458</v>
      </c>
      <c r="C239" t="s">
        <v>1195</v>
      </c>
      <c r="D239" t="s">
        <v>1196</v>
      </c>
      <c r="E239" t="s">
        <v>1195</v>
      </c>
      <c r="G239" t="s">
        <v>907</v>
      </c>
      <c r="H239" t="s">
        <v>908</v>
      </c>
      <c r="L239" t="s">
        <v>133</v>
      </c>
      <c r="M239" t="s">
        <v>108</v>
      </c>
      <c r="W239" t="s">
        <v>1195</v>
      </c>
      <c r="X239" t="s">
        <v>910</v>
      </c>
      <c r="Y239" t="s">
        <v>122</v>
      </c>
      <c r="Z239" t="s">
        <v>111</v>
      </c>
      <c r="AA239" t="str">
        <f>"13815-1914"</f>
        <v>13815-1914</v>
      </c>
      <c r="AB239" t="s">
        <v>165</v>
      </c>
      <c r="AC239" t="s">
        <v>113</v>
      </c>
      <c r="AD239" t="s">
        <v>108</v>
      </c>
      <c r="AE239" t="s">
        <v>114</v>
      </c>
      <c r="AF239" t="s">
        <v>124</v>
      </c>
      <c r="AG239" t="s">
        <v>116</v>
      </c>
      <c r="AK239" t="str">
        <f t="shared" si="22"/>
        <v>CHENANGO CO NYSARC INC SMP</v>
      </c>
      <c r="AL239" t="s">
        <v>1196</v>
      </c>
      <c r="AM239" t="s">
        <v>108</v>
      </c>
      <c r="AN239" t="s">
        <v>108</v>
      </c>
      <c r="AO239" t="s">
        <v>108</v>
      </c>
      <c r="AP239" t="s">
        <v>108</v>
      </c>
      <c r="AQ239" t="s">
        <v>108</v>
      </c>
      <c r="AR239" t="s">
        <v>108</v>
      </c>
      <c r="AS239" t="s">
        <v>108</v>
      </c>
      <c r="AT239" t="s">
        <v>108</v>
      </c>
      <c r="AU239">
        <v>0</v>
      </c>
      <c r="AV239" t="s">
        <v>108</v>
      </c>
      <c r="AW239" t="s">
        <v>108</v>
      </c>
      <c r="AX239" s="24" t="str">
        <f t="shared" si="26"/>
        <v/>
      </c>
      <c r="AY239" s="24" t="str">
        <f t="shared" si="26"/>
        <v/>
      </c>
      <c r="AZ239" s="24" t="str">
        <f t="shared" si="25"/>
        <v/>
      </c>
      <c r="BA239" s="24" t="str">
        <f t="shared" si="25"/>
        <v/>
      </c>
      <c r="BB239" s="24" t="str">
        <f t="shared" si="25"/>
        <v/>
      </c>
      <c r="BC239" s="24" t="str">
        <f t="shared" si="25"/>
        <v/>
      </c>
      <c r="BD239" s="24" t="str">
        <f t="shared" si="25"/>
        <v/>
      </c>
      <c r="BE239" s="24" t="str">
        <f t="shared" si="25"/>
        <v/>
      </c>
      <c r="BF239" s="24" t="str">
        <f t="shared" si="25"/>
        <v/>
      </c>
      <c r="BG239" s="24" t="str">
        <f t="shared" si="25"/>
        <v/>
      </c>
      <c r="BH239" s="24" t="str">
        <f t="shared" si="23"/>
        <v/>
      </c>
      <c r="BI239" s="24" t="str">
        <f t="shared" si="25"/>
        <v/>
      </c>
      <c r="BJ239" s="24">
        <f t="shared" si="24"/>
        <v>1</v>
      </c>
    </row>
    <row r="240" spans="1:62" ht="15" customHeight="1" x14ac:dyDescent="0.25">
      <c r="A240" t="str">
        <f>"1891725255"</f>
        <v>1891725255</v>
      </c>
      <c r="B240" t="str">
        <f>"03004446"</f>
        <v>03004446</v>
      </c>
      <c r="C240" t="s">
        <v>3925</v>
      </c>
      <c r="D240" t="s">
        <v>3918</v>
      </c>
      <c r="E240" t="s">
        <v>3919</v>
      </c>
      <c r="G240" t="s">
        <v>3920</v>
      </c>
      <c r="H240" t="s">
        <v>3921</v>
      </c>
      <c r="J240" t="s">
        <v>3922</v>
      </c>
      <c r="L240" t="s">
        <v>616</v>
      </c>
      <c r="M240" t="s">
        <v>139</v>
      </c>
      <c r="R240" t="s">
        <v>3923</v>
      </c>
      <c r="W240" t="s">
        <v>3919</v>
      </c>
      <c r="X240" t="s">
        <v>3924</v>
      </c>
      <c r="Y240" t="s">
        <v>122</v>
      </c>
      <c r="Z240" t="s">
        <v>111</v>
      </c>
      <c r="AA240" t="str">
        <f>"13815-1695"</f>
        <v>13815-1695</v>
      </c>
      <c r="AB240" t="s">
        <v>282</v>
      </c>
      <c r="AC240" t="s">
        <v>113</v>
      </c>
      <c r="AD240" t="s">
        <v>108</v>
      </c>
      <c r="AE240" t="s">
        <v>114</v>
      </c>
      <c r="AF240" t="s">
        <v>124</v>
      </c>
      <c r="AG240" t="s">
        <v>116</v>
      </c>
      <c r="AK240" t="str">
        <f t="shared" si="22"/>
        <v/>
      </c>
      <c r="AL240" t="s">
        <v>3918</v>
      </c>
      <c r="AM240">
        <v>1</v>
      </c>
      <c r="AN240">
        <v>0</v>
      </c>
      <c r="AO240">
        <v>0</v>
      </c>
      <c r="AP240">
        <v>0</v>
      </c>
      <c r="AQ240">
        <v>1</v>
      </c>
      <c r="AR240">
        <v>1</v>
      </c>
      <c r="AS240">
        <v>0</v>
      </c>
      <c r="AT240">
        <v>0</v>
      </c>
      <c r="AU240">
        <v>0</v>
      </c>
      <c r="AV240">
        <v>0</v>
      </c>
      <c r="AW240">
        <v>0</v>
      </c>
      <c r="AX240" s="24" t="str">
        <f t="shared" si="26"/>
        <v/>
      </c>
      <c r="AY240" s="24" t="str">
        <f t="shared" si="26"/>
        <v/>
      </c>
      <c r="AZ240" s="24" t="str">
        <f t="shared" si="25"/>
        <v/>
      </c>
      <c r="BA240" s="24" t="str">
        <f t="shared" si="25"/>
        <v/>
      </c>
      <c r="BB240" s="24" t="str">
        <f t="shared" si="25"/>
        <v/>
      </c>
      <c r="BC240" s="24">
        <f t="shared" si="25"/>
        <v>1</v>
      </c>
      <c r="BD240" s="24">
        <f t="shared" si="25"/>
        <v>1</v>
      </c>
      <c r="BE240" s="24" t="str">
        <f t="shared" si="25"/>
        <v/>
      </c>
      <c r="BF240" s="24" t="str">
        <f t="shared" si="25"/>
        <v/>
      </c>
      <c r="BG240" s="24" t="str">
        <f t="shared" si="25"/>
        <v/>
      </c>
      <c r="BH240" s="24" t="str">
        <f t="shared" si="23"/>
        <v/>
      </c>
      <c r="BI240" s="24">
        <f t="shared" si="25"/>
        <v>1</v>
      </c>
      <c r="BJ240" s="24" t="str">
        <f t="shared" si="24"/>
        <v/>
      </c>
    </row>
    <row r="241" spans="1:62" ht="15" customHeight="1" x14ac:dyDescent="0.25">
      <c r="A241" t="str">
        <f>"1003846270"</f>
        <v>1003846270</v>
      </c>
      <c r="B241" t="str">
        <f>"00581246"</f>
        <v>00581246</v>
      </c>
      <c r="C241" t="s">
        <v>3917</v>
      </c>
      <c r="D241" t="s">
        <v>3918</v>
      </c>
      <c r="E241" t="s">
        <v>3919</v>
      </c>
      <c r="G241" t="s">
        <v>3920</v>
      </c>
      <c r="H241" t="s">
        <v>3921</v>
      </c>
      <c r="J241" t="s">
        <v>3922</v>
      </c>
      <c r="L241" t="s">
        <v>616</v>
      </c>
      <c r="M241" t="s">
        <v>139</v>
      </c>
      <c r="R241" t="s">
        <v>3923</v>
      </c>
      <c r="W241" t="s">
        <v>3919</v>
      </c>
      <c r="X241" t="s">
        <v>3924</v>
      </c>
      <c r="Y241" t="s">
        <v>122</v>
      </c>
      <c r="Z241" t="s">
        <v>111</v>
      </c>
      <c r="AA241" t="str">
        <f>"13815-1695"</f>
        <v>13815-1695</v>
      </c>
      <c r="AB241" t="s">
        <v>282</v>
      </c>
      <c r="AC241" t="s">
        <v>113</v>
      </c>
      <c r="AD241" t="s">
        <v>108</v>
      </c>
      <c r="AE241" t="s">
        <v>114</v>
      </c>
      <c r="AF241" t="s">
        <v>124</v>
      </c>
      <c r="AG241" t="s">
        <v>116</v>
      </c>
      <c r="AK241" t="str">
        <f t="shared" si="22"/>
        <v/>
      </c>
      <c r="AL241" t="s">
        <v>3918</v>
      </c>
      <c r="AM241">
        <v>1</v>
      </c>
      <c r="AN241">
        <v>0</v>
      </c>
      <c r="AO241">
        <v>0</v>
      </c>
      <c r="AP241">
        <v>0</v>
      </c>
      <c r="AQ241">
        <v>1</v>
      </c>
      <c r="AR241">
        <v>1</v>
      </c>
      <c r="AS241">
        <v>0</v>
      </c>
      <c r="AT241">
        <v>0</v>
      </c>
      <c r="AU241">
        <v>0</v>
      </c>
      <c r="AV241">
        <v>0</v>
      </c>
      <c r="AW241">
        <v>0</v>
      </c>
      <c r="AX241" s="24" t="str">
        <f t="shared" si="26"/>
        <v/>
      </c>
      <c r="AY241" s="24" t="str">
        <f t="shared" si="26"/>
        <v/>
      </c>
      <c r="AZ241" s="24" t="str">
        <f t="shared" si="25"/>
        <v/>
      </c>
      <c r="BA241" s="24" t="str">
        <f t="shared" si="25"/>
        <v/>
      </c>
      <c r="BB241" s="24" t="str">
        <f t="shared" si="25"/>
        <v/>
      </c>
      <c r="BC241" s="24">
        <f t="shared" si="25"/>
        <v>1</v>
      </c>
      <c r="BD241" s="24">
        <f t="shared" si="25"/>
        <v>1</v>
      </c>
      <c r="BE241" s="24" t="str">
        <f t="shared" si="25"/>
        <v/>
      </c>
      <c r="BF241" s="24" t="str">
        <f t="shared" si="25"/>
        <v/>
      </c>
      <c r="BG241" s="24" t="str">
        <f t="shared" si="25"/>
        <v/>
      </c>
      <c r="BH241" s="24" t="str">
        <f t="shared" si="23"/>
        <v/>
      </c>
      <c r="BI241" s="24">
        <f t="shared" si="25"/>
        <v>1</v>
      </c>
      <c r="BJ241" s="24" t="str">
        <f t="shared" si="24"/>
        <v/>
      </c>
    </row>
    <row r="242" spans="1:62" ht="15" customHeight="1" x14ac:dyDescent="0.25">
      <c r="C242" t="s">
        <v>5762</v>
      </c>
      <c r="G242" t="s">
        <v>5763</v>
      </c>
      <c r="H242" t="s">
        <v>5764</v>
      </c>
      <c r="J242" t="s">
        <v>5765</v>
      </c>
      <c r="K242" t="s">
        <v>780</v>
      </c>
      <c r="L242" t="s">
        <v>781</v>
      </c>
      <c r="M242" t="s">
        <v>108</v>
      </c>
      <c r="N242" t="s">
        <v>5766</v>
      </c>
      <c r="O242" t="s">
        <v>4779</v>
      </c>
      <c r="P242" t="s">
        <v>111</v>
      </c>
      <c r="Q242" t="str">
        <f>"13815"</f>
        <v>13815</v>
      </c>
      <c r="AC242" t="s">
        <v>113</v>
      </c>
      <c r="AD242" t="s">
        <v>108</v>
      </c>
      <c r="AE242" t="s">
        <v>784</v>
      </c>
      <c r="AF242" t="s">
        <v>124</v>
      </c>
      <c r="AG242" t="s">
        <v>116</v>
      </c>
      <c r="AK242" t="str">
        <f t="shared" si="22"/>
        <v>Chenango County Area Agency on Aging</v>
      </c>
      <c r="AM242" t="s">
        <v>108</v>
      </c>
      <c r="AN242" t="s">
        <v>108</v>
      </c>
      <c r="AO242" t="s">
        <v>108</v>
      </c>
      <c r="AP242" t="s">
        <v>108</v>
      </c>
      <c r="AQ242" t="s">
        <v>108</v>
      </c>
      <c r="AR242" t="s">
        <v>108</v>
      </c>
      <c r="AS242" t="s">
        <v>108</v>
      </c>
      <c r="AT242" t="s">
        <v>108</v>
      </c>
      <c r="AU242">
        <v>0</v>
      </c>
      <c r="AV242" t="s">
        <v>108</v>
      </c>
      <c r="AW242" t="s">
        <v>108</v>
      </c>
      <c r="AX242" s="24" t="str">
        <f t="shared" si="26"/>
        <v/>
      </c>
      <c r="AY242" s="24" t="str">
        <f t="shared" si="26"/>
        <v/>
      </c>
      <c r="AZ242" s="24" t="str">
        <f t="shared" si="25"/>
        <v/>
      </c>
      <c r="BA242" s="24" t="str">
        <f t="shared" si="25"/>
        <v/>
      </c>
      <c r="BB242" s="24" t="str">
        <f t="shared" si="25"/>
        <v/>
      </c>
      <c r="BC242" s="24" t="str">
        <f t="shared" si="25"/>
        <v/>
      </c>
      <c r="BD242" s="24" t="str">
        <f t="shared" si="25"/>
        <v/>
      </c>
      <c r="BE242" s="24" t="str">
        <f t="shared" si="25"/>
        <v/>
      </c>
      <c r="BF242" s="24" t="str">
        <f t="shared" si="25"/>
        <v/>
      </c>
      <c r="BG242" s="24" t="str">
        <f t="shared" si="25"/>
        <v/>
      </c>
      <c r="BH242" s="24">
        <f t="shared" si="23"/>
        <v>1</v>
      </c>
      <c r="BI242" s="24" t="str">
        <f t="shared" si="25"/>
        <v/>
      </c>
      <c r="BJ242" s="24" t="str">
        <f t="shared" si="24"/>
        <v/>
      </c>
    </row>
    <row r="243" spans="1:62" x14ac:dyDescent="0.25">
      <c r="A243" t="str">
        <f>"1770649147"</f>
        <v>1770649147</v>
      </c>
      <c r="B243" t="str">
        <f>"03003936"</f>
        <v>03003936</v>
      </c>
      <c r="C243" t="s">
        <v>4339</v>
      </c>
      <c r="D243" t="s">
        <v>4340</v>
      </c>
      <c r="E243" t="s">
        <v>4341</v>
      </c>
      <c r="G243" t="s">
        <v>4342</v>
      </c>
      <c r="H243" t="s">
        <v>4343</v>
      </c>
      <c r="J243" t="s">
        <v>4344</v>
      </c>
      <c r="L243" t="s">
        <v>1724</v>
      </c>
      <c r="M243" t="s">
        <v>139</v>
      </c>
      <c r="R243" t="s">
        <v>4345</v>
      </c>
      <c r="W243" t="s">
        <v>4341</v>
      </c>
      <c r="X243" t="s">
        <v>2139</v>
      </c>
      <c r="Y243" t="s">
        <v>122</v>
      </c>
      <c r="Z243" t="s">
        <v>111</v>
      </c>
      <c r="AA243" t="str">
        <f>"13815-1695"</f>
        <v>13815-1695</v>
      </c>
      <c r="AB243" t="s">
        <v>282</v>
      </c>
      <c r="AC243" t="s">
        <v>113</v>
      </c>
      <c r="AD243" t="s">
        <v>108</v>
      </c>
      <c r="AE243" t="s">
        <v>114</v>
      </c>
      <c r="AF243" t="s">
        <v>124</v>
      </c>
      <c r="AG243" t="s">
        <v>116</v>
      </c>
      <c r="AK243" t="str">
        <f t="shared" si="22"/>
        <v/>
      </c>
      <c r="AL243" t="s">
        <v>4340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  <c r="AS243">
        <v>0</v>
      </c>
      <c r="AT243">
        <v>0</v>
      </c>
      <c r="AU243">
        <v>0</v>
      </c>
      <c r="AV243">
        <v>0</v>
      </c>
      <c r="AW243">
        <v>0</v>
      </c>
      <c r="AX243" s="24" t="str">
        <f t="shared" si="26"/>
        <v/>
      </c>
      <c r="AY243" s="24" t="str">
        <f t="shared" si="26"/>
        <v/>
      </c>
      <c r="AZ243" s="24" t="str">
        <f t="shared" si="25"/>
        <v/>
      </c>
      <c r="BA243" s="24">
        <f t="shared" ref="AZ243:BI268" si="27">IF(ISERROR(FIND(BA$1,$L243,1)),"",1)</f>
        <v>1</v>
      </c>
      <c r="BB243" s="24" t="str">
        <f t="shared" si="27"/>
        <v/>
      </c>
      <c r="BC243" s="24">
        <f t="shared" si="27"/>
        <v>1</v>
      </c>
      <c r="BD243" s="24" t="str">
        <f t="shared" si="27"/>
        <v/>
      </c>
      <c r="BE243" s="24" t="str">
        <f t="shared" si="27"/>
        <v/>
      </c>
      <c r="BF243" s="24" t="str">
        <f t="shared" si="27"/>
        <v/>
      </c>
      <c r="BG243" s="24" t="str">
        <f t="shared" si="27"/>
        <v/>
      </c>
      <c r="BH243" s="24" t="str">
        <f t="shared" si="23"/>
        <v/>
      </c>
      <c r="BI243" s="24">
        <f t="shared" si="27"/>
        <v>1</v>
      </c>
      <c r="BJ243" s="24" t="str">
        <f t="shared" si="24"/>
        <v/>
      </c>
    </row>
    <row r="244" spans="1:62" ht="15" customHeight="1" x14ac:dyDescent="0.25">
      <c r="C244" t="s">
        <v>5787</v>
      </c>
      <c r="G244" t="s">
        <v>5788</v>
      </c>
      <c r="H244" t="s">
        <v>5789</v>
      </c>
      <c r="J244" t="s">
        <v>5790</v>
      </c>
      <c r="K244" t="s">
        <v>4496</v>
      </c>
      <c r="L244" t="s">
        <v>781</v>
      </c>
      <c r="M244" t="s">
        <v>108</v>
      </c>
      <c r="N244" t="s">
        <v>5791</v>
      </c>
      <c r="O244" t="s">
        <v>4779</v>
      </c>
      <c r="P244" t="s">
        <v>111</v>
      </c>
      <c r="Q244" t="str">
        <f>"13815"</f>
        <v>13815</v>
      </c>
      <c r="AC244" t="s">
        <v>113</v>
      </c>
      <c r="AD244" t="s">
        <v>108</v>
      </c>
      <c r="AE244" t="s">
        <v>784</v>
      </c>
      <c r="AF244" t="s">
        <v>124</v>
      </c>
      <c r="AG244" t="s">
        <v>116</v>
      </c>
      <c r="AK244" t="str">
        <f t="shared" si="22"/>
        <v>Chenango County Department of Social Services</v>
      </c>
      <c r="AM244" t="s">
        <v>108</v>
      </c>
      <c r="AN244" t="s">
        <v>108</v>
      </c>
      <c r="AO244" t="s">
        <v>108</v>
      </c>
      <c r="AP244" t="s">
        <v>108</v>
      </c>
      <c r="AQ244" t="s">
        <v>108</v>
      </c>
      <c r="AR244" t="s">
        <v>108</v>
      </c>
      <c r="AS244" t="s">
        <v>108</v>
      </c>
      <c r="AT244" t="s">
        <v>108</v>
      </c>
      <c r="AU244">
        <v>0</v>
      </c>
      <c r="AV244" t="s">
        <v>108</v>
      </c>
      <c r="AW244" t="s">
        <v>108</v>
      </c>
      <c r="AX244" s="24" t="str">
        <f t="shared" si="26"/>
        <v/>
      </c>
      <c r="AY244" s="24" t="str">
        <f t="shared" si="26"/>
        <v/>
      </c>
      <c r="AZ244" s="24" t="str">
        <f t="shared" si="27"/>
        <v/>
      </c>
      <c r="BA244" s="24" t="str">
        <f t="shared" si="27"/>
        <v/>
      </c>
      <c r="BB244" s="24" t="str">
        <f t="shared" si="27"/>
        <v/>
      </c>
      <c r="BC244" s="24" t="str">
        <f t="shared" si="27"/>
        <v/>
      </c>
      <c r="BD244" s="24" t="str">
        <f t="shared" si="27"/>
        <v/>
      </c>
      <c r="BE244" s="24" t="str">
        <f t="shared" si="27"/>
        <v/>
      </c>
      <c r="BF244" s="24" t="str">
        <f t="shared" si="27"/>
        <v/>
      </c>
      <c r="BG244" s="24" t="str">
        <f t="shared" si="27"/>
        <v/>
      </c>
      <c r="BH244" s="24">
        <f t="shared" si="23"/>
        <v>1</v>
      </c>
      <c r="BI244" s="24" t="str">
        <f t="shared" si="27"/>
        <v/>
      </c>
      <c r="BJ244" s="24" t="str">
        <f t="shared" si="24"/>
        <v/>
      </c>
    </row>
    <row r="245" spans="1:62" ht="15" customHeight="1" x14ac:dyDescent="0.25">
      <c r="C245" t="s">
        <v>4776</v>
      </c>
      <c r="G245" t="s">
        <v>7175</v>
      </c>
      <c r="H245" t="s">
        <v>4777</v>
      </c>
      <c r="J245" t="s">
        <v>7176</v>
      </c>
      <c r="K245" t="s">
        <v>780</v>
      </c>
      <c r="L245" t="s">
        <v>781</v>
      </c>
      <c r="M245" t="s">
        <v>108</v>
      </c>
      <c r="N245" t="s">
        <v>4778</v>
      </c>
      <c r="O245" t="s">
        <v>4779</v>
      </c>
      <c r="P245" t="s">
        <v>111</v>
      </c>
      <c r="Q245" t="str">
        <f>"13815"</f>
        <v>13815</v>
      </c>
      <c r="AC245" t="s">
        <v>113</v>
      </c>
      <c r="AD245" t="s">
        <v>108</v>
      </c>
      <c r="AE245" t="s">
        <v>784</v>
      </c>
      <c r="AF245" t="s">
        <v>124</v>
      </c>
      <c r="AG245" t="s">
        <v>116</v>
      </c>
      <c r="AK245" t="str">
        <f t="shared" si="22"/>
        <v/>
      </c>
      <c r="AL245" t="s">
        <v>4776</v>
      </c>
      <c r="AM245">
        <v>1</v>
      </c>
      <c r="AQ245">
        <v>1</v>
      </c>
      <c r="AR245" t="s">
        <v>108</v>
      </c>
      <c r="AS245" t="s">
        <v>108</v>
      </c>
      <c r="AT245" t="s">
        <v>108</v>
      </c>
      <c r="AU245">
        <v>0</v>
      </c>
      <c r="AV245" t="s">
        <v>108</v>
      </c>
      <c r="AW245" t="s">
        <v>108</v>
      </c>
      <c r="AX245" s="24" t="str">
        <f t="shared" si="26"/>
        <v/>
      </c>
      <c r="AY245" s="24" t="str">
        <f t="shared" si="26"/>
        <v/>
      </c>
      <c r="AZ245" s="24" t="str">
        <f t="shared" si="27"/>
        <v/>
      </c>
      <c r="BA245" s="24" t="str">
        <f t="shared" si="27"/>
        <v/>
      </c>
      <c r="BB245" s="24" t="str">
        <f t="shared" si="27"/>
        <v/>
      </c>
      <c r="BC245" s="24" t="str">
        <f t="shared" si="27"/>
        <v/>
      </c>
      <c r="BD245" s="24" t="str">
        <f t="shared" si="27"/>
        <v/>
      </c>
      <c r="BE245" s="24" t="str">
        <f t="shared" si="27"/>
        <v/>
      </c>
      <c r="BF245" s="24" t="str">
        <f t="shared" si="27"/>
        <v/>
      </c>
      <c r="BG245" s="24" t="str">
        <f t="shared" si="27"/>
        <v/>
      </c>
      <c r="BH245" s="24">
        <f t="shared" si="23"/>
        <v>1</v>
      </c>
      <c r="BI245" s="24" t="str">
        <f t="shared" si="27"/>
        <v/>
      </c>
      <c r="BJ245" s="24" t="str">
        <f t="shared" si="24"/>
        <v/>
      </c>
    </row>
    <row r="246" spans="1:62" x14ac:dyDescent="0.25">
      <c r="A246" t="str">
        <f>"1770593956"</f>
        <v>1770593956</v>
      </c>
      <c r="B246" t="str">
        <f>"00314723"</f>
        <v>00314723</v>
      </c>
      <c r="C246" t="s">
        <v>5723</v>
      </c>
      <c r="D246" t="s">
        <v>5724</v>
      </c>
      <c r="E246" t="s">
        <v>5725</v>
      </c>
      <c r="G246" t="s">
        <v>4447</v>
      </c>
      <c r="H246" t="s">
        <v>4448</v>
      </c>
      <c r="J246" t="s">
        <v>5726</v>
      </c>
      <c r="L246" t="s">
        <v>1362</v>
      </c>
      <c r="M246" t="s">
        <v>139</v>
      </c>
      <c r="R246" t="s">
        <v>5723</v>
      </c>
      <c r="W246" t="s">
        <v>5723</v>
      </c>
      <c r="X246" t="s">
        <v>121</v>
      </c>
      <c r="Y246" t="s">
        <v>122</v>
      </c>
      <c r="Z246" t="s">
        <v>111</v>
      </c>
      <c r="AA246" t="str">
        <f>"13815-1019"</f>
        <v>13815-1019</v>
      </c>
      <c r="AB246" t="s">
        <v>385</v>
      </c>
      <c r="AC246" t="s">
        <v>113</v>
      </c>
      <c r="AD246" t="s">
        <v>108</v>
      </c>
      <c r="AE246" t="s">
        <v>114</v>
      </c>
      <c r="AF246" t="s">
        <v>124</v>
      </c>
      <c r="AG246" t="s">
        <v>116</v>
      </c>
      <c r="AK246" t="str">
        <f t="shared" si="22"/>
        <v/>
      </c>
      <c r="AL246" t="s">
        <v>5724</v>
      </c>
      <c r="AM246">
        <v>1</v>
      </c>
      <c r="AN246">
        <v>1</v>
      </c>
      <c r="AO246">
        <v>1</v>
      </c>
      <c r="AP246">
        <v>1</v>
      </c>
      <c r="AQ246">
        <v>1</v>
      </c>
      <c r="AR246">
        <v>0</v>
      </c>
      <c r="AS246">
        <v>0</v>
      </c>
      <c r="AT246">
        <v>0</v>
      </c>
      <c r="AU246">
        <v>0</v>
      </c>
      <c r="AV246">
        <v>0</v>
      </c>
      <c r="AW246">
        <v>0</v>
      </c>
      <c r="AX246" s="24" t="str">
        <f t="shared" si="26"/>
        <v/>
      </c>
      <c r="AY246" s="24" t="str">
        <f t="shared" si="26"/>
        <v/>
      </c>
      <c r="AZ246" s="24">
        <f t="shared" si="27"/>
        <v>1</v>
      </c>
      <c r="BA246" s="24">
        <f t="shared" si="27"/>
        <v>1</v>
      </c>
      <c r="BB246" s="24" t="str">
        <f t="shared" si="27"/>
        <v/>
      </c>
      <c r="BC246" s="24" t="str">
        <f t="shared" si="27"/>
        <v/>
      </c>
      <c r="BD246" s="24" t="str">
        <f t="shared" si="27"/>
        <v/>
      </c>
      <c r="BE246" s="24" t="str">
        <f t="shared" si="27"/>
        <v/>
      </c>
      <c r="BF246" s="24" t="str">
        <f t="shared" si="27"/>
        <v/>
      </c>
      <c r="BG246" s="24" t="str">
        <f t="shared" si="27"/>
        <v/>
      </c>
      <c r="BH246" s="24" t="str">
        <f t="shared" si="23"/>
        <v/>
      </c>
      <c r="BI246" s="24">
        <f t="shared" si="27"/>
        <v>1</v>
      </c>
      <c r="BJ246" s="24" t="str">
        <f t="shared" si="24"/>
        <v/>
      </c>
    </row>
    <row r="247" spans="1:62" ht="15" customHeight="1" x14ac:dyDescent="0.25">
      <c r="A247" t="str">
        <f>"1811321169"</f>
        <v>1811321169</v>
      </c>
      <c r="B247" t="str">
        <f>"03798703"</f>
        <v>03798703</v>
      </c>
      <c r="C247" t="s">
        <v>5983</v>
      </c>
      <c r="D247" t="s">
        <v>5984</v>
      </c>
      <c r="E247" t="s">
        <v>5985</v>
      </c>
      <c r="G247" t="s">
        <v>815</v>
      </c>
      <c r="H247" t="s">
        <v>816</v>
      </c>
      <c r="J247" t="s">
        <v>817</v>
      </c>
      <c r="L247" t="s">
        <v>120</v>
      </c>
      <c r="M247" t="s">
        <v>108</v>
      </c>
      <c r="R247" t="s">
        <v>5986</v>
      </c>
      <c r="W247" t="s">
        <v>5985</v>
      </c>
      <c r="X247" t="s">
        <v>5987</v>
      </c>
      <c r="Y247" t="s">
        <v>321</v>
      </c>
      <c r="Z247" t="s">
        <v>111</v>
      </c>
      <c r="AA247" t="str">
        <f>"13760-4925"</f>
        <v>13760-4925</v>
      </c>
      <c r="AB247" t="s">
        <v>123</v>
      </c>
      <c r="AC247" t="s">
        <v>113</v>
      </c>
      <c r="AD247" t="s">
        <v>108</v>
      </c>
      <c r="AE247" t="s">
        <v>114</v>
      </c>
      <c r="AF247" t="s">
        <v>115</v>
      </c>
      <c r="AG247" t="s">
        <v>116</v>
      </c>
      <c r="AK247" t="str">
        <f t="shared" si="22"/>
        <v>Cherie M. Rossman, FNP</v>
      </c>
      <c r="AL247" t="s">
        <v>5984</v>
      </c>
      <c r="AM247" t="s">
        <v>108</v>
      </c>
      <c r="AN247" t="s">
        <v>108</v>
      </c>
      <c r="AO247" t="s">
        <v>108</v>
      </c>
      <c r="AP247" t="s">
        <v>108</v>
      </c>
      <c r="AQ247" t="s">
        <v>108</v>
      </c>
      <c r="AR247" t="s">
        <v>108</v>
      </c>
      <c r="AS247" t="s">
        <v>108</v>
      </c>
      <c r="AT247" t="s">
        <v>108</v>
      </c>
      <c r="AU247">
        <v>0</v>
      </c>
      <c r="AV247" t="s">
        <v>108</v>
      </c>
      <c r="AW247" t="s">
        <v>108</v>
      </c>
      <c r="AX247" s="24">
        <f t="shared" si="26"/>
        <v>1</v>
      </c>
      <c r="AY247" s="24" t="str">
        <f t="shared" si="26"/>
        <v/>
      </c>
      <c r="AZ247" s="24" t="str">
        <f t="shared" si="27"/>
        <v/>
      </c>
      <c r="BA247" s="24" t="str">
        <f t="shared" si="27"/>
        <v/>
      </c>
      <c r="BB247" s="24" t="str">
        <f t="shared" si="27"/>
        <v/>
      </c>
      <c r="BC247" s="24" t="str">
        <f t="shared" si="27"/>
        <v/>
      </c>
      <c r="BD247" s="24" t="str">
        <f t="shared" si="27"/>
        <v/>
      </c>
      <c r="BE247" s="24" t="str">
        <f t="shared" si="27"/>
        <v/>
      </c>
      <c r="BF247" s="24" t="str">
        <f t="shared" si="27"/>
        <v/>
      </c>
      <c r="BG247" s="24" t="str">
        <f t="shared" si="27"/>
        <v/>
      </c>
      <c r="BH247" s="24" t="str">
        <f t="shared" si="23"/>
        <v/>
      </c>
      <c r="BI247" s="24">
        <f t="shared" si="27"/>
        <v>1</v>
      </c>
      <c r="BJ247" s="24" t="str">
        <f t="shared" si="24"/>
        <v/>
      </c>
    </row>
    <row r="248" spans="1:62" ht="15" customHeight="1" x14ac:dyDescent="0.25">
      <c r="A248" t="str">
        <f>"1447417480"</f>
        <v>1447417480</v>
      </c>
      <c r="B248" t="str">
        <f>"03716956"</f>
        <v>03716956</v>
      </c>
      <c r="C248" t="s">
        <v>5501</v>
      </c>
      <c r="D248" t="s">
        <v>5502</v>
      </c>
      <c r="E248" t="s">
        <v>5503</v>
      </c>
      <c r="G248" t="s">
        <v>4447</v>
      </c>
      <c r="H248" t="s">
        <v>4448</v>
      </c>
      <c r="J248" t="s">
        <v>4449</v>
      </c>
      <c r="L248" t="s">
        <v>247</v>
      </c>
      <c r="M248" t="s">
        <v>108</v>
      </c>
      <c r="R248" t="s">
        <v>5501</v>
      </c>
      <c r="W248" t="s">
        <v>5504</v>
      </c>
      <c r="X248" t="s">
        <v>121</v>
      </c>
      <c r="Y248" t="s">
        <v>122</v>
      </c>
      <c r="Z248" t="s">
        <v>111</v>
      </c>
      <c r="AA248" t="str">
        <f>"13815-1019"</f>
        <v>13815-1019</v>
      </c>
      <c r="AB248" t="s">
        <v>123</v>
      </c>
      <c r="AC248" t="s">
        <v>113</v>
      </c>
      <c r="AD248" t="s">
        <v>108</v>
      </c>
      <c r="AE248" t="s">
        <v>114</v>
      </c>
      <c r="AF248" t="s">
        <v>124</v>
      </c>
      <c r="AG248" t="s">
        <v>116</v>
      </c>
      <c r="AK248" t="str">
        <f t="shared" si="22"/>
        <v/>
      </c>
      <c r="AL248" t="s">
        <v>5502</v>
      </c>
      <c r="AM248">
        <v>1</v>
      </c>
      <c r="AN248">
        <v>1</v>
      </c>
      <c r="AO248">
        <v>0</v>
      </c>
      <c r="AP248">
        <v>1</v>
      </c>
      <c r="AQ248">
        <v>1</v>
      </c>
      <c r="AR248">
        <v>0</v>
      </c>
      <c r="AS248">
        <v>0</v>
      </c>
      <c r="AT248">
        <v>0</v>
      </c>
      <c r="AU248">
        <v>0</v>
      </c>
      <c r="AV248">
        <v>0</v>
      </c>
      <c r="AW248">
        <v>0</v>
      </c>
      <c r="AX248" s="24" t="str">
        <f t="shared" si="26"/>
        <v/>
      </c>
      <c r="AY248" s="24">
        <f t="shared" si="26"/>
        <v>1</v>
      </c>
      <c r="AZ248" s="24" t="str">
        <f t="shared" si="27"/>
        <v/>
      </c>
      <c r="BA248" s="24" t="str">
        <f t="shared" si="27"/>
        <v/>
      </c>
      <c r="BB248" s="24" t="str">
        <f t="shared" si="27"/>
        <v/>
      </c>
      <c r="BC248" s="24" t="str">
        <f t="shared" si="27"/>
        <v/>
      </c>
      <c r="BD248" s="24" t="str">
        <f t="shared" si="27"/>
        <v/>
      </c>
      <c r="BE248" s="24" t="str">
        <f t="shared" si="27"/>
        <v/>
      </c>
      <c r="BF248" s="24" t="str">
        <f t="shared" si="27"/>
        <v/>
      </c>
      <c r="BG248" s="24" t="str">
        <f t="shared" si="27"/>
        <v/>
      </c>
      <c r="BH248" s="24" t="str">
        <f t="shared" si="23"/>
        <v/>
      </c>
      <c r="BI248" s="24" t="str">
        <f t="shared" si="27"/>
        <v/>
      </c>
      <c r="BJ248" s="24" t="str">
        <f t="shared" si="24"/>
        <v/>
      </c>
    </row>
    <row r="249" spans="1:62" ht="15" customHeight="1" x14ac:dyDescent="0.25">
      <c r="C249" t="s">
        <v>2854</v>
      </c>
      <c r="G249" t="s">
        <v>2855</v>
      </c>
      <c r="H249" t="s">
        <v>2856</v>
      </c>
      <c r="J249" t="s">
        <v>2857</v>
      </c>
      <c r="K249" t="s">
        <v>780</v>
      </c>
      <c r="L249" t="s">
        <v>781</v>
      </c>
      <c r="M249" t="s">
        <v>108</v>
      </c>
      <c r="N249" t="s">
        <v>2858</v>
      </c>
      <c r="O249" t="s">
        <v>2859</v>
      </c>
      <c r="P249" t="s">
        <v>111</v>
      </c>
      <c r="Q249" t="str">
        <f>"14620"</f>
        <v>14620</v>
      </c>
      <c r="AC249" t="s">
        <v>113</v>
      </c>
      <c r="AD249" t="s">
        <v>108</v>
      </c>
      <c r="AE249" t="s">
        <v>784</v>
      </c>
      <c r="AF249" t="s">
        <v>115</v>
      </c>
      <c r="AG249" t="s">
        <v>116</v>
      </c>
      <c r="AK249" t="str">
        <f t="shared" si="22"/>
        <v>Children's Health Home of Upstate New York</v>
      </c>
      <c r="AM249" t="s">
        <v>108</v>
      </c>
      <c r="AN249" t="s">
        <v>108</v>
      </c>
      <c r="AO249" t="s">
        <v>108</v>
      </c>
      <c r="AP249" t="s">
        <v>108</v>
      </c>
      <c r="AQ249" t="s">
        <v>108</v>
      </c>
      <c r="AR249" t="s">
        <v>108</v>
      </c>
      <c r="AS249" t="s">
        <v>108</v>
      </c>
      <c r="AT249" t="s">
        <v>108</v>
      </c>
      <c r="AU249">
        <v>0</v>
      </c>
      <c r="AV249" t="s">
        <v>108</v>
      </c>
      <c r="AW249" t="s">
        <v>108</v>
      </c>
      <c r="AX249" s="24" t="str">
        <f t="shared" si="26"/>
        <v/>
      </c>
      <c r="AY249" s="24" t="str">
        <f t="shared" si="26"/>
        <v/>
      </c>
      <c r="AZ249" s="24" t="str">
        <f t="shared" si="27"/>
        <v/>
      </c>
      <c r="BA249" s="24" t="str">
        <f t="shared" si="27"/>
        <v/>
      </c>
      <c r="BB249" s="24" t="str">
        <f t="shared" si="27"/>
        <v/>
      </c>
      <c r="BC249" s="24" t="str">
        <f t="shared" si="27"/>
        <v/>
      </c>
      <c r="BD249" s="24" t="str">
        <f t="shared" si="27"/>
        <v/>
      </c>
      <c r="BE249" s="24" t="str">
        <f t="shared" si="27"/>
        <v/>
      </c>
      <c r="BF249" s="24" t="str">
        <f t="shared" si="27"/>
        <v/>
      </c>
      <c r="BG249" s="24" t="str">
        <f t="shared" si="27"/>
        <v/>
      </c>
      <c r="BH249" s="24">
        <f t="shared" si="23"/>
        <v>1</v>
      </c>
      <c r="BI249" s="24" t="str">
        <f t="shared" si="27"/>
        <v/>
      </c>
      <c r="BJ249" s="24" t="str">
        <f t="shared" si="24"/>
        <v/>
      </c>
    </row>
    <row r="250" spans="1:62" ht="15" customHeight="1" x14ac:dyDescent="0.25">
      <c r="C250" t="s">
        <v>1097</v>
      </c>
      <c r="G250" t="s">
        <v>1098</v>
      </c>
      <c r="H250" t="s">
        <v>1099</v>
      </c>
      <c r="J250" t="s">
        <v>1100</v>
      </c>
      <c r="K250" t="s">
        <v>1101</v>
      </c>
      <c r="L250" t="s">
        <v>781</v>
      </c>
      <c r="M250" t="s">
        <v>108</v>
      </c>
      <c r="N250" t="s">
        <v>1102</v>
      </c>
      <c r="O250" t="s">
        <v>1103</v>
      </c>
      <c r="P250" t="s">
        <v>111</v>
      </c>
      <c r="Q250" t="str">
        <f>"13746"</f>
        <v>13746</v>
      </c>
      <c r="AC250" t="s">
        <v>113</v>
      </c>
      <c r="AD250" t="s">
        <v>108</v>
      </c>
      <c r="AE250" t="s">
        <v>784</v>
      </c>
      <c r="AF250" t="s">
        <v>115</v>
      </c>
      <c r="AG250" t="s">
        <v>116</v>
      </c>
      <c r="AK250" t="str">
        <f t="shared" si="22"/>
        <v>Children's Home Inc. dba/Stillwater RTF</v>
      </c>
      <c r="AM250" t="s">
        <v>108</v>
      </c>
      <c r="AN250" t="s">
        <v>108</v>
      </c>
      <c r="AO250" t="s">
        <v>108</v>
      </c>
      <c r="AP250" t="s">
        <v>108</v>
      </c>
      <c r="AQ250" t="s">
        <v>108</v>
      </c>
      <c r="AR250" t="s">
        <v>108</v>
      </c>
      <c r="AS250" t="s">
        <v>108</v>
      </c>
      <c r="AT250" t="s">
        <v>108</v>
      </c>
      <c r="AU250">
        <v>0</v>
      </c>
      <c r="AV250" t="s">
        <v>108</v>
      </c>
      <c r="AW250" t="s">
        <v>108</v>
      </c>
      <c r="AX250" s="24" t="str">
        <f t="shared" si="26"/>
        <v/>
      </c>
      <c r="AY250" s="24" t="str">
        <f t="shared" si="26"/>
        <v/>
      </c>
      <c r="AZ250" s="24" t="str">
        <f t="shared" si="27"/>
        <v/>
      </c>
      <c r="BA250" s="24" t="str">
        <f t="shared" si="27"/>
        <v/>
      </c>
      <c r="BB250" s="24" t="str">
        <f t="shared" si="27"/>
        <v/>
      </c>
      <c r="BC250" s="24" t="str">
        <f t="shared" si="27"/>
        <v/>
      </c>
      <c r="BD250" s="24" t="str">
        <f t="shared" si="27"/>
        <v/>
      </c>
      <c r="BE250" s="24" t="str">
        <f t="shared" si="27"/>
        <v/>
      </c>
      <c r="BF250" s="24" t="str">
        <f t="shared" si="27"/>
        <v/>
      </c>
      <c r="BG250" s="24" t="str">
        <f t="shared" si="27"/>
        <v/>
      </c>
      <c r="BH250" s="24">
        <f t="shared" si="23"/>
        <v>1</v>
      </c>
      <c r="BI250" s="24" t="str">
        <f t="shared" si="27"/>
        <v/>
      </c>
      <c r="BJ250" s="24" t="str">
        <f t="shared" si="24"/>
        <v/>
      </c>
    </row>
    <row r="251" spans="1:62" ht="15" customHeight="1" x14ac:dyDescent="0.25">
      <c r="A251" t="str">
        <f>"1063534287"</f>
        <v>1063534287</v>
      </c>
      <c r="B251" t="str">
        <f>"01313386"</f>
        <v>01313386</v>
      </c>
      <c r="C251" t="s">
        <v>5509</v>
      </c>
      <c r="D251" t="s">
        <v>5510</v>
      </c>
      <c r="E251" t="s">
        <v>5511</v>
      </c>
      <c r="G251" t="s">
        <v>1098</v>
      </c>
      <c r="H251" t="s">
        <v>1099</v>
      </c>
      <c r="J251" t="s">
        <v>1100</v>
      </c>
      <c r="L251" t="s">
        <v>14</v>
      </c>
      <c r="M251" t="s">
        <v>139</v>
      </c>
      <c r="R251" t="s">
        <v>5509</v>
      </c>
      <c r="W251" t="s">
        <v>5511</v>
      </c>
      <c r="X251" t="s">
        <v>5512</v>
      </c>
      <c r="Y251" t="s">
        <v>5513</v>
      </c>
      <c r="Z251" t="s">
        <v>111</v>
      </c>
      <c r="AA251" t="str">
        <f>"13746-2145"</f>
        <v>13746-2145</v>
      </c>
      <c r="AB251" t="s">
        <v>2844</v>
      </c>
      <c r="AC251" t="s">
        <v>113</v>
      </c>
      <c r="AD251" t="s">
        <v>108</v>
      </c>
      <c r="AE251" t="s">
        <v>114</v>
      </c>
      <c r="AF251" t="s">
        <v>115</v>
      </c>
      <c r="AG251" t="s">
        <v>116</v>
      </c>
      <c r="AK251" t="str">
        <f t="shared" si="22"/>
        <v/>
      </c>
      <c r="AL251" t="s">
        <v>5510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  <c r="AS251">
        <v>0</v>
      </c>
      <c r="AT251">
        <v>0</v>
      </c>
      <c r="AU251">
        <v>0</v>
      </c>
      <c r="AV251">
        <v>0</v>
      </c>
      <c r="AW251">
        <v>0</v>
      </c>
      <c r="AX251" s="24" t="str">
        <f t="shared" si="26"/>
        <v/>
      </c>
      <c r="AY251" s="24" t="str">
        <f t="shared" si="26"/>
        <v/>
      </c>
      <c r="AZ251" s="24" t="str">
        <f t="shared" si="27"/>
        <v/>
      </c>
      <c r="BA251" s="24" t="str">
        <f t="shared" si="27"/>
        <v/>
      </c>
      <c r="BB251" s="24" t="str">
        <f t="shared" si="27"/>
        <v/>
      </c>
      <c r="BC251" s="24">
        <f t="shared" si="27"/>
        <v>1</v>
      </c>
      <c r="BD251" s="24" t="str">
        <f t="shared" si="27"/>
        <v/>
      </c>
      <c r="BE251" s="24" t="str">
        <f t="shared" si="27"/>
        <v/>
      </c>
      <c r="BF251" s="24" t="str">
        <f t="shared" si="27"/>
        <v/>
      </c>
      <c r="BG251" s="24" t="str">
        <f t="shared" si="27"/>
        <v/>
      </c>
      <c r="BH251" s="24" t="str">
        <f t="shared" si="23"/>
        <v/>
      </c>
      <c r="BI251" s="24" t="str">
        <f t="shared" si="27"/>
        <v/>
      </c>
      <c r="BJ251" s="24" t="str">
        <f t="shared" si="24"/>
        <v/>
      </c>
    </row>
    <row r="252" spans="1:62" ht="15" customHeight="1" x14ac:dyDescent="0.25">
      <c r="A252" t="str">
        <f>"1295735561"</f>
        <v>1295735561</v>
      </c>
      <c r="B252" t="str">
        <f>"00845607"</f>
        <v>00845607</v>
      </c>
      <c r="C252" t="s">
        <v>6849</v>
      </c>
      <c r="D252" t="s">
        <v>7142</v>
      </c>
      <c r="E252" t="s">
        <v>7143</v>
      </c>
      <c r="G252" t="s">
        <v>6330</v>
      </c>
      <c r="H252" t="s">
        <v>6331</v>
      </c>
      <c r="J252" t="s">
        <v>6332</v>
      </c>
      <c r="L252" t="s">
        <v>138</v>
      </c>
      <c r="M252" t="s">
        <v>108</v>
      </c>
      <c r="R252" t="s">
        <v>6849</v>
      </c>
      <c r="W252" t="s">
        <v>6995</v>
      </c>
      <c r="X252" t="s">
        <v>6994</v>
      </c>
      <c r="Y252" t="s">
        <v>129</v>
      </c>
      <c r="Z252" t="s">
        <v>111</v>
      </c>
      <c r="AA252" t="str">
        <f>"13790-2120"</f>
        <v>13790-2120</v>
      </c>
      <c r="AB252" t="s">
        <v>123</v>
      </c>
      <c r="AC252" t="s">
        <v>113</v>
      </c>
      <c r="AD252" t="s">
        <v>108</v>
      </c>
      <c r="AE252" t="s">
        <v>114</v>
      </c>
      <c r="AF252" t="s">
        <v>115</v>
      </c>
      <c r="AG252" t="s">
        <v>116</v>
      </c>
      <c r="AK252" t="str">
        <f t="shared" si="22"/>
        <v>CHISDAK MICHAEL</v>
      </c>
      <c r="AL252" t="s">
        <v>7142</v>
      </c>
      <c r="AM252" t="s">
        <v>108</v>
      </c>
      <c r="AN252" t="s">
        <v>108</v>
      </c>
      <c r="AO252" t="s">
        <v>108</v>
      </c>
      <c r="AP252" t="s">
        <v>108</v>
      </c>
      <c r="AQ252" t="s">
        <v>108</v>
      </c>
      <c r="AR252" t="s">
        <v>108</v>
      </c>
      <c r="AS252" t="s">
        <v>108</v>
      </c>
      <c r="AT252" t="s">
        <v>108</v>
      </c>
      <c r="AU252">
        <v>0</v>
      </c>
      <c r="AV252" t="s">
        <v>108</v>
      </c>
      <c r="AW252" t="s">
        <v>108</v>
      </c>
      <c r="AX252" s="24" t="str">
        <f t="shared" si="26"/>
        <v/>
      </c>
      <c r="AY252" s="24">
        <f t="shared" si="26"/>
        <v>1</v>
      </c>
      <c r="AZ252" s="24" t="str">
        <f t="shared" si="27"/>
        <v/>
      </c>
      <c r="BA252" s="24" t="str">
        <f t="shared" si="27"/>
        <v/>
      </c>
      <c r="BB252" s="24" t="str">
        <f t="shared" si="27"/>
        <v/>
      </c>
      <c r="BC252" s="24" t="str">
        <f t="shared" si="27"/>
        <v/>
      </c>
      <c r="BD252" s="24" t="str">
        <f t="shared" si="27"/>
        <v/>
      </c>
      <c r="BE252" s="24" t="str">
        <f t="shared" si="27"/>
        <v/>
      </c>
      <c r="BF252" s="24" t="str">
        <f t="shared" si="27"/>
        <v/>
      </c>
      <c r="BG252" s="24" t="str">
        <f t="shared" si="27"/>
        <v/>
      </c>
      <c r="BH252" s="24" t="str">
        <f t="shared" si="23"/>
        <v/>
      </c>
      <c r="BI252" s="24">
        <f t="shared" si="27"/>
        <v>1</v>
      </c>
      <c r="BJ252" s="24" t="str">
        <f t="shared" si="24"/>
        <v/>
      </c>
    </row>
    <row r="253" spans="1:62" ht="15" customHeight="1" x14ac:dyDescent="0.25">
      <c r="A253" t="str">
        <f>"1467426999"</f>
        <v>1467426999</v>
      </c>
      <c r="B253" t="str">
        <f>"02188172"</f>
        <v>02188172</v>
      </c>
      <c r="C253" t="s">
        <v>2470</v>
      </c>
      <c r="D253" t="s">
        <v>2471</v>
      </c>
      <c r="E253" t="s">
        <v>2472</v>
      </c>
      <c r="G253" t="s">
        <v>177</v>
      </c>
      <c r="H253" t="s">
        <v>178</v>
      </c>
      <c r="J253" t="s">
        <v>179</v>
      </c>
      <c r="L253" t="s">
        <v>138</v>
      </c>
      <c r="M253" t="s">
        <v>108</v>
      </c>
      <c r="R253" t="s">
        <v>2470</v>
      </c>
      <c r="W253" t="s">
        <v>2472</v>
      </c>
      <c r="X253" t="s">
        <v>186</v>
      </c>
      <c r="Y253" t="s">
        <v>181</v>
      </c>
      <c r="Z253" t="s">
        <v>182</v>
      </c>
      <c r="AA253" t="str">
        <f>"18840"</f>
        <v>18840</v>
      </c>
      <c r="AB253" t="s">
        <v>123</v>
      </c>
      <c r="AC253" t="s">
        <v>113</v>
      </c>
      <c r="AD253" t="s">
        <v>108</v>
      </c>
      <c r="AE253" t="s">
        <v>114</v>
      </c>
      <c r="AF253" t="s">
        <v>115</v>
      </c>
      <c r="AG253" t="s">
        <v>116</v>
      </c>
      <c r="AK253" t="str">
        <f t="shared" si="22"/>
        <v/>
      </c>
      <c r="AL253" t="s">
        <v>2471</v>
      </c>
      <c r="AM253">
        <v>1</v>
      </c>
      <c r="AN253">
        <v>1</v>
      </c>
      <c r="AO253">
        <v>0</v>
      </c>
      <c r="AP253">
        <v>0</v>
      </c>
      <c r="AQ253">
        <v>0</v>
      </c>
      <c r="AR253">
        <v>0</v>
      </c>
      <c r="AS253">
        <v>0</v>
      </c>
      <c r="AT253">
        <v>0</v>
      </c>
      <c r="AU253">
        <v>0</v>
      </c>
      <c r="AV253">
        <v>1</v>
      </c>
      <c r="AW253">
        <v>0</v>
      </c>
      <c r="AX253" s="24" t="str">
        <f t="shared" si="26"/>
        <v/>
      </c>
      <c r="AY253" s="24">
        <f t="shared" si="26"/>
        <v>1</v>
      </c>
      <c r="AZ253" s="24" t="str">
        <f t="shared" si="27"/>
        <v/>
      </c>
      <c r="BA253" s="24" t="str">
        <f t="shared" si="27"/>
        <v/>
      </c>
      <c r="BB253" s="24" t="str">
        <f t="shared" si="27"/>
        <v/>
      </c>
      <c r="BC253" s="24" t="str">
        <f t="shared" si="27"/>
        <v/>
      </c>
      <c r="BD253" s="24" t="str">
        <f t="shared" si="27"/>
        <v/>
      </c>
      <c r="BE253" s="24" t="str">
        <f t="shared" si="27"/>
        <v/>
      </c>
      <c r="BF253" s="24" t="str">
        <f t="shared" si="27"/>
        <v/>
      </c>
      <c r="BG253" s="24" t="str">
        <f t="shared" si="27"/>
        <v/>
      </c>
      <c r="BH253" s="24" t="str">
        <f t="shared" si="23"/>
        <v/>
      </c>
      <c r="BI253" s="24">
        <f t="shared" si="27"/>
        <v>1</v>
      </c>
      <c r="BJ253" s="24" t="str">
        <f t="shared" si="24"/>
        <v/>
      </c>
    </row>
    <row r="254" spans="1:62" ht="15" customHeight="1" x14ac:dyDescent="0.25">
      <c r="A254" t="str">
        <f>"1457526022"</f>
        <v>1457526022</v>
      </c>
      <c r="B254" t="str">
        <f>"03140498"</f>
        <v>03140498</v>
      </c>
      <c r="C254" t="s">
        <v>2262</v>
      </c>
      <c r="D254" t="s">
        <v>2263</v>
      </c>
      <c r="E254" t="s">
        <v>2264</v>
      </c>
      <c r="G254" t="s">
        <v>177</v>
      </c>
      <c r="H254" t="s">
        <v>178</v>
      </c>
      <c r="J254" t="s">
        <v>179</v>
      </c>
      <c r="L254" t="s">
        <v>138</v>
      </c>
      <c r="M254" t="s">
        <v>108</v>
      </c>
      <c r="R254" t="s">
        <v>2262</v>
      </c>
      <c r="W254" t="s">
        <v>2265</v>
      </c>
      <c r="X254" t="s">
        <v>196</v>
      </c>
      <c r="Y254" t="s">
        <v>181</v>
      </c>
      <c r="Z254" t="s">
        <v>182</v>
      </c>
      <c r="AA254" t="str">
        <f>"18840-1625"</f>
        <v>18840-1625</v>
      </c>
      <c r="AB254" t="s">
        <v>123</v>
      </c>
      <c r="AC254" t="s">
        <v>113</v>
      </c>
      <c r="AD254" t="s">
        <v>108</v>
      </c>
      <c r="AE254" t="s">
        <v>114</v>
      </c>
      <c r="AF254" t="s">
        <v>115</v>
      </c>
      <c r="AG254" t="s">
        <v>116</v>
      </c>
      <c r="AK254" t="str">
        <f t="shared" si="22"/>
        <v/>
      </c>
      <c r="AL254" t="s">
        <v>2263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  <c r="AS254">
        <v>0</v>
      </c>
      <c r="AT254">
        <v>0</v>
      </c>
      <c r="AU254">
        <v>0</v>
      </c>
      <c r="AV254">
        <v>0</v>
      </c>
      <c r="AW254">
        <v>0</v>
      </c>
      <c r="AX254" s="24" t="str">
        <f t="shared" si="26"/>
        <v/>
      </c>
      <c r="AY254" s="24">
        <f t="shared" si="26"/>
        <v>1</v>
      </c>
      <c r="AZ254" s="24" t="str">
        <f t="shared" si="27"/>
        <v/>
      </c>
      <c r="BA254" s="24" t="str">
        <f t="shared" si="27"/>
        <v/>
      </c>
      <c r="BB254" s="24" t="str">
        <f t="shared" si="27"/>
        <v/>
      </c>
      <c r="BC254" s="24" t="str">
        <f t="shared" si="27"/>
        <v/>
      </c>
      <c r="BD254" s="24" t="str">
        <f t="shared" si="27"/>
        <v/>
      </c>
      <c r="BE254" s="24" t="str">
        <f t="shared" si="27"/>
        <v/>
      </c>
      <c r="BF254" s="24" t="str">
        <f t="shared" si="27"/>
        <v/>
      </c>
      <c r="BG254" s="24" t="str">
        <f t="shared" si="27"/>
        <v/>
      </c>
      <c r="BH254" s="24" t="str">
        <f t="shared" si="23"/>
        <v/>
      </c>
      <c r="BI254" s="24">
        <f t="shared" si="27"/>
        <v>1</v>
      </c>
      <c r="BJ254" s="24" t="str">
        <f t="shared" si="24"/>
        <v/>
      </c>
    </row>
    <row r="255" spans="1:62" ht="15" customHeight="1" x14ac:dyDescent="0.25">
      <c r="A255" t="str">
        <f>"1003880055"</f>
        <v>1003880055</v>
      </c>
      <c r="B255" t="str">
        <f>"01222040"</f>
        <v>01222040</v>
      </c>
      <c r="C255" t="s">
        <v>3985</v>
      </c>
      <c r="D255" t="s">
        <v>3986</v>
      </c>
      <c r="E255" t="s">
        <v>3985</v>
      </c>
      <c r="G255" t="s">
        <v>699</v>
      </c>
      <c r="H255" t="s">
        <v>700</v>
      </c>
      <c r="J255" t="s">
        <v>701</v>
      </c>
      <c r="L255" t="s">
        <v>120</v>
      </c>
      <c r="M255" t="s">
        <v>108</v>
      </c>
      <c r="R255" t="s">
        <v>3987</v>
      </c>
      <c r="W255" t="s">
        <v>3985</v>
      </c>
      <c r="X255" t="s">
        <v>3988</v>
      </c>
      <c r="Y255" t="s">
        <v>157</v>
      </c>
      <c r="Z255" t="s">
        <v>111</v>
      </c>
      <c r="AA255" t="str">
        <f>"14830-2287"</f>
        <v>14830-2287</v>
      </c>
      <c r="AB255" t="s">
        <v>123</v>
      </c>
      <c r="AC255" t="s">
        <v>113</v>
      </c>
      <c r="AD255" t="s">
        <v>108</v>
      </c>
      <c r="AE255" t="s">
        <v>114</v>
      </c>
      <c r="AF255" t="s">
        <v>149</v>
      </c>
      <c r="AG255" t="s">
        <v>116</v>
      </c>
      <c r="AK255" t="str">
        <f t="shared" si="22"/>
        <v/>
      </c>
      <c r="AL255" t="s">
        <v>3986</v>
      </c>
      <c r="AM255">
        <v>1</v>
      </c>
      <c r="AN255">
        <v>1</v>
      </c>
      <c r="AO255">
        <v>0</v>
      </c>
      <c r="AP255">
        <v>0</v>
      </c>
      <c r="AQ255">
        <v>0</v>
      </c>
      <c r="AR255">
        <v>0</v>
      </c>
      <c r="AS255">
        <v>0</v>
      </c>
      <c r="AT255">
        <v>1</v>
      </c>
      <c r="AU255">
        <v>1</v>
      </c>
      <c r="AV255">
        <v>1</v>
      </c>
      <c r="AW255">
        <v>0</v>
      </c>
      <c r="AX255" s="24">
        <f t="shared" si="26"/>
        <v>1</v>
      </c>
      <c r="AY255" s="24" t="str">
        <f t="shared" si="26"/>
        <v/>
      </c>
      <c r="AZ255" s="24" t="str">
        <f t="shared" si="27"/>
        <v/>
      </c>
      <c r="BA255" s="24" t="str">
        <f t="shared" si="27"/>
        <v/>
      </c>
      <c r="BB255" s="24" t="str">
        <f t="shared" si="27"/>
        <v/>
      </c>
      <c r="BC255" s="24" t="str">
        <f t="shared" si="27"/>
        <v/>
      </c>
      <c r="BD255" s="24" t="str">
        <f t="shared" si="27"/>
        <v/>
      </c>
      <c r="BE255" s="24" t="str">
        <f t="shared" si="27"/>
        <v/>
      </c>
      <c r="BF255" s="24" t="str">
        <f t="shared" si="27"/>
        <v/>
      </c>
      <c r="BG255" s="24" t="str">
        <f t="shared" si="27"/>
        <v/>
      </c>
      <c r="BH255" s="24" t="str">
        <f t="shared" si="23"/>
        <v/>
      </c>
      <c r="BI255" s="24">
        <f t="shared" si="27"/>
        <v>1</v>
      </c>
      <c r="BJ255" s="24" t="str">
        <f t="shared" si="24"/>
        <v/>
      </c>
    </row>
    <row r="256" spans="1:62" ht="15" customHeight="1" x14ac:dyDescent="0.25">
      <c r="A256" t="str">
        <f>"1932173515"</f>
        <v>1932173515</v>
      </c>
      <c r="B256" t="str">
        <f>"03797880"</f>
        <v>03797880</v>
      </c>
      <c r="C256" t="s">
        <v>5971</v>
      </c>
      <c r="D256" t="s">
        <v>5972</v>
      </c>
      <c r="E256" t="s">
        <v>5973</v>
      </c>
      <c r="G256" t="s">
        <v>815</v>
      </c>
      <c r="H256" t="s">
        <v>816</v>
      </c>
      <c r="J256" t="s">
        <v>817</v>
      </c>
      <c r="L256" t="s">
        <v>247</v>
      </c>
      <c r="M256" t="s">
        <v>108</v>
      </c>
      <c r="R256" t="s">
        <v>5974</v>
      </c>
      <c r="W256" t="s">
        <v>5973</v>
      </c>
      <c r="X256" t="s">
        <v>204</v>
      </c>
      <c r="Y256" t="s">
        <v>110</v>
      </c>
      <c r="Z256" t="s">
        <v>111</v>
      </c>
      <c r="AA256" t="str">
        <f>"13905-4246"</f>
        <v>13905-4246</v>
      </c>
      <c r="AB256" t="s">
        <v>123</v>
      </c>
      <c r="AC256" t="s">
        <v>113</v>
      </c>
      <c r="AD256" t="s">
        <v>108</v>
      </c>
      <c r="AE256" t="s">
        <v>114</v>
      </c>
      <c r="AF256" t="s">
        <v>115</v>
      </c>
      <c r="AG256" t="s">
        <v>116</v>
      </c>
      <c r="AK256" t="str">
        <f t="shared" si="22"/>
        <v>Christina E. Signs, PA-C</v>
      </c>
      <c r="AL256" t="s">
        <v>5972</v>
      </c>
      <c r="AM256" t="s">
        <v>108</v>
      </c>
      <c r="AN256" t="s">
        <v>108</v>
      </c>
      <c r="AO256" t="s">
        <v>108</v>
      </c>
      <c r="AP256" t="s">
        <v>108</v>
      </c>
      <c r="AQ256" t="s">
        <v>108</v>
      </c>
      <c r="AR256" t="s">
        <v>108</v>
      </c>
      <c r="AS256" t="s">
        <v>108</v>
      </c>
      <c r="AT256" t="s">
        <v>108</v>
      </c>
      <c r="AU256">
        <v>0</v>
      </c>
      <c r="AV256" t="s">
        <v>108</v>
      </c>
      <c r="AW256" t="s">
        <v>108</v>
      </c>
      <c r="AX256" s="24" t="str">
        <f t="shared" si="26"/>
        <v/>
      </c>
      <c r="AY256" s="24">
        <f t="shared" si="26"/>
        <v>1</v>
      </c>
      <c r="AZ256" s="24" t="str">
        <f t="shared" si="27"/>
        <v/>
      </c>
      <c r="BA256" s="24" t="str">
        <f t="shared" si="27"/>
        <v/>
      </c>
      <c r="BB256" s="24" t="str">
        <f t="shared" si="27"/>
        <v/>
      </c>
      <c r="BC256" s="24" t="str">
        <f t="shared" si="27"/>
        <v/>
      </c>
      <c r="BD256" s="24" t="str">
        <f t="shared" si="27"/>
        <v/>
      </c>
      <c r="BE256" s="24" t="str">
        <f t="shared" si="27"/>
        <v/>
      </c>
      <c r="BF256" s="24" t="str">
        <f t="shared" si="27"/>
        <v/>
      </c>
      <c r="BG256" s="24" t="str">
        <f t="shared" si="27"/>
        <v/>
      </c>
      <c r="BH256" s="24" t="str">
        <f t="shared" si="23"/>
        <v/>
      </c>
      <c r="BI256" s="24" t="str">
        <f t="shared" si="27"/>
        <v/>
      </c>
      <c r="BJ256" s="24" t="str">
        <f t="shared" si="24"/>
        <v/>
      </c>
    </row>
    <row r="257" spans="1:62" ht="15" customHeight="1" x14ac:dyDescent="0.25">
      <c r="A257" t="str">
        <f>"1700115888"</f>
        <v>1700115888</v>
      </c>
      <c r="B257" t="str">
        <f>"01679914"</f>
        <v>01679914</v>
      </c>
      <c r="C257" t="s">
        <v>3386</v>
      </c>
      <c r="D257" t="s">
        <v>3387</v>
      </c>
      <c r="E257" t="s">
        <v>3388</v>
      </c>
      <c r="G257" t="s">
        <v>3096</v>
      </c>
      <c r="H257" t="s">
        <v>3097</v>
      </c>
      <c r="J257" t="s">
        <v>3389</v>
      </c>
      <c r="L257" t="s">
        <v>138</v>
      </c>
      <c r="M257" t="s">
        <v>108</v>
      </c>
      <c r="R257" t="s">
        <v>3390</v>
      </c>
      <c r="W257" t="s">
        <v>3391</v>
      </c>
      <c r="X257" t="s">
        <v>302</v>
      </c>
      <c r="Y257" t="s">
        <v>293</v>
      </c>
      <c r="Z257" t="s">
        <v>111</v>
      </c>
      <c r="AA257" t="str">
        <f>"14850-1342"</f>
        <v>14850-1342</v>
      </c>
      <c r="AB257" t="s">
        <v>123</v>
      </c>
      <c r="AC257" t="s">
        <v>113</v>
      </c>
      <c r="AD257" t="s">
        <v>108</v>
      </c>
      <c r="AE257" t="s">
        <v>114</v>
      </c>
      <c r="AF257" t="s">
        <v>142</v>
      </c>
      <c r="AG257" t="s">
        <v>116</v>
      </c>
      <c r="AK257" t="str">
        <f t="shared" si="22"/>
        <v/>
      </c>
      <c r="AL257" t="s">
        <v>3387</v>
      </c>
      <c r="AM257">
        <v>1</v>
      </c>
      <c r="AN257">
        <v>1</v>
      </c>
      <c r="AO257">
        <v>0</v>
      </c>
      <c r="AP257">
        <v>0</v>
      </c>
      <c r="AQ257">
        <v>0</v>
      </c>
      <c r="AR257">
        <v>0</v>
      </c>
      <c r="AS257">
        <v>0</v>
      </c>
      <c r="AT257">
        <v>0</v>
      </c>
      <c r="AU257">
        <v>0</v>
      </c>
      <c r="AV257">
        <v>0</v>
      </c>
      <c r="AW257">
        <v>0</v>
      </c>
      <c r="AX257" s="24" t="str">
        <f t="shared" si="26"/>
        <v/>
      </c>
      <c r="AY257" s="24">
        <f t="shared" si="26"/>
        <v>1</v>
      </c>
      <c r="AZ257" s="24" t="str">
        <f t="shared" si="27"/>
        <v/>
      </c>
      <c r="BA257" s="24" t="str">
        <f t="shared" si="27"/>
        <v/>
      </c>
      <c r="BB257" s="24" t="str">
        <f t="shared" si="27"/>
        <v/>
      </c>
      <c r="BC257" s="24" t="str">
        <f t="shared" si="27"/>
        <v/>
      </c>
      <c r="BD257" s="24" t="str">
        <f t="shared" si="27"/>
        <v/>
      </c>
      <c r="BE257" s="24" t="str">
        <f t="shared" si="27"/>
        <v/>
      </c>
      <c r="BF257" s="24" t="str">
        <f t="shared" si="27"/>
        <v/>
      </c>
      <c r="BG257" s="24" t="str">
        <f t="shared" si="27"/>
        <v/>
      </c>
      <c r="BH257" s="24" t="str">
        <f t="shared" si="23"/>
        <v/>
      </c>
      <c r="BI257" s="24">
        <f t="shared" si="27"/>
        <v>1</v>
      </c>
      <c r="BJ257" s="24" t="str">
        <f t="shared" si="24"/>
        <v/>
      </c>
    </row>
    <row r="258" spans="1:62" ht="15" customHeight="1" x14ac:dyDescent="0.25">
      <c r="A258" t="str">
        <f>"1861426215"</f>
        <v>1861426215</v>
      </c>
      <c r="B258" t="str">
        <f>"02184861"</f>
        <v>02184861</v>
      </c>
      <c r="C258" t="s">
        <v>4370</v>
      </c>
      <c r="D258" t="s">
        <v>4371</v>
      </c>
      <c r="E258" t="s">
        <v>4372</v>
      </c>
      <c r="G258" t="s">
        <v>786</v>
      </c>
      <c r="H258" t="s">
        <v>787</v>
      </c>
      <c r="I258">
        <v>5027</v>
      </c>
      <c r="J258" t="s">
        <v>788</v>
      </c>
      <c r="L258" t="s">
        <v>138</v>
      </c>
      <c r="M258" t="s">
        <v>139</v>
      </c>
      <c r="R258" t="s">
        <v>4373</v>
      </c>
      <c r="W258" t="s">
        <v>4373</v>
      </c>
      <c r="X258" t="s">
        <v>4374</v>
      </c>
      <c r="Y258" t="s">
        <v>2506</v>
      </c>
      <c r="Z258" t="s">
        <v>111</v>
      </c>
      <c r="AA258" t="str">
        <f>"13057-9465"</f>
        <v>13057-9465</v>
      </c>
      <c r="AB258" t="s">
        <v>123</v>
      </c>
      <c r="AC258" t="s">
        <v>113</v>
      </c>
      <c r="AD258" t="s">
        <v>108</v>
      </c>
      <c r="AE258" t="s">
        <v>114</v>
      </c>
      <c r="AF258" t="s">
        <v>142</v>
      </c>
      <c r="AG258" t="s">
        <v>116</v>
      </c>
      <c r="AK258" t="str">
        <f t="shared" ref="AK258:AK321" si="28">IF(AM258="No",C258,"")</f>
        <v/>
      </c>
      <c r="AL258" t="s">
        <v>4371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0</v>
      </c>
      <c r="AS258">
        <v>0</v>
      </c>
      <c r="AT258">
        <v>0</v>
      </c>
      <c r="AU258">
        <v>0</v>
      </c>
      <c r="AV258">
        <v>0</v>
      </c>
      <c r="AW258">
        <v>0</v>
      </c>
      <c r="AX258" s="24" t="str">
        <f t="shared" si="26"/>
        <v/>
      </c>
      <c r="AY258" s="24">
        <f t="shared" si="26"/>
        <v>1</v>
      </c>
      <c r="AZ258" s="24" t="str">
        <f t="shared" si="27"/>
        <v/>
      </c>
      <c r="BA258" s="24" t="str">
        <f t="shared" si="27"/>
        <v/>
      </c>
      <c r="BB258" s="24" t="str">
        <f t="shared" si="27"/>
        <v/>
      </c>
      <c r="BC258" s="24" t="str">
        <f t="shared" si="27"/>
        <v/>
      </c>
      <c r="BD258" s="24" t="str">
        <f t="shared" si="27"/>
        <v/>
      </c>
      <c r="BE258" s="24" t="str">
        <f t="shared" si="27"/>
        <v/>
      </c>
      <c r="BF258" s="24" t="str">
        <f t="shared" si="27"/>
        <v/>
      </c>
      <c r="BG258" s="24" t="str">
        <f t="shared" si="27"/>
        <v/>
      </c>
      <c r="BH258" s="24" t="str">
        <f t="shared" si="23"/>
        <v/>
      </c>
      <c r="BI258" s="24">
        <f t="shared" si="27"/>
        <v>1</v>
      </c>
      <c r="BJ258" s="24" t="str">
        <f t="shared" si="24"/>
        <v/>
      </c>
    </row>
    <row r="259" spans="1:62" ht="15" customHeight="1" x14ac:dyDescent="0.25">
      <c r="A259" t="str">
        <f>"1780679266"</f>
        <v>1780679266</v>
      </c>
      <c r="B259" t="str">
        <f>"00916358"</f>
        <v>00916358</v>
      </c>
      <c r="C259" t="s">
        <v>1442</v>
      </c>
      <c r="D259" t="s">
        <v>1443</v>
      </c>
      <c r="E259" t="s">
        <v>1444</v>
      </c>
      <c r="G259" t="s">
        <v>1442</v>
      </c>
      <c r="H259" t="s">
        <v>440</v>
      </c>
      <c r="J259" t="s">
        <v>1445</v>
      </c>
      <c r="L259" t="s">
        <v>247</v>
      </c>
      <c r="M259" t="s">
        <v>108</v>
      </c>
      <c r="R259" t="s">
        <v>1446</v>
      </c>
      <c r="W259" t="s">
        <v>1444</v>
      </c>
      <c r="X259" t="s">
        <v>1447</v>
      </c>
      <c r="Y259" t="s">
        <v>129</v>
      </c>
      <c r="Z259" t="s">
        <v>111</v>
      </c>
      <c r="AA259" t="str">
        <f>"13790-2743"</f>
        <v>13790-2743</v>
      </c>
      <c r="AB259" t="s">
        <v>123</v>
      </c>
      <c r="AC259" t="s">
        <v>113</v>
      </c>
      <c r="AD259" t="s">
        <v>108</v>
      </c>
      <c r="AE259" t="s">
        <v>114</v>
      </c>
      <c r="AF259" t="s">
        <v>115</v>
      </c>
      <c r="AG259" t="s">
        <v>116</v>
      </c>
      <c r="AK259" t="str">
        <f t="shared" si="28"/>
        <v/>
      </c>
      <c r="AL259" t="s">
        <v>1443</v>
      </c>
      <c r="AM259">
        <v>1</v>
      </c>
      <c r="AN259">
        <v>1</v>
      </c>
      <c r="AO259">
        <v>0</v>
      </c>
      <c r="AP259">
        <v>1</v>
      </c>
      <c r="AQ259">
        <v>1</v>
      </c>
      <c r="AR259">
        <v>0</v>
      </c>
      <c r="AS259">
        <v>0</v>
      </c>
      <c r="AT259">
        <v>0</v>
      </c>
      <c r="AU259">
        <v>0</v>
      </c>
      <c r="AV259">
        <v>0</v>
      </c>
      <c r="AW259">
        <v>1</v>
      </c>
      <c r="AX259" s="24" t="str">
        <f t="shared" si="26"/>
        <v/>
      </c>
      <c r="AY259" s="24">
        <f t="shared" si="26"/>
        <v>1</v>
      </c>
      <c r="AZ259" s="24" t="str">
        <f t="shared" si="27"/>
        <v/>
      </c>
      <c r="BA259" s="24" t="str">
        <f t="shared" si="27"/>
        <v/>
      </c>
      <c r="BB259" s="24" t="str">
        <f t="shared" si="27"/>
        <v/>
      </c>
      <c r="BC259" s="24" t="str">
        <f t="shared" si="27"/>
        <v/>
      </c>
      <c r="BD259" s="24" t="str">
        <f t="shared" si="27"/>
        <v/>
      </c>
      <c r="BE259" s="24" t="str">
        <f t="shared" si="27"/>
        <v/>
      </c>
      <c r="BF259" s="24" t="str">
        <f t="shared" si="27"/>
        <v/>
      </c>
      <c r="BG259" s="24" t="str">
        <f t="shared" si="27"/>
        <v/>
      </c>
      <c r="BH259" s="24" t="str">
        <f t="shared" ref="BH259:BH322" si="29">IF(ISERROR(FIND("CBO",$L259,1)),"",1)</f>
        <v/>
      </c>
      <c r="BI259" s="24" t="str">
        <f t="shared" si="27"/>
        <v/>
      </c>
      <c r="BJ259" s="24" t="str">
        <f t="shared" si="24"/>
        <v/>
      </c>
    </row>
    <row r="260" spans="1:62" ht="15" customHeight="1" x14ac:dyDescent="0.25">
      <c r="A260" t="str">
        <f>"1073552303"</f>
        <v>1073552303</v>
      </c>
      <c r="B260" t="str">
        <f>"01876228"</f>
        <v>01876228</v>
      </c>
      <c r="C260" t="s">
        <v>257</v>
      </c>
      <c r="D260" t="s">
        <v>258</v>
      </c>
      <c r="E260" t="s">
        <v>259</v>
      </c>
      <c r="G260" t="s">
        <v>229</v>
      </c>
      <c r="H260" t="s">
        <v>230</v>
      </c>
      <c r="J260" t="s">
        <v>231</v>
      </c>
      <c r="L260" t="s">
        <v>247</v>
      </c>
      <c r="M260" t="s">
        <v>108</v>
      </c>
      <c r="R260" t="s">
        <v>260</v>
      </c>
      <c r="W260" t="s">
        <v>259</v>
      </c>
      <c r="X260" t="s">
        <v>261</v>
      </c>
      <c r="Y260" t="s">
        <v>262</v>
      </c>
      <c r="Z260" t="s">
        <v>111</v>
      </c>
      <c r="AA260" t="str">
        <f>"13053-8501"</f>
        <v>13053-8501</v>
      </c>
      <c r="AB260" t="s">
        <v>123</v>
      </c>
      <c r="AC260" t="s">
        <v>113</v>
      </c>
      <c r="AD260" t="s">
        <v>108</v>
      </c>
      <c r="AE260" t="s">
        <v>114</v>
      </c>
      <c r="AF260" t="s">
        <v>142</v>
      </c>
      <c r="AG260" t="s">
        <v>116</v>
      </c>
      <c r="AK260" t="str">
        <f t="shared" si="28"/>
        <v/>
      </c>
      <c r="AL260" t="s">
        <v>258</v>
      </c>
      <c r="AM260">
        <v>1</v>
      </c>
      <c r="AN260">
        <v>1</v>
      </c>
      <c r="AO260">
        <v>0</v>
      </c>
      <c r="AP260">
        <v>0</v>
      </c>
      <c r="AQ260">
        <v>1</v>
      </c>
      <c r="AR260">
        <v>0</v>
      </c>
      <c r="AS260">
        <v>0</v>
      </c>
      <c r="AT260">
        <v>0</v>
      </c>
      <c r="AU260">
        <v>0</v>
      </c>
      <c r="AV260">
        <v>0</v>
      </c>
      <c r="AW260">
        <v>0</v>
      </c>
      <c r="AX260" s="24" t="str">
        <f t="shared" si="26"/>
        <v/>
      </c>
      <c r="AY260" s="24">
        <f t="shared" si="26"/>
        <v>1</v>
      </c>
      <c r="AZ260" s="24" t="str">
        <f t="shared" si="27"/>
        <v/>
      </c>
      <c r="BA260" s="24" t="str">
        <f t="shared" si="27"/>
        <v/>
      </c>
      <c r="BB260" s="24" t="str">
        <f t="shared" si="27"/>
        <v/>
      </c>
      <c r="BC260" s="24" t="str">
        <f t="shared" si="27"/>
        <v/>
      </c>
      <c r="BD260" s="24" t="str">
        <f t="shared" si="27"/>
        <v/>
      </c>
      <c r="BE260" s="24" t="str">
        <f t="shared" si="27"/>
        <v/>
      </c>
      <c r="BF260" s="24" t="str">
        <f t="shared" si="27"/>
        <v/>
      </c>
      <c r="BG260" s="24" t="str">
        <f t="shared" si="27"/>
        <v/>
      </c>
      <c r="BH260" s="24" t="str">
        <f t="shared" si="29"/>
        <v/>
      </c>
      <c r="BI260" s="24" t="str">
        <f t="shared" si="27"/>
        <v/>
      </c>
      <c r="BJ260" s="24" t="str">
        <f t="shared" si="24"/>
        <v/>
      </c>
    </row>
    <row r="261" spans="1:62" ht="15" customHeight="1" x14ac:dyDescent="0.25">
      <c r="A261" t="str">
        <f>"1891930897"</f>
        <v>1891930897</v>
      </c>
      <c r="B261" t="str">
        <f>"03230875"</f>
        <v>03230875</v>
      </c>
      <c r="C261" t="s">
        <v>1635</v>
      </c>
      <c r="D261" t="s">
        <v>1636</v>
      </c>
      <c r="E261" t="s">
        <v>1637</v>
      </c>
      <c r="G261" t="s">
        <v>638</v>
      </c>
      <c r="H261" t="s">
        <v>639</v>
      </c>
      <c r="J261" t="s">
        <v>1638</v>
      </c>
      <c r="L261" t="s">
        <v>138</v>
      </c>
      <c r="M261" t="s">
        <v>108</v>
      </c>
      <c r="R261" t="s">
        <v>1639</v>
      </c>
      <c r="W261" t="s">
        <v>1637</v>
      </c>
      <c r="X261" t="s">
        <v>302</v>
      </c>
      <c r="Y261" t="s">
        <v>293</v>
      </c>
      <c r="Z261" t="s">
        <v>111</v>
      </c>
      <c r="AA261" t="str">
        <f>"14850-1383"</f>
        <v>14850-1383</v>
      </c>
      <c r="AB261" t="s">
        <v>123</v>
      </c>
      <c r="AC261" t="s">
        <v>113</v>
      </c>
      <c r="AD261" t="s">
        <v>108</v>
      </c>
      <c r="AE261" t="s">
        <v>114</v>
      </c>
      <c r="AF261" t="s">
        <v>142</v>
      </c>
      <c r="AG261" t="s">
        <v>116</v>
      </c>
      <c r="AK261" t="str">
        <f t="shared" si="28"/>
        <v/>
      </c>
      <c r="AL261" t="s">
        <v>1636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0</v>
      </c>
      <c r="AS261">
        <v>0</v>
      </c>
      <c r="AT261">
        <v>0</v>
      </c>
      <c r="AU261">
        <v>0</v>
      </c>
      <c r="AV261">
        <v>0</v>
      </c>
      <c r="AW261">
        <v>0</v>
      </c>
      <c r="AX261" s="24" t="str">
        <f t="shared" si="26"/>
        <v/>
      </c>
      <c r="AY261" s="24">
        <f t="shared" si="26"/>
        <v>1</v>
      </c>
      <c r="AZ261" s="24" t="str">
        <f t="shared" si="27"/>
        <v/>
      </c>
      <c r="BA261" s="24" t="str">
        <f t="shared" si="27"/>
        <v/>
      </c>
      <c r="BB261" s="24" t="str">
        <f t="shared" si="27"/>
        <v/>
      </c>
      <c r="BC261" s="24" t="str">
        <f t="shared" si="27"/>
        <v/>
      </c>
      <c r="BD261" s="24" t="str">
        <f t="shared" si="27"/>
        <v/>
      </c>
      <c r="BE261" s="24" t="str">
        <f t="shared" si="27"/>
        <v/>
      </c>
      <c r="BF261" s="24" t="str">
        <f t="shared" si="27"/>
        <v/>
      </c>
      <c r="BG261" s="24" t="str">
        <f t="shared" si="27"/>
        <v/>
      </c>
      <c r="BH261" s="24" t="str">
        <f t="shared" si="29"/>
        <v/>
      </c>
      <c r="BI261" s="24">
        <f t="shared" si="27"/>
        <v>1</v>
      </c>
      <c r="BJ261" s="24" t="str">
        <f t="shared" si="24"/>
        <v/>
      </c>
    </row>
    <row r="262" spans="1:62" ht="15" customHeight="1" x14ac:dyDescent="0.25">
      <c r="A262" t="str">
        <f>"1679675995"</f>
        <v>1679675995</v>
      </c>
      <c r="B262" t="str">
        <f>"01748145"</f>
        <v>01748145</v>
      </c>
      <c r="C262" t="s">
        <v>593</v>
      </c>
      <c r="D262" t="s">
        <v>594</v>
      </c>
      <c r="E262" t="s">
        <v>595</v>
      </c>
      <c r="G262" t="s">
        <v>596</v>
      </c>
      <c r="H262" t="s">
        <v>597</v>
      </c>
      <c r="J262" t="s">
        <v>598</v>
      </c>
      <c r="L262" t="s">
        <v>138</v>
      </c>
      <c r="M262" t="s">
        <v>108</v>
      </c>
      <c r="R262" t="s">
        <v>599</v>
      </c>
      <c r="W262" t="s">
        <v>595</v>
      </c>
      <c r="Y262" t="s">
        <v>293</v>
      </c>
      <c r="Z262" t="s">
        <v>111</v>
      </c>
      <c r="AA262" t="str">
        <f>"14850-1589"</f>
        <v>14850-1589</v>
      </c>
      <c r="AB262" t="s">
        <v>123</v>
      </c>
      <c r="AC262" t="s">
        <v>113</v>
      </c>
      <c r="AD262" t="s">
        <v>108</v>
      </c>
      <c r="AE262" t="s">
        <v>114</v>
      </c>
      <c r="AF262" t="s">
        <v>142</v>
      </c>
      <c r="AG262" t="s">
        <v>116</v>
      </c>
      <c r="AK262" t="str">
        <f t="shared" si="28"/>
        <v/>
      </c>
      <c r="AL262" t="s">
        <v>594</v>
      </c>
      <c r="AM262">
        <v>1</v>
      </c>
      <c r="AN262">
        <v>1</v>
      </c>
      <c r="AO262">
        <v>0</v>
      </c>
      <c r="AP262">
        <v>0</v>
      </c>
      <c r="AQ262">
        <v>1</v>
      </c>
      <c r="AR262">
        <v>0</v>
      </c>
      <c r="AS262">
        <v>0</v>
      </c>
      <c r="AT262">
        <v>0</v>
      </c>
      <c r="AU262">
        <v>0</v>
      </c>
      <c r="AV262">
        <v>0</v>
      </c>
      <c r="AW262">
        <v>0</v>
      </c>
      <c r="AX262" s="24" t="str">
        <f t="shared" si="26"/>
        <v/>
      </c>
      <c r="AY262" s="24">
        <f t="shared" si="26"/>
        <v>1</v>
      </c>
      <c r="AZ262" s="24" t="str">
        <f t="shared" si="27"/>
        <v/>
      </c>
      <c r="BA262" s="24" t="str">
        <f t="shared" si="27"/>
        <v/>
      </c>
      <c r="BB262" s="24" t="str">
        <f t="shared" si="27"/>
        <v/>
      </c>
      <c r="BC262" s="24" t="str">
        <f t="shared" si="27"/>
        <v/>
      </c>
      <c r="BD262" s="24" t="str">
        <f t="shared" si="27"/>
        <v/>
      </c>
      <c r="BE262" s="24" t="str">
        <f t="shared" si="27"/>
        <v/>
      </c>
      <c r="BF262" s="24" t="str">
        <f t="shared" si="27"/>
        <v/>
      </c>
      <c r="BG262" s="24" t="str">
        <f t="shared" si="27"/>
        <v/>
      </c>
      <c r="BH262" s="24" t="str">
        <f t="shared" si="29"/>
        <v/>
      </c>
      <c r="BI262" s="24">
        <f t="shared" si="27"/>
        <v>1</v>
      </c>
      <c r="BJ262" s="24" t="str">
        <f t="shared" si="24"/>
        <v/>
      </c>
    </row>
    <row r="263" spans="1:62" ht="15" customHeight="1" x14ac:dyDescent="0.25">
      <c r="A263" t="str">
        <f>"1447533815"</f>
        <v>1447533815</v>
      </c>
      <c r="B263" t="str">
        <f>"03524072"</f>
        <v>03524072</v>
      </c>
      <c r="C263" t="s">
        <v>5404</v>
      </c>
      <c r="D263" t="s">
        <v>5405</v>
      </c>
      <c r="E263" t="s">
        <v>5406</v>
      </c>
      <c r="G263" t="s">
        <v>5404</v>
      </c>
      <c r="H263" t="s">
        <v>3687</v>
      </c>
      <c r="J263" t="s">
        <v>5407</v>
      </c>
      <c r="L263" t="s">
        <v>138</v>
      </c>
      <c r="M263" t="s">
        <v>108</v>
      </c>
      <c r="R263" t="s">
        <v>5408</v>
      </c>
      <c r="W263" t="s">
        <v>5406</v>
      </c>
      <c r="X263" t="s">
        <v>1579</v>
      </c>
      <c r="Y263" t="s">
        <v>122</v>
      </c>
      <c r="Z263" t="s">
        <v>111</v>
      </c>
      <c r="AA263" t="str">
        <f>"13815-1153"</f>
        <v>13815-1153</v>
      </c>
      <c r="AB263" t="s">
        <v>123</v>
      </c>
      <c r="AC263" t="s">
        <v>113</v>
      </c>
      <c r="AD263" t="s">
        <v>108</v>
      </c>
      <c r="AE263" t="s">
        <v>114</v>
      </c>
      <c r="AF263" t="s">
        <v>115</v>
      </c>
      <c r="AG263" t="s">
        <v>116</v>
      </c>
      <c r="AK263" t="str">
        <f t="shared" si="28"/>
        <v/>
      </c>
      <c r="AL263" t="s">
        <v>5405</v>
      </c>
      <c r="AM263">
        <v>1</v>
      </c>
      <c r="AN263">
        <v>1</v>
      </c>
      <c r="AO263">
        <v>0</v>
      </c>
      <c r="AP263">
        <v>1</v>
      </c>
      <c r="AQ263">
        <v>1</v>
      </c>
      <c r="AR263">
        <v>0</v>
      </c>
      <c r="AS263">
        <v>0</v>
      </c>
      <c r="AT263">
        <v>0</v>
      </c>
      <c r="AU263">
        <v>0</v>
      </c>
      <c r="AV263">
        <v>0</v>
      </c>
      <c r="AW263">
        <v>0</v>
      </c>
      <c r="AX263" s="24" t="str">
        <f t="shared" si="26"/>
        <v/>
      </c>
      <c r="AY263" s="24">
        <f t="shared" si="26"/>
        <v>1</v>
      </c>
      <c r="AZ263" s="24" t="str">
        <f t="shared" si="27"/>
        <v/>
      </c>
      <c r="BA263" s="24" t="str">
        <f t="shared" si="27"/>
        <v/>
      </c>
      <c r="BB263" s="24" t="str">
        <f t="shared" si="27"/>
        <v/>
      </c>
      <c r="BC263" s="24" t="str">
        <f t="shared" si="27"/>
        <v/>
      </c>
      <c r="BD263" s="24" t="str">
        <f t="shared" si="27"/>
        <v/>
      </c>
      <c r="BE263" s="24" t="str">
        <f t="shared" si="27"/>
        <v/>
      </c>
      <c r="BF263" s="24" t="str">
        <f t="shared" si="27"/>
        <v/>
      </c>
      <c r="BG263" s="24" t="str">
        <f t="shared" si="27"/>
        <v/>
      </c>
      <c r="BH263" s="24" t="str">
        <f t="shared" si="29"/>
        <v/>
      </c>
      <c r="BI263" s="24">
        <f t="shared" si="27"/>
        <v>1</v>
      </c>
      <c r="BJ263" s="24" t="str">
        <f t="shared" si="24"/>
        <v/>
      </c>
    </row>
    <row r="264" spans="1:62" ht="15" customHeight="1" x14ac:dyDescent="0.25">
      <c r="A264" t="str">
        <f>"1487615688"</f>
        <v>1487615688</v>
      </c>
      <c r="B264" t="str">
        <f>"02727984"</f>
        <v>02727984</v>
      </c>
      <c r="C264" t="s">
        <v>795</v>
      </c>
      <c r="D264" t="s">
        <v>796</v>
      </c>
      <c r="E264" t="s">
        <v>797</v>
      </c>
      <c r="L264" t="s">
        <v>133</v>
      </c>
      <c r="M264" t="s">
        <v>108</v>
      </c>
      <c r="R264" t="s">
        <v>795</v>
      </c>
      <c r="W264" t="s">
        <v>797</v>
      </c>
      <c r="X264" t="s">
        <v>798</v>
      </c>
      <c r="Y264" t="s">
        <v>110</v>
      </c>
      <c r="Z264" t="s">
        <v>111</v>
      </c>
      <c r="AA264" t="str">
        <f>"13901-1293"</f>
        <v>13901-1293</v>
      </c>
      <c r="AB264" t="s">
        <v>123</v>
      </c>
      <c r="AC264" t="s">
        <v>113</v>
      </c>
      <c r="AD264" t="s">
        <v>108</v>
      </c>
      <c r="AE264" t="s">
        <v>114</v>
      </c>
      <c r="AF264" t="s">
        <v>115</v>
      </c>
      <c r="AG264" t="s">
        <v>116</v>
      </c>
      <c r="AK264" t="str">
        <f t="shared" si="28"/>
        <v>CHRISTOPHERSEN REBECCA</v>
      </c>
      <c r="AL264" t="s">
        <v>796</v>
      </c>
      <c r="AM264" t="s">
        <v>108</v>
      </c>
      <c r="AN264" t="s">
        <v>108</v>
      </c>
      <c r="AO264" t="s">
        <v>108</v>
      </c>
      <c r="AP264" t="s">
        <v>108</v>
      </c>
      <c r="AQ264" t="s">
        <v>108</v>
      </c>
      <c r="AR264" t="s">
        <v>108</v>
      </c>
      <c r="AS264" t="s">
        <v>108</v>
      </c>
      <c r="AT264" t="s">
        <v>108</v>
      </c>
      <c r="AU264">
        <v>0</v>
      </c>
      <c r="AV264" t="s">
        <v>108</v>
      </c>
      <c r="AW264" t="s">
        <v>108</v>
      </c>
      <c r="AX264" s="24" t="str">
        <f t="shared" si="26"/>
        <v/>
      </c>
      <c r="AY264" s="24" t="str">
        <f t="shared" si="26"/>
        <v/>
      </c>
      <c r="AZ264" s="24" t="str">
        <f t="shared" si="27"/>
        <v/>
      </c>
      <c r="BA264" s="24" t="str">
        <f t="shared" si="27"/>
        <v/>
      </c>
      <c r="BB264" s="24" t="str">
        <f t="shared" si="27"/>
        <v/>
      </c>
      <c r="BC264" s="24" t="str">
        <f t="shared" si="27"/>
        <v/>
      </c>
      <c r="BD264" s="24" t="str">
        <f t="shared" si="27"/>
        <v/>
      </c>
      <c r="BE264" s="24" t="str">
        <f t="shared" si="27"/>
        <v/>
      </c>
      <c r="BF264" s="24" t="str">
        <f t="shared" si="27"/>
        <v/>
      </c>
      <c r="BG264" s="24" t="str">
        <f t="shared" si="27"/>
        <v/>
      </c>
      <c r="BH264" s="24" t="str">
        <f t="shared" si="29"/>
        <v/>
      </c>
      <c r="BI264" s="24" t="str">
        <f t="shared" si="27"/>
        <v/>
      </c>
      <c r="BJ264" s="24">
        <f t="shared" si="24"/>
        <v>1</v>
      </c>
    </row>
    <row r="265" spans="1:62" ht="15" customHeight="1" x14ac:dyDescent="0.25">
      <c r="A265" t="str">
        <f>"1184873887"</f>
        <v>1184873887</v>
      </c>
      <c r="B265" t="str">
        <f>"03359166"</f>
        <v>03359166</v>
      </c>
      <c r="C265" t="s">
        <v>4065</v>
      </c>
      <c r="D265" t="s">
        <v>4066</v>
      </c>
      <c r="E265" t="s">
        <v>4067</v>
      </c>
      <c r="L265" t="s">
        <v>6867</v>
      </c>
      <c r="M265" t="s">
        <v>108</v>
      </c>
      <c r="R265" t="s">
        <v>4065</v>
      </c>
      <c r="W265" t="s">
        <v>4067</v>
      </c>
      <c r="X265" t="s">
        <v>3690</v>
      </c>
      <c r="Y265" t="s">
        <v>281</v>
      </c>
      <c r="Z265" t="s">
        <v>111</v>
      </c>
      <c r="AA265" t="str">
        <f>"13827-1635"</f>
        <v>13827-1635</v>
      </c>
      <c r="AB265" t="s">
        <v>123</v>
      </c>
      <c r="AC265" t="s">
        <v>113</v>
      </c>
      <c r="AD265" t="s">
        <v>108</v>
      </c>
      <c r="AE265" t="s">
        <v>114</v>
      </c>
      <c r="AF265" t="s">
        <v>115</v>
      </c>
      <c r="AG265" t="s">
        <v>116</v>
      </c>
      <c r="AK265" t="str">
        <f t="shared" si="28"/>
        <v/>
      </c>
      <c r="AL265" t="s">
        <v>4066</v>
      </c>
      <c r="AM265">
        <v>0</v>
      </c>
      <c r="AN265">
        <v>0</v>
      </c>
      <c r="AO265">
        <v>0</v>
      </c>
      <c r="AP265">
        <v>0</v>
      </c>
      <c r="AQ265">
        <v>0</v>
      </c>
      <c r="AR265">
        <v>0</v>
      </c>
      <c r="AS265">
        <v>0</v>
      </c>
      <c r="AT265">
        <v>0</v>
      </c>
      <c r="AU265">
        <v>0</v>
      </c>
      <c r="AV265">
        <v>0</v>
      </c>
      <c r="AW265">
        <v>0</v>
      </c>
      <c r="AX265" s="24">
        <f t="shared" si="26"/>
        <v>1</v>
      </c>
      <c r="AY265" s="24">
        <f t="shared" si="26"/>
        <v>1</v>
      </c>
      <c r="AZ265" s="24" t="str">
        <f t="shared" si="27"/>
        <v/>
      </c>
      <c r="BA265" s="24" t="str">
        <f t="shared" si="27"/>
        <v/>
      </c>
      <c r="BB265" s="24" t="str">
        <f t="shared" si="27"/>
        <v/>
      </c>
      <c r="BC265" s="24" t="str">
        <f t="shared" si="27"/>
        <v/>
      </c>
      <c r="BD265" s="24" t="str">
        <f t="shared" si="27"/>
        <v/>
      </c>
      <c r="BE265" s="24" t="str">
        <f t="shared" si="27"/>
        <v/>
      </c>
      <c r="BF265" s="24" t="str">
        <f t="shared" si="27"/>
        <v/>
      </c>
      <c r="BG265" s="24" t="str">
        <f t="shared" si="27"/>
        <v/>
      </c>
      <c r="BH265" s="24" t="str">
        <f t="shared" si="29"/>
        <v/>
      </c>
      <c r="BI265" s="24">
        <f t="shared" si="27"/>
        <v>1</v>
      </c>
      <c r="BJ265" s="24" t="str">
        <f t="shared" si="24"/>
        <v/>
      </c>
    </row>
    <row r="266" spans="1:62" ht="15" customHeight="1" x14ac:dyDescent="0.25">
      <c r="A266" t="str">
        <f>"1538115449"</f>
        <v>1538115449</v>
      </c>
      <c r="B266" t="str">
        <f>"01763919"</f>
        <v>01763919</v>
      </c>
      <c r="C266" t="s">
        <v>4277</v>
      </c>
      <c r="D266" t="s">
        <v>4278</v>
      </c>
      <c r="E266" t="s">
        <v>4279</v>
      </c>
      <c r="G266" t="s">
        <v>4280</v>
      </c>
      <c r="H266" t="s">
        <v>4281</v>
      </c>
      <c r="J266" t="s">
        <v>4282</v>
      </c>
      <c r="L266" t="s">
        <v>120</v>
      </c>
      <c r="M266" t="s">
        <v>108</v>
      </c>
      <c r="R266" t="s">
        <v>4283</v>
      </c>
      <c r="W266" t="s">
        <v>4279</v>
      </c>
      <c r="X266" t="s">
        <v>4284</v>
      </c>
      <c r="Y266" t="s">
        <v>262</v>
      </c>
      <c r="Z266" t="s">
        <v>111</v>
      </c>
      <c r="AA266" t="str">
        <f>"13053"</f>
        <v>13053</v>
      </c>
      <c r="AB266" t="s">
        <v>123</v>
      </c>
      <c r="AC266" t="s">
        <v>113</v>
      </c>
      <c r="AD266" t="s">
        <v>108</v>
      </c>
      <c r="AE266" t="s">
        <v>114</v>
      </c>
      <c r="AF266" t="s">
        <v>142</v>
      </c>
      <c r="AG266" t="s">
        <v>116</v>
      </c>
      <c r="AK266" t="str">
        <f t="shared" si="28"/>
        <v/>
      </c>
      <c r="AL266" t="s">
        <v>4278</v>
      </c>
      <c r="AM266">
        <v>0</v>
      </c>
      <c r="AN266">
        <v>0</v>
      </c>
      <c r="AO266">
        <v>0</v>
      </c>
      <c r="AP266">
        <v>0</v>
      </c>
      <c r="AQ266">
        <v>0</v>
      </c>
      <c r="AR266">
        <v>0</v>
      </c>
      <c r="AS266">
        <v>0</v>
      </c>
      <c r="AT266">
        <v>0</v>
      </c>
      <c r="AU266">
        <v>0</v>
      </c>
      <c r="AV266">
        <v>0</v>
      </c>
      <c r="AW266">
        <v>0</v>
      </c>
      <c r="AX266" s="24">
        <f t="shared" si="26"/>
        <v>1</v>
      </c>
      <c r="AY266" s="24" t="str">
        <f t="shared" si="26"/>
        <v/>
      </c>
      <c r="AZ266" s="24" t="str">
        <f t="shared" si="27"/>
        <v/>
      </c>
      <c r="BA266" s="24" t="str">
        <f t="shared" si="27"/>
        <v/>
      </c>
      <c r="BB266" s="24" t="str">
        <f t="shared" si="27"/>
        <v/>
      </c>
      <c r="BC266" s="24" t="str">
        <f t="shared" si="27"/>
        <v/>
      </c>
      <c r="BD266" s="24" t="str">
        <f t="shared" si="27"/>
        <v/>
      </c>
      <c r="BE266" s="24" t="str">
        <f t="shared" si="27"/>
        <v/>
      </c>
      <c r="BF266" s="24" t="str">
        <f t="shared" si="27"/>
        <v/>
      </c>
      <c r="BG266" s="24" t="str">
        <f t="shared" si="27"/>
        <v/>
      </c>
      <c r="BH266" s="24" t="str">
        <f t="shared" si="29"/>
        <v/>
      </c>
      <c r="BI266" s="24">
        <f t="shared" si="27"/>
        <v>1</v>
      </c>
      <c r="BJ266" s="24" t="str">
        <f t="shared" si="24"/>
        <v/>
      </c>
    </row>
    <row r="267" spans="1:62" ht="15" customHeight="1" x14ac:dyDescent="0.25">
      <c r="A267" t="str">
        <f>"1699847921"</f>
        <v>1699847921</v>
      </c>
      <c r="B267" t="str">
        <f>"02610460"</f>
        <v>02610460</v>
      </c>
      <c r="C267" t="s">
        <v>2446</v>
      </c>
      <c r="D267" t="s">
        <v>2447</v>
      </c>
      <c r="E267" t="s">
        <v>2448</v>
      </c>
      <c r="L267" t="s">
        <v>247</v>
      </c>
      <c r="M267" t="s">
        <v>108</v>
      </c>
      <c r="R267" t="s">
        <v>2449</v>
      </c>
      <c r="W267" t="s">
        <v>2448</v>
      </c>
      <c r="X267" t="s">
        <v>2450</v>
      </c>
      <c r="Y267" t="s">
        <v>122</v>
      </c>
      <c r="Z267" t="s">
        <v>111</v>
      </c>
      <c r="AA267" t="str">
        <f>"13815-1521"</f>
        <v>13815-1521</v>
      </c>
      <c r="AB267" t="s">
        <v>123</v>
      </c>
      <c r="AC267" t="s">
        <v>113</v>
      </c>
      <c r="AD267" t="s">
        <v>108</v>
      </c>
      <c r="AE267" t="s">
        <v>114</v>
      </c>
      <c r="AF267" t="s">
        <v>124</v>
      </c>
      <c r="AG267" t="s">
        <v>116</v>
      </c>
      <c r="AK267" t="str">
        <f t="shared" si="28"/>
        <v/>
      </c>
      <c r="AL267" t="s">
        <v>2447</v>
      </c>
      <c r="AM267">
        <v>0</v>
      </c>
      <c r="AN267">
        <v>0</v>
      </c>
      <c r="AO267">
        <v>0</v>
      </c>
      <c r="AP267">
        <v>0</v>
      </c>
      <c r="AQ267">
        <v>0</v>
      </c>
      <c r="AR267">
        <v>0</v>
      </c>
      <c r="AS267">
        <v>0</v>
      </c>
      <c r="AT267">
        <v>0</v>
      </c>
      <c r="AU267">
        <v>0</v>
      </c>
      <c r="AV267">
        <v>0</v>
      </c>
      <c r="AW267">
        <v>0</v>
      </c>
      <c r="AX267" s="24" t="str">
        <f t="shared" si="26"/>
        <v/>
      </c>
      <c r="AY267" s="24">
        <f t="shared" si="26"/>
        <v>1</v>
      </c>
      <c r="AZ267" s="24" t="str">
        <f t="shared" si="27"/>
        <v/>
      </c>
      <c r="BA267" s="24" t="str">
        <f t="shared" si="27"/>
        <v/>
      </c>
      <c r="BB267" s="24" t="str">
        <f t="shared" si="27"/>
        <v/>
      </c>
      <c r="BC267" s="24" t="str">
        <f t="shared" si="27"/>
        <v/>
      </c>
      <c r="BD267" s="24" t="str">
        <f t="shared" si="27"/>
        <v/>
      </c>
      <c r="BE267" s="24" t="str">
        <f t="shared" si="27"/>
        <v/>
      </c>
      <c r="BF267" s="24" t="str">
        <f t="shared" si="27"/>
        <v/>
      </c>
      <c r="BG267" s="24" t="str">
        <f t="shared" si="27"/>
        <v/>
      </c>
      <c r="BH267" s="24" t="str">
        <f t="shared" si="29"/>
        <v/>
      </c>
      <c r="BI267" s="24" t="str">
        <f t="shared" si="27"/>
        <v/>
      </c>
      <c r="BJ267" s="24" t="str">
        <f t="shared" si="24"/>
        <v/>
      </c>
    </row>
    <row r="268" spans="1:62" ht="15" customHeight="1" x14ac:dyDescent="0.25">
      <c r="A268" t="str">
        <f>"1669499380"</f>
        <v>1669499380</v>
      </c>
      <c r="B268" t="str">
        <f>"02080913"</f>
        <v>02080913</v>
      </c>
      <c r="C268" t="s">
        <v>6787</v>
      </c>
      <c r="D268" t="s">
        <v>7062</v>
      </c>
      <c r="E268" t="s">
        <v>6922</v>
      </c>
      <c r="G268" t="s">
        <v>1686</v>
      </c>
      <c r="H268" t="s">
        <v>1683</v>
      </c>
      <c r="J268" t="s">
        <v>6657</v>
      </c>
      <c r="L268" t="s">
        <v>120</v>
      </c>
      <c r="M268" t="s">
        <v>108</v>
      </c>
      <c r="R268" t="s">
        <v>6787</v>
      </c>
      <c r="W268" t="s">
        <v>6922</v>
      </c>
      <c r="X268" t="s">
        <v>6660</v>
      </c>
      <c r="Y268" t="s">
        <v>293</v>
      </c>
      <c r="Z268" t="s">
        <v>111</v>
      </c>
      <c r="AA268" t="str">
        <f>"14850-4130"</f>
        <v>14850-4130</v>
      </c>
      <c r="AB268" t="s">
        <v>123</v>
      </c>
      <c r="AC268" t="s">
        <v>113</v>
      </c>
      <c r="AD268" t="s">
        <v>108</v>
      </c>
      <c r="AE268" t="s">
        <v>114</v>
      </c>
      <c r="AF268" t="s">
        <v>142</v>
      </c>
      <c r="AG268" t="s">
        <v>116</v>
      </c>
      <c r="AK268" t="str">
        <f t="shared" si="28"/>
        <v>CLAUSON LISA MS.</v>
      </c>
      <c r="AL268" t="s">
        <v>7062</v>
      </c>
      <c r="AM268" t="s">
        <v>108</v>
      </c>
      <c r="AN268" t="s">
        <v>108</v>
      </c>
      <c r="AO268" t="s">
        <v>108</v>
      </c>
      <c r="AP268" t="s">
        <v>108</v>
      </c>
      <c r="AQ268" t="s">
        <v>108</v>
      </c>
      <c r="AR268" t="s">
        <v>108</v>
      </c>
      <c r="AS268" t="s">
        <v>108</v>
      </c>
      <c r="AT268" t="s">
        <v>108</v>
      </c>
      <c r="AU268">
        <v>0</v>
      </c>
      <c r="AV268" t="s">
        <v>108</v>
      </c>
      <c r="AW268" t="s">
        <v>108</v>
      </c>
      <c r="AX268" s="24">
        <f t="shared" si="26"/>
        <v>1</v>
      </c>
      <c r="AY268" s="24" t="str">
        <f t="shared" si="26"/>
        <v/>
      </c>
      <c r="AZ268" s="24" t="str">
        <f t="shared" si="27"/>
        <v/>
      </c>
      <c r="BA268" s="24" t="str">
        <f t="shared" si="27"/>
        <v/>
      </c>
      <c r="BB268" s="24" t="str">
        <f t="shared" si="27"/>
        <v/>
      </c>
      <c r="BC268" s="24" t="str">
        <f t="shared" si="27"/>
        <v/>
      </c>
      <c r="BD268" s="24" t="str">
        <f t="shared" si="27"/>
        <v/>
      </c>
      <c r="BE268" s="24" t="str">
        <f t="shared" si="27"/>
        <v/>
      </c>
      <c r="BF268" s="24" t="str">
        <f t="shared" ref="AZ268:BI294" si="30">IF(ISERROR(FIND(BF$1,$L268,1)),"",1)</f>
        <v/>
      </c>
      <c r="BG268" s="24" t="str">
        <f t="shared" si="30"/>
        <v/>
      </c>
      <c r="BH268" s="24" t="str">
        <f t="shared" si="29"/>
        <v/>
      </c>
      <c r="BI268" s="24">
        <f t="shared" si="30"/>
        <v>1</v>
      </c>
      <c r="BJ268" s="24" t="str">
        <f t="shared" si="24"/>
        <v/>
      </c>
    </row>
    <row r="269" spans="1:62" ht="15" customHeight="1" x14ac:dyDescent="0.25">
      <c r="A269" t="str">
        <f>"1437171113"</f>
        <v>1437171113</v>
      </c>
      <c r="B269" t="str">
        <f>"01821916"</f>
        <v>01821916</v>
      </c>
      <c r="C269" t="s">
        <v>3135</v>
      </c>
      <c r="D269" t="s">
        <v>3136</v>
      </c>
      <c r="E269" t="s">
        <v>3137</v>
      </c>
      <c r="G269" t="s">
        <v>229</v>
      </c>
      <c r="H269" t="s">
        <v>230</v>
      </c>
      <c r="J269" t="s">
        <v>231</v>
      </c>
      <c r="L269" t="s">
        <v>120</v>
      </c>
      <c r="M269" t="s">
        <v>108</v>
      </c>
      <c r="R269" t="s">
        <v>3138</v>
      </c>
      <c r="W269" t="s">
        <v>3139</v>
      </c>
      <c r="X269" t="s">
        <v>3140</v>
      </c>
      <c r="Y269" t="s">
        <v>2853</v>
      </c>
      <c r="Z269" t="s">
        <v>111</v>
      </c>
      <c r="AA269" t="str">
        <f>"14456-1651"</f>
        <v>14456-1651</v>
      </c>
      <c r="AB269" t="s">
        <v>123</v>
      </c>
      <c r="AC269" t="s">
        <v>113</v>
      </c>
      <c r="AD269" t="s">
        <v>108</v>
      </c>
      <c r="AE269" t="s">
        <v>114</v>
      </c>
      <c r="AF269" t="s">
        <v>142</v>
      </c>
      <c r="AG269" t="s">
        <v>116</v>
      </c>
      <c r="AK269" t="str">
        <f t="shared" si="28"/>
        <v/>
      </c>
      <c r="AL269" t="s">
        <v>3136</v>
      </c>
      <c r="AM269">
        <v>0</v>
      </c>
      <c r="AN269">
        <v>0</v>
      </c>
      <c r="AO269">
        <v>0</v>
      </c>
      <c r="AP269">
        <v>0</v>
      </c>
      <c r="AQ269">
        <v>0</v>
      </c>
      <c r="AR269">
        <v>0</v>
      </c>
      <c r="AS269">
        <v>0</v>
      </c>
      <c r="AT269">
        <v>0</v>
      </c>
      <c r="AU269">
        <v>0</v>
      </c>
      <c r="AV269">
        <v>0</v>
      </c>
      <c r="AW269">
        <v>0</v>
      </c>
      <c r="AX269" s="24">
        <f t="shared" si="26"/>
        <v>1</v>
      </c>
      <c r="AY269" s="24" t="str">
        <f t="shared" si="26"/>
        <v/>
      </c>
      <c r="AZ269" s="24" t="str">
        <f t="shared" si="30"/>
        <v/>
      </c>
      <c r="BA269" s="24" t="str">
        <f t="shared" si="30"/>
        <v/>
      </c>
      <c r="BB269" s="24" t="str">
        <f t="shared" si="30"/>
        <v/>
      </c>
      <c r="BC269" s="24" t="str">
        <f t="shared" si="30"/>
        <v/>
      </c>
      <c r="BD269" s="24" t="str">
        <f t="shared" si="30"/>
        <v/>
      </c>
      <c r="BE269" s="24" t="str">
        <f t="shared" si="30"/>
        <v/>
      </c>
      <c r="BF269" s="24" t="str">
        <f t="shared" si="30"/>
        <v/>
      </c>
      <c r="BG269" s="24" t="str">
        <f t="shared" si="30"/>
        <v/>
      </c>
      <c r="BH269" s="24" t="str">
        <f t="shared" si="29"/>
        <v/>
      </c>
      <c r="BI269" s="24">
        <f t="shared" si="30"/>
        <v>1</v>
      </c>
      <c r="BJ269" s="24" t="str">
        <f t="shared" si="24"/>
        <v/>
      </c>
    </row>
    <row r="270" spans="1:62" ht="15" customHeight="1" x14ac:dyDescent="0.25">
      <c r="A270" t="str">
        <f>"1588861496"</f>
        <v>1588861496</v>
      </c>
      <c r="B270" t="str">
        <f>"03237785"</f>
        <v>03237785</v>
      </c>
      <c r="C270" t="s">
        <v>2715</v>
      </c>
      <c r="D270" t="s">
        <v>2716</v>
      </c>
      <c r="E270" t="s">
        <v>2717</v>
      </c>
      <c r="G270" t="s">
        <v>177</v>
      </c>
      <c r="H270" t="s">
        <v>178</v>
      </c>
      <c r="J270" t="s">
        <v>179</v>
      </c>
      <c r="L270" t="s">
        <v>138</v>
      </c>
      <c r="M270" t="s">
        <v>108</v>
      </c>
      <c r="R270" t="s">
        <v>2715</v>
      </c>
      <c r="W270" t="s">
        <v>2717</v>
      </c>
      <c r="X270" t="s">
        <v>196</v>
      </c>
      <c r="Y270" t="s">
        <v>181</v>
      </c>
      <c r="Z270" t="s">
        <v>182</v>
      </c>
      <c r="AA270" t="str">
        <f>"18840-1625"</f>
        <v>18840-1625</v>
      </c>
      <c r="AB270" t="s">
        <v>123</v>
      </c>
      <c r="AC270" t="s">
        <v>113</v>
      </c>
      <c r="AD270" t="s">
        <v>108</v>
      </c>
      <c r="AE270" t="s">
        <v>114</v>
      </c>
      <c r="AF270" t="s">
        <v>115</v>
      </c>
      <c r="AG270" t="s">
        <v>116</v>
      </c>
      <c r="AK270" t="str">
        <f t="shared" si="28"/>
        <v/>
      </c>
      <c r="AL270" t="s">
        <v>2716</v>
      </c>
      <c r="AM270">
        <v>1</v>
      </c>
      <c r="AN270">
        <v>1</v>
      </c>
      <c r="AO270">
        <v>0</v>
      </c>
      <c r="AP270">
        <v>0</v>
      </c>
      <c r="AQ270">
        <v>0</v>
      </c>
      <c r="AR270">
        <v>0</v>
      </c>
      <c r="AS270">
        <v>0</v>
      </c>
      <c r="AT270">
        <v>0</v>
      </c>
      <c r="AU270">
        <v>0</v>
      </c>
      <c r="AV270">
        <v>1</v>
      </c>
      <c r="AW270">
        <v>0</v>
      </c>
      <c r="AX270" s="24" t="str">
        <f t="shared" si="26"/>
        <v/>
      </c>
      <c r="AY270" s="24">
        <f t="shared" si="26"/>
        <v>1</v>
      </c>
      <c r="AZ270" s="24" t="str">
        <f t="shared" si="30"/>
        <v/>
      </c>
      <c r="BA270" s="24" t="str">
        <f t="shared" si="30"/>
        <v/>
      </c>
      <c r="BB270" s="24" t="str">
        <f t="shared" si="30"/>
        <v/>
      </c>
      <c r="BC270" s="24" t="str">
        <f t="shared" si="30"/>
        <v/>
      </c>
      <c r="BD270" s="24" t="str">
        <f t="shared" si="30"/>
        <v/>
      </c>
      <c r="BE270" s="24" t="str">
        <f t="shared" si="30"/>
        <v/>
      </c>
      <c r="BF270" s="24" t="str">
        <f t="shared" si="30"/>
        <v/>
      </c>
      <c r="BG270" s="24" t="str">
        <f t="shared" si="30"/>
        <v/>
      </c>
      <c r="BH270" s="24" t="str">
        <f t="shared" si="29"/>
        <v/>
      </c>
      <c r="BI270" s="24">
        <f t="shared" si="30"/>
        <v>1</v>
      </c>
      <c r="BJ270" s="24" t="str">
        <f t="shared" si="24"/>
        <v/>
      </c>
    </row>
    <row r="271" spans="1:62" ht="15" customHeight="1" x14ac:dyDescent="0.25">
      <c r="A271" t="str">
        <f>"1205834272"</f>
        <v>1205834272</v>
      </c>
      <c r="B271" t="str">
        <f>"01588509"</f>
        <v>01588509</v>
      </c>
      <c r="C271" t="s">
        <v>1068</v>
      </c>
      <c r="D271" t="s">
        <v>1069</v>
      </c>
      <c r="E271" t="s">
        <v>1068</v>
      </c>
      <c r="G271" t="s">
        <v>1070</v>
      </c>
      <c r="H271" t="s">
        <v>1071</v>
      </c>
      <c r="J271" t="s">
        <v>1072</v>
      </c>
      <c r="L271" t="s">
        <v>133</v>
      </c>
      <c r="M271" t="s">
        <v>108</v>
      </c>
      <c r="R271" t="s">
        <v>1073</v>
      </c>
      <c r="W271" t="s">
        <v>1068</v>
      </c>
      <c r="X271" t="s">
        <v>1074</v>
      </c>
      <c r="Y271" t="s">
        <v>239</v>
      </c>
      <c r="Z271" t="s">
        <v>111</v>
      </c>
      <c r="AA271" t="str">
        <f>"13045-1255"</f>
        <v>13045-1255</v>
      </c>
      <c r="AB271" t="s">
        <v>1075</v>
      </c>
      <c r="AC271" t="s">
        <v>113</v>
      </c>
      <c r="AD271" t="s">
        <v>108</v>
      </c>
      <c r="AE271" t="s">
        <v>114</v>
      </c>
      <c r="AF271" t="s">
        <v>142</v>
      </c>
      <c r="AG271" t="s">
        <v>116</v>
      </c>
      <c r="AK271" t="str">
        <f t="shared" si="28"/>
        <v/>
      </c>
      <c r="AL271" t="s">
        <v>1069</v>
      </c>
      <c r="AM271">
        <v>1</v>
      </c>
      <c r="AN271">
        <v>1</v>
      </c>
      <c r="AO271">
        <v>0</v>
      </c>
      <c r="AP271">
        <v>1</v>
      </c>
      <c r="AQ271">
        <v>1</v>
      </c>
      <c r="AR271">
        <v>0</v>
      </c>
      <c r="AS271">
        <v>0</v>
      </c>
      <c r="AT271">
        <v>0</v>
      </c>
      <c r="AU271">
        <v>0</v>
      </c>
      <c r="AV271">
        <v>0</v>
      </c>
      <c r="AW271">
        <v>0</v>
      </c>
      <c r="AX271" s="24" t="str">
        <f t="shared" si="26"/>
        <v/>
      </c>
      <c r="AY271" s="24" t="str">
        <f t="shared" si="26"/>
        <v/>
      </c>
      <c r="AZ271" s="24" t="str">
        <f t="shared" si="30"/>
        <v/>
      </c>
      <c r="BA271" s="24" t="str">
        <f t="shared" si="30"/>
        <v/>
      </c>
      <c r="BB271" s="24" t="str">
        <f t="shared" si="30"/>
        <v/>
      </c>
      <c r="BC271" s="24" t="str">
        <f t="shared" si="30"/>
        <v/>
      </c>
      <c r="BD271" s="24" t="str">
        <f t="shared" si="30"/>
        <v/>
      </c>
      <c r="BE271" s="24" t="str">
        <f t="shared" si="30"/>
        <v/>
      </c>
      <c r="BF271" s="24" t="str">
        <f t="shared" si="30"/>
        <v/>
      </c>
      <c r="BG271" s="24" t="str">
        <f t="shared" si="30"/>
        <v/>
      </c>
      <c r="BH271" s="24" t="str">
        <f t="shared" si="29"/>
        <v/>
      </c>
      <c r="BI271" s="24" t="str">
        <f t="shared" si="30"/>
        <v/>
      </c>
      <c r="BJ271" s="24">
        <f t="shared" si="24"/>
        <v>1</v>
      </c>
    </row>
    <row r="272" spans="1:62" ht="15" customHeight="1" x14ac:dyDescent="0.25">
      <c r="A272" t="str">
        <f>"1174680391"</f>
        <v>1174680391</v>
      </c>
      <c r="B272" t="str">
        <f>"00907382"</f>
        <v>00907382</v>
      </c>
      <c r="C272" t="s">
        <v>4055</v>
      </c>
      <c r="D272" t="s">
        <v>4056</v>
      </c>
      <c r="E272" t="s">
        <v>4057</v>
      </c>
      <c r="L272" t="s">
        <v>247</v>
      </c>
      <c r="M272" t="s">
        <v>108</v>
      </c>
      <c r="R272" t="s">
        <v>4055</v>
      </c>
      <c r="W272" t="s">
        <v>4057</v>
      </c>
      <c r="X272" t="s">
        <v>4058</v>
      </c>
      <c r="Y272" t="s">
        <v>110</v>
      </c>
      <c r="Z272" t="s">
        <v>111</v>
      </c>
      <c r="AA272" t="str">
        <f>"13905"</f>
        <v>13905</v>
      </c>
      <c r="AB272" t="s">
        <v>1872</v>
      </c>
      <c r="AC272" t="s">
        <v>113</v>
      </c>
      <c r="AD272" t="s">
        <v>108</v>
      </c>
      <c r="AE272" t="s">
        <v>114</v>
      </c>
      <c r="AF272" t="s">
        <v>115</v>
      </c>
      <c r="AG272" t="s">
        <v>116</v>
      </c>
      <c r="AK272" t="str">
        <f t="shared" si="28"/>
        <v/>
      </c>
      <c r="AL272" t="s">
        <v>4056</v>
      </c>
      <c r="AM272">
        <v>1</v>
      </c>
      <c r="AN272">
        <v>1</v>
      </c>
      <c r="AO272">
        <v>0</v>
      </c>
      <c r="AP272">
        <v>1</v>
      </c>
      <c r="AQ272">
        <v>1</v>
      </c>
      <c r="AR272">
        <v>0</v>
      </c>
      <c r="AS272">
        <v>0</v>
      </c>
      <c r="AT272">
        <v>0</v>
      </c>
      <c r="AU272">
        <v>0</v>
      </c>
      <c r="AV272">
        <v>0</v>
      </c>
      <c r="AW272">
        <v>0</v>
      </c>
      <c r="AX272" s="24" t="str">
        <f t="shared" si="26"/>
        <v/>
      </c>
      <c r="AY272" s="24">
        <f t="shared" si="26"/>
        <v>1</v>
      </c>
      <c r="AZ272" s="24" t="str">
        <f t="shared" si="30"/>
        <v/>
      </c>
      <c r="BA272" s="24" t="str">
        <f t="shared" si="30"/>
        <v/>
      </c>
      <c r="BB272" s="24" t="str">
        <f t="shared" si="30"/>
        <v/>
      </c>
      <c r="BC272" s="24" t="str">
        <f t="shared" si="30"/>
        <v/>
      </c>
      <c r="BD272" s="24" t="str">
        <f t="shared" si="30"/>
        <v/>
      </c>
      <c r="BE272" s="24" t="str">
        <f t="shared" si="30"/>
        <v/>
      </c>
      <c r="BF272" s="24" t="str">
        <f t="shared" si="30"/>
        <v/>
      </c>
      <c r="BG272" s="24" t="str">
        <f t="shared" si="30"/>
        <v/>
      </c>
      <c r="BH272" s="24" t="str">
        <f t="shared" si="29"/>
        <v/>
      </c>
      <c r="BI272" s="24" t="str">
        <f t="shared" si="30"/>
        <v/>
      </c>
      <c r="BJ272" s="24" t="str">
        <f t="shared" si="24"/>
        <v/>
      </c>
    </row>
    <row r="273" spans="1:62" ht="15" customHeight="1" x14ac:dyDescent="0.25">
      <c r="A273" t="str">
        <f>"1245330968"</f>
        <v>1245330968</v>
      </c>
      <c r="B273" t="str">
        <f>"01210228"</f>
        <v>01210228</v>
      </c>
      <c r="C273" t="s">
        <v>4097</v>
      </c>
      <c r="D273" t="s">
        <v>4098</v>
      </c>
      <c r="E273" t="s">
        <v>4099</v>
      </c>
      <c r="L273" t="s">
        <v>247</v>
      </c>
      <c r="M273" t="s">
        <v>108</v>
      </c>
      <c r="R273" t="s">
        <v>4097</v>
      </c>
      <c r="W273" t="s">
        <v>4099</v>
      </c>
      <c r="X273" t="s">
        <v>4100</v>
      </c>
      <c r="Y273" t="s">
        <v>966</v>
      </c>
      <c r="Z273" t="s">
        <v>111</v>
      </c>
      <c r="AA273" t="str">
        <f>"13850-2088"</f>
        <v>13850-2088</v>
      </c>
      <c r="AB273" t="s">
        <v>123</v>
      </c>
      <c r="AC273" t="s">
        <v>113</v>
      </c>
      <c r="AD273" t="s">
        <v>108</v>
      </c>
      <c r="AE273" t="s">
        <v>114</v>
      </c>
      <c r="AF273" t="s">
        <v>115</v>
      </c>
      <c r="AG273" t="s">
        <v>116</v>
      </c>
      <c r="AK273" t="str">
        <f t="shared" si="28"/>
        <v/>
      </c>
      <c r="AL273" t="s">
        <v>4098</v>
      </c>
      <c r="AM273">
        <v>0</v>
      </c>
      <c r="AN273">
        <v>0</v>
      </c>
      <c r="AO273">
        <v>0</v>
      </c>
      <c r="AP273">
        <v>0</v>
      </c>
      <c r="AQ273">
        <v>0</v>
      </c>
      <c r="AR273">
        <v>0</v>
      </c>
      <c r="AS273">
        <v>0</v>
      </c>
      <c r="AT273">
        <v>0</v>
      </c>
      <c r="AU273">
        <v>0</v>
      </c>
      <c r="AV273">
        <v>0</v>
      </c>
      <c r="AW273">
        <v>0</v>
      </c>
      <c r="AX273" s="24" t="str">
        <f t="shared" si="26"/>
        <v/>
      </c>
      <c r="AY273" s="24">
        <f t="shared" si="26"/>
        <v>1</v>
      </c>
      <c r="AZ273" s="24" t="str">
        <f t="shared" si="30"/>
        <v/>
      </c>
      <c r="BA273" s="24" t="str">
        <f t="shared" si="30"/>
        <v/>
      </c>
      <c r="BB273" s="24" t="str">
        <f t="shared" si="30"/>
        <v/>
      </c>
      <c r="BC273" s="24" t="str">
        <f t="shared" si="30"/>
        <v/>
      </c>
      <c r="BD273" s="24" t="str">
        <f t="shared" si="30"/>
        <v/>
      </c>
      <c r="BE273" s="24" t="str">
        <f t="shared" si="30"/>
        <v/>
      </c>
      <c r="BF273" s="24" t="str">
        <f t="shared" si="30"/>
        <v/>
      </c>
      <c r="BG273" s="24" t="str">
        <f t="shared" si="30"/>
        <v/>
      </c>
      <c r="BH273" s="24" t="str">
        <f t="shared" si="29"/>
        <v/>
      </c>
      <c r="BI273" s="24" t="str">
        <f t="shared" si="30"/>
        <v/>
      </c>
      <c r="BJ273" s="24" t="str">
        <f t="shared" si="24"/>
        <v/>
      </c>
    </row>
    <row r="274" spans="1:62" ht="15" customHeight="1" x14ac:dyDescent="0.25">
      <c r="A274" t="str">
        <f>"1730340050"</f>
        <v>1730340050</v>
      </c>
      <c r="B274" t="str">
        <f>"03810464"</f>
        <v>03810464</v>
      </c>
      <c r="C274" t="s">
        <v>2659</v>
      </c>
      <c r="D274" t="s">
        <v>2660</v>
      </c>
      <c r="E274" t="s">
        <v>2661</v>
      </c>
      <c r="L274" t="s">
        <v>133</v>
      </c>
      <c r="M274" t="s">
        <v>108</v>
      </c>
      <c r="R274" t="s">
        <v>2659</v>
      </c>
      <c r="W274" t="s">
        <v>2661</v>
      </c>
      <c r="X274" t="s">
        <v>2662</v>
      </c>
      <c r="Y274" t="s">
        <v>141</v>
      </c>
      <c r="Z274" t="s">
        <v>111</v>
      </c>
      <c r="AA274" t="str">
        <f>"13210-1687"</f>
        <v>13210-1687</v>
      </c>
      <c r="AB274" t="s">
        <v>123</v>
      </c>
      <c r="AC274" t="s">
        <v>113</v>
      </c>
      <c r="AD274" t="s">
        <v>108</v>
      </c>
      <c r="AE274" t="s">
        <v>114</v>
      </c>
      <c r="AF274" t="s">
        <v>142</v>
      </c>
      <c r="AG274" t="s">
        <v>116</v>
      </c>
      <c r="AK274" t="str">
        <f t="shared" si="28"/>
        <v>COLEMAN JANICE</v>
      </c>
      <c r="AL274" t="s">
        <v>2660</v>
      </c>
      <c r="AM274" t="s">
        <v>108</v>
      </c>
      <c r="AN274" t="s">
        <v>108</v>
      </c>
      <c r="AO274" t="s">
        <v>108</v>
      </c>
      <c r="AP274" t="s">
        <v>108</v>
      </c>
      <c r="AQ274" t="s">
        <v>108</v>
      </c>
      <c r="AR274" t="s">
        <v>108</v>
      </c>
      <c r="AS274" t="s">
        <v>108</v>
      </c>
      <c r="AT274" t="s">
        <v>108</v>
      </c>
      <c r="AU274">
        <v>0</v>
      </c>
      <c r="AV274" t="s">
        <v>108</v>
      </c>
      <c r="AW274" t="s">
        <v>108</v>
      </c>
      <c r="AX274" s="24" t="str">
        <f t="shared" si="26"/>
        <v/>
      </c>
      <c r="AY274" s="24" t="str">
        <f t="shared" si="26"/>
        <v/>
      </c>
      <c r="AZ274" s="24" t="str">
        <f t="shared" si="30"/>
        <v/>
      </c>
      <c r="BA274" s="24" t="str">
        <f t="shared" si="30"/>
        <v/>
      </c>
      <c r="BB274" s="24" t="str">
        <f t="shared" si="30"/>
        <v/>
      </c>
      <c r="BC274" s="24" t="str">
        <f t="shared" si="30"/>
        <v/>
      </c>
      <c r="BD274" s="24" t="str">
        <f t="shared" si="30"/>
        <v/>
      </c>
      <c r="BE274" s="24" t="str">
        <f t="shared" si="30"/>
        <v/>
      </c>
      <c r="BF274" s="24" t="str">
        <f t="shared" si="30"/>
        <v/>
      </c>
      <c r="BG274" s="24" t="str">
        <f t="shared" si="30"/>
        <v/>
      </c>
      <c r="BH274" s="24" t="str">
        <f t="shared" si="29"/>
        <v/>
      </c>
      <c r="BI274" s="24" t="str">
        <f t="shared" si="30"/>
        <v/>
      </c>
      <c r="BJ274" s="24">
        <f t="shared" ref="BJ274:BJ337" si="31">IF(ISERROR(FIND(BJ$1,$L274,1)),"",1)</f>
        <v>1</v>
      </c>
    </row>
    <row r="275" spans="1:62" ht="15" customHeight="1" x14ac:dyDescent="0.25">
      <c r="A275" t="str">
        <f>"1205942752"</f>
        <v>1205942752</v>
      </c>
      <c r="B275" t="str">
        <f>"03911731"</f>
        <v>03911731</v>
      </c>
      <c r="C275" t="s">
        <v>4229</v>
      </c>
      <c r="D275" t="s">
        <v>4230</v>
      </c>
      <c r="E275" t="s">
        <v>4231</v>
      </c>
      <c r="G275" t="s">
        <v>4232</v>
      </c>
      <c r="H275" t="s">
        <v>4233</v>
      </c>
      <c r="J275" t="s">
        <v>4234</v>
      </c>
      <c r="L275" t="s">
        <v>809</v>
      </c>
      <c r="M275" t="s">
        <v>108</v>
      </c>
      <c r="R275" t="s">
        <v>4235</v>
      </c>
      <c r="W275" t="s">
        <v>4231</v>
      </c>
      <c r="X275" t="s">
        <v>302</v>
      </c>
      <c r="Y275" t="s">
        <v>293</v>
      </c>
      <c r="Z275" t="s">
        <v>111</v>
      </c>
      <c r="AA275" t="str">
        <f>"14850-1342"</f>
        <v>14850-1342</v>
      </c>
      <c r="AB275" t="s">
        <v>123</v>
      </c>
      <c r="AC275" t="s">
        <v>113</v>
      </c>
      <c r="AD275" t="s">
        <v>108</v>
      </c>
      <c r="AE275" t="s">
        <v>114</v>
      </c>
      <c r="AF275" t="s">
        <v>142</v>
      </c>
      <c r="AG275" t="s">
        <v>116</v>
      </c>
      <c r="AK275" t="str">
        <f t="shared" si="28"/>
        <v/>
      </c>
      <c r="AL275" t="s">
        <v>4230</v>
      </c>
      <c r="AM275">
        <v>1</v>
      </c>
      <c r="AN275">
        <v>1</v>
      </c>
      <c r="AO275">
        <v>0</v>
      </c>
      <c r="AP275">
        <v>0</v>
      </c>
      <c r="AQ275">
        <v>0</v>
      </c>
      <c r="AR275">
        <v>0</v>
      </c>
      <c r="AS275">
        <v>0</v>
      </c>
      <c r="AT275">
        <v>0</v>
      </c>
      <c r="AU275">
        <v>0</v>
      </c>
      <c r="AV275">
        <v>0</v>
      </c>
      <c r="AW275">
        <v>0</v>
      </c>
      <c r="AX275" s="24" t="str">
        <f t="shared" si="26"/>
        <v/>
      </c>
      <c r="AY275" s="24">
        <f t="shared" si="26"/>
        <v>1</v>
      </c>
      <c r="AZ275" s="24" t="str">
        <f t="shared" si="30"/>
        <v/>
      </c>
      <c r="BA275" s="24" t="str">
        <f t="shared" si="30"/>
        <v/>
      </c>
      <c r="BB275" s="24" t="str">
        <f t="shared" si="30"/>
        <v/>
      </c>
      <c r="BC275" s="24">
        <f t="shared" si="30"/>
        <v>1</v>
      </c>
      <c r="BD275" s="24" t="str">
        <f t="shared" si="30"/>
        <v/>
      </c>
      <c r="BE275" s="24" t="str">
        <f t="shared" si="30"/>
        <v/>
      </c>
      <c r="BF275" s="24" t="str">
        <f t="shared" si="30"/>
        <v/>
      </c>
      <c r="BG275" s="24" t="str">
        <f t="shared" si="30"/>
        <v/>
      </c>
      <c r="BH275" s="24" t="str">
        <f t="shared" si="29"/>
        <v/>
      </c>
      <c r="BI275" s="24" t="str">
        <f t="shared" si="30"/>
        <v/>
      </c>
      <c r="BJ275" s="24" t="str">
        <f t="shared" si="31"/>
        <v/>
      </c>
    </row>
    <row r="276" spans="1:62" ht="15" customHeight="1" x14ac:dyDescent="0.25">
      <c r="C276" t="s">
        <v>5830</v>
      </c>
      <c r="G276" t="s">
        <v>5831</v>
      </c>
      <c r="H276" t="s">
        <v>5832</v>
      </c>
      <c r="J276" t="s">
        <v>5833</v>
      </c>
      <c r="K276" t="s">
        <v>780</v>
      </c>
      <c r="L276" t="s">
        <v>781</v>
      </c>
      <c r="M276" t="s">
        <v>108</v>
      </c>
      <c r="N276" t="s">
        <v>5834</v>
      </c>
      <c r="O276" t="s">
        <v>1088</v>
      </c>
      <c r="P276" t="s">
        <v>111</v>
      </c>
      <c r="Q276" t="str">
        <f>"14850"</f>
        <v>14850</v>
      </c>
      <c r="AC276" t="s">
        <v>113</v>
      </c>
      <c r="AD276" t="s">
        <v>108</v>
      </c>
      <c r="AE276" t="s">
        <v>784</v>
      </c>
      <c r="AF276" t="s">
        <v>142</v>
      </c>
      <c r="AG276" t="s">
        <v>116</v>
      </c>
      <c r="AK276" t="str">
        <f t="shared" si="28"/>
        <v>Comfort Keepers</v>
      </c>
      <c r="AM276" t="s">
        <v>108</v>
      </c>
      <c r="AN276" t="s">
        <v>108</v>
      </c>
      <c r="AO276" t="s">
        <v>108</v>
      </c>
      <c r="AP276" t="s">
        <v>108</v>
      </c>
      <c r="AQ276" t="s">
        <v>108</v>
      </c>
      <c r="AR276" t="s">
        <v>108</v>
      </c>
      <c r="AS276" t="s">
        <v>108</v>
      </c>
      <c r="AT276" t="s">
        <v>108</v>
      </c>
      <c r="AU276">
        <v>0</v>
      </c>
      <c r="AV276" t="s">
        <v>108</v>
      </c>
      <c r="AW276" t="s">
        <v>108</v>
      </c>
      <c r="AX276" s="24" t="str">
        <f t="shared" si="26"/>
        <v/>
      </c>
      <c r="AY276" s="24" t="str">
        <f t="shared" si="26"/>
        <v/>
      </c>
      <c r="AZ276" s="24" t="str">
        <f t="shared" si="30"/>
        <v/>
      </c>
      <c r="BA276" s="24" t="str">
        <f t="shared" si="30"/>
        <v/>
      </c>
      <c r="BB276" s="24" t="str">
        <f t="shared" si="30"/>
        <v/>
      </c>
      <c r="BC276" s="24" t="str">
        <f t="shared" si="30"/>
        <v/>
      </c>
      <c r="BD276" s="24" t="str">
        <f t="shared" si="30"/>
        <v/>
      </c>
      <c r="BE276" s="24" t="str">
        <f t="shared" si="30"/>
        <v/>
      </c>
      <c r="BF276" s="24" t="str">
        <f t="shared" si="30"/>
        <v/>
      </c>
      <c r="BG276" s="24" t="str">
        <f t="shared" si="30"/>
        <v/>
      </c>
      <c r="BH276" s="24">
        <f t="shared" si="29"/>
        <v>1</v>
      </c>
      <c r="BI276" s="24" t="str">
        <f t="shared" si="30"/>
        <v/>
      </c>
      <c r="BJ276" s="24" t="str">
        <f t="shared" si="31"/>
        <v/>
      </c>
    </row>
    <row r="277" spans="1:62" ht="15" customHeight="1" x14ac:dyDescent="0.25">
      <c r="C277" t="s">
        <v>5776</v>
      </c>
      <c r="G277" t="s">
        <v>5777</v>
      </c>
      <c r="H277" t="s">
        <v>5778</v>
      </c>
      <c r="J277" t="s">
        <v>5779</v>
      </c>
      <c r="K277" t="s">
        <v>5780</v>
      </c>
      <c r="L277" t="s">
        <v>781</v>
      </c>
      <c r="M277" t="s">
        <v>108</v>
      </c>
      <c r="N277" t="s">
        <v>5781</v>
      </c>
      <c r="O277" t="s">
        <v>5782</v>
      </c>
      <c r="P277" t="s">
        <v>111</v>
      </c>
      <c r="Q277" t="str">
        <f>"13812"</f>
        <v>13812</v>
      </c>
      <c r="AC277" t="s">
        <v>113</v>
      </c>
      <c r="AD277" t="s">
        <v>108</v>
      </c>
      <c r="AE277" t="s">
        <v>784</v>
      </c>
      <c r="AF277" t="s">
        <v>115</v>
      </c>
      <c r="AG277" t="s">
        <v>116</v>
      </c>
      <c r="AK277" t="str">
        <f t="shared" si="28"/>
        <v/>
      </c>
      <c r="AL277" t="s">
        <v>5776</v>
      </c>
      <c r="AM277">
        <v>1</v>
      </c>
      <c r="AN277">
        <v>1</v>
      </c>
      <c r="AO277" t="s">
        <v>108</v>
      </c>
      <c r="AP277">
        <v>1</v>
      </c>
      <c r="AQ277" t="s">
        <v>108</v>
      </c>
      <c r="AR277" t="s">
        <v>108</v>
      </c>
      <c r="AS277" t="s">
        <v>108</v>
      </c>
      <c r="AT277" t="s">
        <v>108</v>
      </c>
      <c r="AU277">
        <v>0</v>
      </c>
      <c r="AV277" t="s">
        <v>108</v>
      </c>
      <c r="AW277" t="s">
        <v>108</v>
      </c>
      <c r="AX277" s="24" t="str">
        <f t="shared" si="26"/>
        <v/>
      </c>
      <c r="AY277" s="24" t="str">
        <f t="shared" si="26"/>
        <v/>
      </c>
      <c r="AZ277" s="24" t="str">
        <f t="shared" si="30"/>
        <v/>
      </c>
      <c r="BA277" s="24" t="str">
        <f t="shared" si="30"/>
        <v/>
      </c>
      <c r="BB277" s="24" t="str">
        <f t="shared" si="30"/>
        <v/>
      </c>
      <c r="BC277" s="24" t="str">
        <f t="shared" si="30"/>
        <v/>
      </c>
      <c r="BD277" s="24" t="str">
        <f t="shared" si="30"/>
        <v/>
      </c>
      <c r="BE277" s="24" t="str">
        <f t="shared" si="30"/>
        <v/>
      </c>
      <c r="BF277" s="24" t="str">
        <f t="shared" si="30"/>
        <v/>
      </c>
      <c r="BG277" s="24" t="str">
        <f t="shared" si="30"/>
        <v/>
      </c>
      <c r="BH277" s="24">
        <f t="shared" si="29"/>
        <v>1</v>
      </c>
      <c r="BI277" s="24" t="str">
        <f t="shared" si="30"/>
        <v/>
      </c>
      <c r="BJ277" s="24" t="str">
        <f t="shared" si="31"/>
        <v/>
      </c>
    </row>
    <row r="278" spans="1:62" ht="15" customHeight="1" x14ac:dyDescent="0.25">
      <c r="A278" t="str">
        <f>"1861606485"</f>
        <v>1861606485</v>
      </c>
      <c r="B278" t="str">
        <f>"02392863"</f>
        <v>02392863</v>
      </c>
      <c r="C278" t="s">
        <v>6294</v>
      </c>
      <c r="D278" t="s">
        <v>6295</v>
      </c>
      <c r="E278" t="s">
        <v>6296</v>
      </c>
      <c r="G278" t="s">
        <v>4767</v>
      </c>
      <c r="H278" t="s">
        <v>4768</v>
      </c>
      <c r="J278" t="s">
        <v>4769</v>
      </c>
      <c r="L278" t="s">
        <v>68</v>
      </c>
      <c r="M278" t="s">
        <v>108</v>
      </c>
      <c r="R278" t="s">
        <v>6294</v>
      </c>
      <c r="W278" t="s">
        <v>6297</v>
      </c>
      <c r="X278" t="s">
        <v>6298</v>
      </c>
      <c r="Y278" t="s">
        <v>293</v>
      </c>
      <c r="Z278" t="s">
        <v>111</v>
      </c>
      <c r="AA278" t="str">
        <f>"14850-5124"</f>
        <v>14850-5124</v>
      </c>
      <c r="AB278" t="s">
        <v>2027</v>
      </c>
      <c r="AC278" t="s">
        <v>113</v>
      </c>
      <c r="AD278" t="s">
        <v>108</v>
      </c>
      <c r="AE278" t="s">
        <v>114</v>
      </c>
      <c r="AF278" t="s">
        <v>142</v>
      </c>
      <c r="AG278" t="s">
        <v>116</v>
      </c>
      <c r="AK278" t="str">
        <f t="shared" si="28"/>
        <v>COMMUNITY HEALTH AND HOME CARE, INC.</v>
      </c>
      <c r="AL278" t="s">
        <v>6295</v>
      </c>
      <c r="AM278" t="s">
        <v>108</v>
      </c>
      <c r="AN278" t="s">
        <v>108</v>
      </c>
      <c r="AO278" t="s">
        <v>108</v>
      </c>
      <c r="AP278" t="s">
        <v>108</v>
      </c>
      <c r="AQ278" t="s">
        <v>108</v>
      </c>
      <c r="AR278" t="s">
        <v>108</v>
      </c>
      <c r="AS278" t="s">
        <v>108</v>
      </c>
      <c r="AT278" t="s">
        <v>108</v>
      </c>
      <c r="AU278">
        <v>0</v>
      </c>
      <c r="AV278" t="s">
        <v>108</v>
      </c>
      <c r="AW278" t="s">
        <v>108</v>
      </c>
      <c r="AX278" s="24" t="str">
        <f t="shared" si="26"/>
        <v/>
      </c>
      <c r="AY278" s="24" t="str">
        <f t="shared" si="26"/>
        <v/>
      </c>
      <c r="AZ278" s="24" t="str">
        <f t="shared" si="30"/>
        <v/>
      </c>
      <c r="BA278" s="24" t="str">
        <f t="shared" si="30"/>
        <v/>
      </c>
      <c r="BB278" s="24" t="str">
        <f t="shared" si="30"/>
        <v/>
      </c>
      <c r="BC278" s="24" t="str">
        <f t="shared" si="30"/>
        <v/>
      </c>
      <c r="BD278" s="24" t="str">
        <f t="shared" si="30"/>
        <v/>
      </c>
      <c r="BE278" s="24" t="str">
        <f t="shared" si="30"/>
        <v/>
      </c>
      <c r="BF278" s="24" t="str">
        <f t="shared" si="30"/>
        <v/>
      </c>
      <c r="BG278" s="24" t="str">
        <f t="shared" si="30"/>
        <v/>
      </c>
      <c r="BH278" s="24" t="str">
        <f t="shared" si="29"/>
        <v/>
      </c>
      <c r="BI278" s="24">
        <f t="shared" si="30"/>
        <v>1</v>
      </c>
      <c r="BJ278" s="24" t="str">
        <f t="shared" si="31"/>
        <v/>
      </c>
    </row>
    <row r="279" spans="1:62" ht="15" customHeight="1" x14ac:dyDescent="0.25">
      <c r="C279" t="s">
        <v>4948</v>
      </c>
      <c r="G279" t="s">
        <v>4949</v>
      </c>
      <c r="H279" t="s">
        <v>4950</v>
      </c>
      <c r="J279" t="s">
        <v>4951</v>
      </c>
      <c r="K279" t="s">
        <v>1289</v>
      </c>
      <c r="L279" t="s">
        <v>781</v>
      </c>
      <c r="M279" t="s">
        <v>108</v>
      </c>
      <c r="N279" t="s">
        <v>4952</v>
      </c>
      <c r="O279" t="s">
        <v>783</v>
      </c>
      <c r="P279" t="s">
        <v>111</v>
      </c>
      <c r="Q279" t="str">
        <f>"14901"</f>
        <v>14901</v>
      </c>
      <c r="AC279" t="s">
        <v>113</v>
      </c>
      <c r="AD279" t="s">
        <v>108</v>
      </c>
      <c r="AE279" t="s">
        <v>784</v>
      </c>
      <c r="AF279" t="s">
        <v>149</v>
      </c>
      <c r="AG279" t="s">
        <v>116</v>
      </c>
      <c r="AK279" t="str">
        <f t="shared" si="28"/>
        <v>Compeer Chemung</v>
      </c>
      <c r="AM279" t="s">
        <v>108</v>
      </c>
      <c r="AN279" t="s">
        <v>108</v>
      </c>
      <c r="AO279" t="s">
        <v>108</v>
      </c>
      <c r="AP279" t="s">
        <v>108</v>
      </c>
      <c r="AQ279" t="s">
        <v>108</v>
      </c>
      <c r="AR279" t="s">
        <v>108</v>
      </c>
      <c r="AS279" t="s">
        <v>108</v>
      </c>
      <c r="AT279" t="s">
        <v>108</v>
      </c>
      <c r="AU279">
        <v>0</v>
      </c>
      <c r="AV279" t="s">
        <v>108</v>
      </c>
      <c r="AW279" t="s">
        <v>108</v>
      </c>
      <c r="AX279" s="24" t="str">
        <f t="shared" si="26"/>
        <v/>
      </c>
      <c r="AY279" s="24" t="str">
        <f t="shared" si="26"/>
        <v/>
      </c>
      <c r="AZ279" s="24" t="str">
        <f t="shared" si="30"/>
        <v/>
      </c>
      <c r="BA279" s="24" t="str">
        <f t="shared" si="30"/>
        <v/>
      </c>
      <c r="BB279" s="24" t="str">
        <f t="shared" si="30"/>
        <v/>
      </c>
      <c r="BC279" s="24" t="str">
        <f t="shared" si="30"/>
        <v/>
      </c>
      <c r="BD279" s="24" t="str">
        <f t="shared" si="30"/>
        <v/>
      </c>
      <c r="BE279" s="24" t="str">
        <f t="shared" si="30"/>
        <v/>
      </c>
      <c r="BF279" s="24" t="str">
        <f t="shared" si="30"/>
        <v/>
      </c>
      <c r="BG279" s="24" t="str">
        <f t="shared" si="30"/>
        <v/>
      </c>
      <c r="BH279" s="24">
        <f t="shared" si="29"/>
        <v>1</v>
      </c>
      <c r="BI279" s="24" t="str">
        <f t="shared" si="30"/>
        <v/>
      </c>
      <c r="BJ279" s="24" t="str">
        <f t="shared" si="31"/>
        <v/>
      </c>
    </row>
    <row r="280" spans="1:62" ht="15" customHeight="1" x14ac:dyDescent="0.25">
      <c r="C280" t="s">
        <v>4943</v>
      </c>
      <c r="G280" t="s">
        <v>4944</v>
      </c>
      <c r="H280" t="s">
        <v>4945</v>
      </c>
      <c r="I280">
        <v>307</v>
      </c>
      <c r="J280" t="s">
        <v>4946</v>
      </c>
      <c r="K280" t="s">
        <v>1289</v>
      </c>
      <c r="L280" t="s">
        <v>781</v>
      </c>
      <c r="M280" t="s">
        <v>108</v>
      </c>
      <c r="N280" t="s">
        <v>4947</v>
      </c>
      <c r="O280" t="s">
        <v>1096</v>
      </c>
      <c r="P280" t="s">
        <v>111</v>
      </c>
      <c r="Q280" t="str">
        <f>"13901"</f>
        <v>13901</v>
      </c>
      <c r="AC280" t="s">
        <v>113</v>
      </c>
      <c r="AD280" t="s">
        <v>108</v>
      </c>
      <c r="AE280" t="s">
        <v>784</v>
      </c>
      <c r="AF280" t="s">
        <v>115</v>
      </c>
      <c r="AG280" t="s">
        <v>116</v>
      </c>
      <c r="AK280" t="str">
        <f t="shared" si="28"/>
        <v>Compeer of the Southern Tier</v>
      </c>
      <c r="AM280" t="s">
        <v>108</v>
      </c>
      <c r="AN280" t="s">
        <v>108</v>
      </c>
      <c r="AO280" t="s">
        <v>108</v>
      </c>
      <c r="AP280" t="s">
        <v>108</v>
      </c>
      <c r="AQ280" t="s">
        <v>108</v>
      </c>
      <c r="AR280" t="s">
        <v>108</v>
      </c>
      <c r="AS280" t="s">
        <v>108</v>
      </c>
      <c r="AT280" t="s">
        <v>108</v>
      </c>
      <c r="AU280">
        <v>0</v>
      </c>
      <c r="AV280" t="s">
        <v>108</v>
      </c>
      <c r="AW280" t="s">
        <v>108</v>
      </c>
      <c r="AX280" s="24" t="str">
        <f t="shared" si="26"/>
        <v/>
      </c>
      <c r="AY280" s="24" t="str">
        <f t="shared" si="26"/>
        <v/>
      </c>
      <c r="AZ280" s="24" t="str">
        <f t="shared" si="30"/>
        <v/>
      </c>
      <c r="BA280" s="24" t="str">
        <f t="shared" si="30"/>
        <v/>
      </c>
      <c r="BB280" s="24" t="str">
        <f t="shared" si="30"/>
        <v/>
      </c>
      <c r="BC280" s="24" t="str">
        <f t="shared" si="30"/>
        <v/>
      </c>
      <c r="BD280" s="24" t="str">
        <f t="shared" si="30"/>
        <v/>
      </c>
      <c r="BE280" s="24" t="str">
        <f t="shared" si="30"/>
        <v/>
      </c>
      <c r="BF280" s="24" t="str">
        <f t="shared" si="30"/>
        <v/>
      </c>
      <c r="BG280" s="24" t="str">
        <f t="shared" si="30"/>
        <v/>
      </c>
      <c r="BH280" s="24">
        <f t="shared" si="29"/>
        <v>1</v>
      </c>
      <c r="BI280" s="24" t="str">
        <f t="shared" si="30"/>
        <v/>
      </c>
      <c r="BJ280" s="24" t="str">
        <f t="shared" si="31"/>
        <v/>
      </c>
    </row>
    <row r="281" spans="1:62" ht="15" customHeight="1" x14ac:dyDescent="0.25">
      <c r="C281" t="s">
        <v>4953</v>
      </c>
      <c r="G281" t="s">
        <v>4954</v>
      </c>
      <c r="H281" t="s">
        <v>4955</v>
      </c>
      <c r="J281" t="s">
        <v>4956</v>
      </c>
      <c r="K281" t="s">
        <v>1289</v>
      </c>
      <c r="L281" t="s">
        <v>781</v>
      </c>
      <c r="M281" t="s">
        <v>108</v>
      </c>
      <c r="N281" t="s">
        <v>4957</v>
      </c>
      <c r="O281" t="s">
        <v>1599</v>
      </c>
      <c r="P281" t="s">
        <v>111</v>
      </c>
      <c r="Q281" t="str">
        <f>"14830"</f>
        <v>14830</v>
      </c>
      <c r="AC281" t="s">
        <v>113</v>
      </c>
      <c r="AD281" t="s">
        <v>108</v>
      </c>
      <c r="AE281" t="s">
        <v>784</v>
      </c>
      <c r="AF281" t="s">
        <v>149</v>
      </c>
      <c r="AG281" t="s">
        <v>116</v>
      </c>
      <c r="AK281" t="str">
        <f t="shared" si="28"/>
        <v>Compeer Steuben</v>
      </c>
      <c r="AM281" t="s">
        <v>108</v>
      </c>
      <c r="AN281" t="s">
        <v>108</v>
      </c>
      <c r="AO281" t="s">
        <v>108</v>
      </c>
      <c r="AP281" t="s">
        <v>108</v>
      </c>
      <c r="AQ281" t="s">
        <v>108</v>
      </c>
      <c r="AR281" t="s">
        <v>108</v>
      </c>
      <c r="AS281" t="s">
        <v>108</v>
      </c>
      <c r="AT281" t="s">
        <v>108</v>
      </c>
      <c r="AU281">
        <v>0</v>
      </c>
      <c r="AV281" t="s">
        <v>108</v>
      </c>
      <c r="AW281" t="s">
        <v>108</v>
      </c>
      <c r="AX281" s="24" t="str">
        <f t="shared" si="26"/>
        <v/>
      </c>
      <c r="AY281" s="24" t="str">
        <f t="shared" si="26"/>
        <v/>
      </c>
      <c r="AZ281" s="24" t="str">
        <f t="shared" si="30"/>
        <v/>
      </c>
      <c r="BA281" s="24" t="str">
        <f t="shared" si="30"/>
        <v/>
      </c>
      <c r="BB281" s="24" t="str">
        <f t="shared" si="30"/>
        <v/>
      </c>
      <c r="BC281" s="24" t="str">
        <f t="shared" si="30"/>
        <v/>
      </c>
      <c r="BD281" s="24" t="str">
        <f t="shared" si="30"/>
        <v/>
      </c>
      <c r="BE281" s="24" t="str">
        <f t="shared" si="30"/>
        <v/>
      </c>
      <c r="BF281" s="24" t="str">
        <f t="shared" si="30"/>
        <v/>
      </c>
      <c r="BG281" s="24" t="str">
        <f t="shared" si="30"/>
        <v/>
      </c>
      <c r="BH281" s="24">
        <f t="shared" si="29"/>
        <v>1</v>
      </c>
      <c r="BI281" s="24" t="str">
        <f t="shared" si="30"/>
        <v/>
      </c>
      <c r="BJ281" s="24" t="str">
        <f t="shared" si="31"/>
        <v/>
      </c>
    </row>
    <row r="282" spans="1:62" ht="15" customHeight="1" x14ac:dyDescent="0.25">
      <c r="C282" t="s">
        <v>4938</v>
      </c>
      <c r="G282" t="s">
        <v>4939</v>
      </c>
      <c r="H282" t="s">
        <v>4940</v>
      </c>
      <c r="J282" t="s">
        <v>4941</v>
      </c>
      <c r="K282" t="s">
        <v>1289</v>
      </c>
      <c r="L282" t="s">
        <v>781</v>
      </c>
      <c r="M282" t="s">
        <v>108</v>
      </c>
      <c r="N282" t="s">
        <v>4942</v>
      </c>
      <c r="O282" t="s">
        <v>2859</v>
      </c>
      <c r="P282" t="s">
        <v>111</v>
      </c>
      <c r="Q282" t="str">
        <f>"14620"</f>
        <v>14620</v>
      </c>
      <c r="AC282" t="s">
        <v>113</v>
      </c>
      <c r="AD282" t="s">
        <v>108</v>
      </c>
      <c r="AE282" t="s">
        <v>784</v>
      </c>
      <c r="AF282" t="s">
        <v>115</v>
      </c>
      <c r="AG282" t="s">
        <v>116</v>
      </c>
      <c r="AK282" t="str">
        <f t="shared" si="28"/>
        <v>Compeer, Inc.</v>
      </c>
      <c r="AM282" t="s">
        <v>108</v>
      </c>
      <c r="AN282" t="s">
        <v>108</v>
      </c>
      <c r="AO282" t="s">
        <v>108</v>
      </c>
      <c r="AP282" t="s">
        <v>108</v>
      </c>
      <c r="AQ282" t="s">
        <v>108</v>
      </c>
      <c r="AR282" t="s">
        <v>108</v>
      </c>
      <c r="AS282" t="s">
        <v>108</v>
      </c>
      <c r="AT282" t="s">
        <v>108</v>
      </c>
      <c r="AU282">
        <v>0</v>
      </c>
      <c r="AV282" t="s">
        <v>108</v>
      </c>
      <c r="AW282" t="s">
        <v>108</v>
      </c>
      <c r="AX282" s="24" t="str">
        <f t="shared" si="26"/>
        <v/>
      </c>
      <c r="AY282" s="24" t="str">
        <f t="shared" si="26"/>
        <v/>
      </c>
      <c r="AZ282" s="24" t="str">
        <f t="shared" si="30"/>
        <v/>
      </c>
      <c r="BA282" s="24" t="str">
        <f t="shared" si="30"/>
        <v/>
      </c>
      <c r="BB282" s="24" t="str">
        <f t="shared" si="30"/>
        <v/>
      </c>
      <c r="BC282" s="24" t="str">
        <f t="shared" si="30"/>
        <v/>
      </c>
      <c r="BD282" s="24" t="str">
        <f t="shared" si="30"/>
        <v/>
      </c>
      <c r="BE282" s="24" t="str">
        <f t="shared" si="30"/>
        <v/>
      </c>
      <c r="BF282" s="24" t="str">
        <f t="shared" si="30"/>
        <v/>
      </c>
      <c r="BG282" s="24" t="str">
        <f t="shared" si="30"/>
        <v/>
      </c>
      <c r="BH282" s="24">
        <f t="shared" si="29"/>
        <v>1</v>
      </c>
      <c r="BI282" s="24" t="str">
        <f t="shared" si="30"/>
        <v/>
      </c>
      <c r="BJ282" s="24" t="str">
        <f t="shared" si="31"/>
        <v/>
      </c>
    </row>
    <row r="283" spans="1:62" ht="15" customHeight="1" x14ac:dyDescent="0.25">
      <c r="A283" t="str">
        <f>"1265661490"</f>
        <v>1265661490</v>
      </c>
      <c r="B283" t="str">
        <f>"03126056"</f>
        <v>03126056</v>
      </c>
      <c r="C283" t="s">
        <v>4113</v>
      </c>
      <c r="D283" t="s">
        <v>4114</v>
      </c>
      <c r="E283" t="s">
        <v>4115</v>
      </c>
      <c r="L283" t="s">
        <v>6867</v>
      </c>
      <c r="M283" t="s">
        <v>108</v>
      </c>
      <c r="R283" t="s">
        <v>4113</v>
      </c>
      <c r="W283" t="s">
        <v>4116</v>
      </c>
      <c r="X283" t="s">
        <v>1237</v>
      </c>
      <c r="Y283" t="s">
        <v>129</v>
      </c>
      <c r="Z283" t="s">
        <v>111</v>
      </c>
      <c r="AA283" t="str">
        <f>"13790-2102"</f>
        <v>13790-2102</v>
      </c>
      <c r="AB283" t="s">
        <v>123</v>
      </c>
      <c r="AC283" t="s">
        <v>113</v>
      </c>
      <c r="AD283" t="s">
        <v>108</v>
      </c>
      <c r="AE283" t="s">
        <v>114</v>
      </c>
      <c r="AF283" t="s">
        <v>115</v>
      </c>
      <c r="AG283" t="s">
        <v>116</v>
      </c>
      <c r="AK283" t="str">
        <f t="shared" si="28"/>
        <v/>
      </c>
      <c r="AL283" t="s">
        <v>4114</v>
      </c>
      <c r="AM283">
        <v>0</v>
      </c>
      <c r="AN283">
        <v>0</v>
      </c>
      <c r="AO283">
        <v>0</v>
      </c>
      <c r="AP283">
        <v>0</v>
      </c>
      <c r="AQ283">
        <v>0</v>
      </c>
      <c r="AR283">
        <v>0</v>
      </c>
      <c r="AS283">
        <v>0</v>
      </c>
      <c r="AT283">
        <v>0</v>
      </c>
      <c r="AU283">
        <v>0</v>
      </c>
      <c r="AV283">
        <v>0</v>
      </c>
      <c r="AW283">
        <v>0</v>
      </c>
      <c r="AX283" s="24">
        <f t="shared" si="26"/>
        <v>1</v>
      </c>
      <c r="AY283" s="24">
        <f t="shared" si="26"/>
        <v>1</v>
      </c>
      <c r="AZ283" s="24" t="str">
        <f t="shared" si="30"/>
        <v/>
      </c>
      <c r="BA283" s="24" t="str">
        <f t="shared" si="30"/>
        <v/>
      </c>
      <c r="BB283" s="24" t="str">
        <f t="shared" si="30"/>
        <v/>
      </c>
      <c r="BC283" s="24" t="str">
        <f t="shared" si="30"/>
        <v/>
      </c>
      <c r="BD283" s="24" t="str">
        <f t="shared" si="30"/>
        <v/>
      </c>
      <c r="BE283" s="24" t="str">
        <f t="shared" si="30"/>
        <v/>
      </c>
      <c r="BF283" s="24" t="str">
        <f t="shared" si="30"/>
        <v/>
      </c>
      <c r="BG283" s="24" t="str">
        <f t="shared" si="30"/>
        <v/>
      </c>
      <c r="BH283" s="24" t="str">
        <f t="shared" si="29"/>
        <v/>
      </c>
      <c r="BI283" s="24">
        <f t="shared" si="30"/>
        <v>1</v>
      </c>
      <c r="BJ283" s="24" t="str">
        <f t="shared" si="31"/>
        <v/>
      </c>
    </row>
    <row r="284" spans="1:62" ht="15" customHeight="1" x14ac:dyDescent="0.25">
      <c r="A284" t="str">
        <f>"1538180351"</f>
        <v>1538180351</v>
      </c>
      <c r="B284" t="str">
        <f>"03008293"</f>
        <v>03008293</v>
      </c>
      <c r="C284" t="s">
        <v>5715</v>
      </c>
      <c r="D284" t="s">
        <v>5716</v>
      </c>
      <c r="E284" t="s">
        <v>5717</v>
      </c>
      <c r="G284" t="s">
        <v>5718</v>
      </c>
      <c r="H284" t="s">
        <v>5719</v>
      </c>
      <c r="J284" t="s">
        <v>5720</v>
      </c>
      <c r="L284" t="s">
        <v>289</v>
      </c>
      <c r="M284" t="s">
        <v>139</v>
      </c>
      <c r="R284" t="s">
        <v>5715</v>
      </c>
      <c r="W284" t="s">
        <v>5717</v>
      </c>
      <c r="X284" t="s">
        <v>5721</v>
      </c>
      <c r="Y284" t="s">
        <v>5722</v>
      </c>
      <c r="Z284" t="s">
        <v>111</v>
      </c>
      <c r="AA284" t="str">
        <f>"12302-4523"</f>
        <v>12302-4523</v>
      </c>
      <c r="AB284" t="s">
        <v>303</v>
      </c>
      <c r="AC284" t="s">
        <v>113</v>
      </c>
      <c r="AD284" t="s">
        <v>108</v>
      </c>
      <c r="AE284" t="s">
        <v>114</v>
      </c>
      <c r="AF284" t="s">
        <v>142</v>
      </c>
      <c r="AG284" t="s">
        <v>116</v>
      </c>
      <c r="AK284" t="str">
        <f t="shared" si="28"/>
        <v/>
      </c>
      <c r="AL284" t="s">
        <v>5716</v>
      </c>
      <c r="AM284">
        <v>0</v>
      </c>
      <c r="AN284">
        <v>0</v>
      </c>
      <c r="AO284">
        <v>0</v>
      </c>
      <c r="AP284">
        <v>0</v>
      </c>
      <c r="AQ284">
        <v>0</v>
      </c>
      <c r="AR284">
        <v>0</v>
      </c>
      <c r="AS284">
        <v>0</v>
      </c>
      <c r="AT284">
        <v>0</v>
      </c>
      <c r="AU284">
        <v>0</v>
      </c>
      <c r="AV284">
        <v>0</v>
      </c>
      <c r="AW284">
        <v>0</v>
      </c>
      <c r="AX284" s="24" t="str">
        <f t="shared" si="26"/>
        <v/>
      </c>
      <c r="AY284" s="24" t="str">
        <f t="shared" si="26"/>
        <v/>
      </c>
      <c r="AZ284" s="24" t="str">
        <f t="shared" si="30"/>
        <v/>
      </c>
      <c r="BA284" s="24" t="str">
        <f t="shared" si="30"/>
        <v/>
      </c>
      <c r="BB284" s="24" t="str">
        <f t="shared" si="30"/>
        <v/>
      </c>
      <c r="BC284" s="24" t="str">
        <f t="shared" si="30"/>
        <v/>
      </c>
      <c r="BD284" s="24">
        <f t="shared" si="30"/>
        <v>1</v>
      </c>
      <c r="BE284" s="24" t="str">
        <f t="shared" si="30"/>
        <v/>
      </c>
      <c r="BF284" s="24" t="str">
        <f t="shared" si="30"/>
        <v/>
      </c>
      <c r="BG284" s="24" t="str">
        <f t="shared" si="30"/>
        <v/>
      </c>
      <c r="BH284" s="24" t="str">
        <f t="shared" si="29"/>
        <v/>
      </c>
      <c r="BI284" s="24">
        <f t="shared" si="30"/>
        <v>1</v>
      </c>
      <c r="BJ284" s="24" t="str">
        <f t="shared" si="31"/>
        <v/>
      </c>
    </row>
    <row r="285" spans="1:62" ht="15" customHeight="1" x14ac:dyDescent="0.25">
      <c r="A285" t="str">
        <f>"1811984479"</f>
        <v>1811984479</v>
      </c>
      <c r="B285" t="str">
        <f>"02498933"</f>
        <v>02498933</v>
      </c>
      <c r="C285" t="s">
        <v>3450</v>
      </c>
      <c r="D285" t="s">
        <v>3451</v>
      </c>
      <c r="E285" t="s">
        <v>3452</v>
      </c>
      <c r="G285" t="s">
        <v>6330</v>
      </c>
      <c r="H285" t="s">
        <v>6331</v>
      </c>
      <c r="J285" t="s">
        <v>6332</v>
      </c>
      <c r="L285" t="s">
        <v>6867</v>
      </c>
      <c r="M285" t="s">
        <v>108</v>
      </c>
      <c r="R285" t="s">
        <v>3450</v>
      </c>
      <c r="W285" t="s">
        <v>3452</v>
      </c>
      <c r="X285" t="s">
        <v>881</v>
      </c>
      <c r="Y285" t="s">
        <v>321</v>
      </c>
      <c r="Z285" t="s">
        <v>111</v>
      </c>
      <c r="AA285" t="str">
        <f>"13760-5430"</f>
        <v>13760-5430</v>
      </c>
      <c r="AB285" t="s">
        <v>123</v>
      </c>
      <c r="AC285" t="s">
        <v>113</v>
      </c>
      <c r="AD285" t="s">
        <v>108</v>
      </c>
      <c r="AE285" t="s">
        <v>114</v>
      </c>
      <c r="AF285" t="s">
        <v>115</v>
      </c>
      <c r="AG285" t="s">
        <v>116</v>
      </c>
      <c r="AK285" t="str">
        <f t="shared" si="28"/>
        <v/>
      </c>
      <c r="AL285" t="s">
        <v>3451</v>
      </c>
      <c r="AM285">
        <v>1</v>
      </c>
      <c r="AN285">
        <v>1</v>
      </c>
      <c r="AO285">
        <v>0</v>
      </c>
      <c r="AP285">
        <v>1</v>
      </c>
      <c r="AQ285">
        <v>1</v>
      </c>
      <c r="AR285">
        <v>0</v>
      </c>
      <c r="AS285">
        <v>0</v>
      </c>
      <c r="AT285">
        <v>0</v>
      </c>
      <c r="AU285">
        <v>0</v>
      </c>
      <c r="AV285">
        <v>0</v>
      </c>
      <c r="AW285">
        <v>0</v>
      </c>
      <c r="AX285" s="24">
        <f t="shared" si="26"/>
        <v>1</v>
      </c>
      <c r="AY285" s="24">
        <f t="shared" si="26"/>
        <v>1</v>
      </c>
      <c r="AZ285" s="24" t="str">
        <f t="shared" si="30"/>
        <v/>
      </c>
      <c r="BA285" s="24" t="str">
        <f t="shared" si="30"/>
        <v/>
      </c>
      <c r="BB285" s="24" t="str">
        <f t="shared" si="30"/>
        <v/>
      </c>
      <c r="BC285" s="24" t="str">
        <f t="shared" si="30"/>
        <v/>
      </c>
      <c r="BD285" s="24" t="str">
        <f t="shared" si="30"/>
        <v/>
      </c>
      <c r="BE285" s="24" t="str">
        <f t="shared" si="30"/>
        <v/>
      </c>
      <c r="BF285" s="24" t="str">
        <f t="shared" si="30"/>
        <v/>
      </c>
      <c r="BG285" s="24" t="str">
        <f t="shared" si="30"/>
        <v/>
      </c>
      <c r="BH285" s="24" t="str">
        <f t="shared" si="29"/>
        <v/>
      </c>
      <c r="BI285" s="24">
        <f t="shared" si="30"/>
        <v>1</v>
      </c>
      <c r="BJ285" s="24" t="str">
        <f t="shared" si="31"/>
        <v/>
      </c>
    </row>
    <row r="286" spans="1:62" ht="15" customHeight="1" x14ac:dyDescent="0.25">
      <c r="A286" t="str">
        <f>"1578559191"</f>
        <v>1578559191</v>
      </c>
      <c r="B286" t="str">
        <f>"00580754"</f>
        <v>00580754</v>
      </c>
      <c r="C286" t="s">
        <v>1562</v>
      </c>
      <c r="D286" t="s">
        <v>1563</v>
      </c>
      <c r="E286" t="s">
        <v>1564</v>
      </c>
      <c r="L286" t="s">
        <v>120</v>
      </c>
      <c r="M286" t="s">
        <v>108</v>
      </c>
      <c r="R286" t="s">
        <v>1562</v>
      </c>
      <c r="W286" t="s">
        <v>1565</v>
      </c>
      <c r="X286" t="s">
        <v>128</v>
      </c>
      <c r="Y286" t="s">
        <v>129</v>
      </c>
      <c r="Z286" t="s">
        <v>111</v>
      </c>
      <c r="AA286" t="str">
        <f>"13790-2597"</f>
        <v>13790-2597</v>
      </c>
      <c r="AB286" t="s">
        <v>123</v>
      </c>
      <c r="AC286" t="s">
        <v>113</v>
      </c>
      <c r="AD286" t="s">
        <v>108</v>
      </c>
      <c r="AE286" t="s">
        <v>114</v>
      </c>
      <c r="AF286" t="s">
        <v>115</v>
      </c>
      <c r="AG286" t="s">
        <v>116</v>
      </c>
      <c r="AK286" t="str">
        <f t="shared" si="28"/>
        <v/>
      </c>
      <c r="AL286" t="s">
        <v>1563</v>
      </c>
      <c r="AM286">
        <v>0</v>
      </c>
      <c r="AN286">
        <v>0</v>
      </c>
      <c r="AO286">
        <v>0</v>
      </c>
      <c r="AP286">
        <v>0</v>
      </c>
      <c r="AQ286">
        <v>0</v>
      </c>
      <c r="AR286">
        <v>0</v>
      </c>
      <c r="AS286">
        <v>0</v>
      </c>
      <c r="AT286">
        <v>0</v>
      </c>
      <c r="AU286">
        <v>0</v>
      </c>
      <c r="AV286">
        <v>0</v>
      </c>
      <c r="AW286">
        <v>0</v>
      </c>
      <c r="AX286" s="24">
        <f t="shared" si="26"/>
        <v>1</v>
      </c>
      <c r="AY286" s="24" t="str">
        <f t="shared" si="26"/>
        <v/>
      </c>
      <c r="AZ286" s="24" t="str">
        <f t="shared" si="30"/>
        <v/>
      </c>
      <c r="BA286" s="24" t="str">
        <f t="shared" si="30"/>
        <v/>
      </c>
      <c r="BB286" s="24" t="str">
        <f t="shared" si="30"/>
        <v/>
      </c>
      <c r="BC286" s="24" t="str">
        <f t="shared" si="30"/>
        <v/>
      </c>
      <c r="BD286" s="24" t="str">
        <f t="shared" si="30"/>
        <v/>
      </c>
      <c r="BE286" s="24" t="str">
        <f t="shared" si="30"/>
        <v/>
      </c>
      <c r="BF286" s="24" t="str">
        <f t="shared" si="30"/>
        <v/>
      </c>
      <c r="BG286" s="24" t="str">
        <f t="shared" si="30"/>
        <v/>
      </c>
      <c r="BH286" s="24" t="str">
        <f t="shared" si="29"/>
        <v/>
      </c>
      <c r="BI286" s="24">
        <f t="shared" si="30"/>
        <v>1</v>
      </c>
      <c r="BJ286" s="24" t="str">
        <f t="shared" si="31"/>
        <v/>
      </c>
    </row>
    <row r="287" spans="1:62" ht="15" customHeight="1" x14ac:dyDescent="0.25">
      <c r="A287" t="str">
        <f>"1679702336"</f>
        <v>1679702336</v>
      </c>
      <c r="B287" t="str">
        <f>"03302081"</f>
        <v>03302081</v>
      </c>
      <c r="C287" t="s">
        <v>1936</v>
      </c>
      <c r="D287" t="s">
        <v>1937</v>
      </c>
      <c r="E287" t="s">
        <v>1938</v>
      </c>
      <c r="L287" t="s">
        <v>120</v>
      </c>
      <c r="M287" t="s">
        <v>108</v>
      </c>
      <c r="R287" t="s">
        <v>1936</v>
      </c>
      <c r="W287" t="s">
        <v>1938</v>
      </c>
      <c r="X287" t="s">
        <v>1579</v>
      </c>
      <c r="Y287" t="s">
        <v>122</v>
      </c>
      <c r="Z287" t="s">
        <v>111</v>
      </c>
      <c r="AA287" t="str">
        <f>"13815-1153"</f>
        <v>13815-1153</v>
      </c>
      <c r="AB287" t="s">
        <v>123</v>
      </c>
      <c r="AC287" t="s">
        <v>113</v>
      </c>
      <c r="AD287" t="s">
        <v>108</v>
      </c>
      <c r="AE287" t="s">
        <v>114</v>
      </c>
      <c r="AF287" t="s">
        <v>124</v>
      </c>
      <c r="AG287" t="s">
        <v>116</v>
      </c>
      <c r="AK287" t="str">
        <f t="shared" si="28"/>
        <v/>
      </c>
      <c r="AL287" t="s">
        <v>1937</v>
      </c>
      <c r="AM287">
        <v>1</v>
      </c>
      <c r="AN287">
        <v>1</v>
      </c>
      <c r="AO287">
        <v>0</v>
      </c>
      <c r="AP287">
        <v>1</v>
      </c>
      <c r="AQ287">
        <v>1</v>
      </c>
      <c r="AR287">
        <v>0</v>
      </c>
      <c r="AS287">
        <v>0</v>
      </c>
      <c r="AT287">
        <v>0</v>
      </c>
      <c r="AU287">
        <v>0</v>
      </c>
      <c r="AV287">
        <v>0</v>
      </c>
      <c r="AW287">
        <v>0</v>
      </c>
      <c r="AX287" s="24">
        <f t="shared" si="26"/>
        <v>1</v>
      </c>
      <c r="AY287" s="24" t="str">
        <f t="shared" si="26"/>
        <v/>
      </c>
      <c r="AZ287" s="24" t="str">
        <f t="shared" si="30"/>
        <v/>
      </c>
      <c r="BA287" s="24" t="str">
        <f t="shared" si="30"/>
        <v/>
      </c>
      <c r="BB287" s="24" t="str">
        <f t="shared" si="30"/>
        <v/>
      </c>
      <c r="BC287" s="24" t="str">
        <f t="shared" si="30"/>
        <v/>
      </c>
      <c r="BD287" s="24" t="str">
        <f t="shared" si="30"/>
        <v/>
      </c>
      <c r="BE287" s="24" t="str">
        <f t="shared" si="30"/>
        <v/>
      </c>
      <c r="BF287" s="24" t="str">
        <f t="shared" si="30"/>
        <v/>
      </c>
      <c r="BG287" s="24" t="str">
        <f t="shared" si="30"/>
        <v/>
      </c>
      <c r="BH287" s="24" t="str">
        <f t="shared" si="29"/>
        <v/>
      </c>
      <c r="BI287" s="24">
        <f t="shared" si="30"/>
        <v>1</v>
      </c>
      <c r="BJ287" s="24" t="str">
        <f t="shared" si="31"/>
        <v/>
      </c>
    </row>
    <row r="288" spans="1:62" ht="15" customHeight="1" x14ac:dyDescent="0.25">
      <c r="A288" t="str">
        <f>"1124087572"</f>
        <v>1124087572</v>
      </c>
      <c r="B288" t="str">
        <f>"02368078"</f>
        <v>02368078</v>
      </c>
      <c r="C288" t="s">
        <v>2919</v>
      </c>
      <c r="D288" t="s">
        <v>2920</v>
      </c>
      <c r="E288" t="s">
        <v>2921</v>
      </c>
      <c r="L288" t="s">
        <v>138</v>
      </c>
      <c r="M288" t="s">
        <v>108</v>
      </c>
      <c r="R288" t="s">
        <v>2919</v>
      </c>
      <c r="W288" t="s">
        <v>2922</v>
      </c>
      <c r="X288" t="s">
        <v>821</v>
      </c>
      <c r="Y288" t="s">
        <v>110</v>
      </c>
      <c r="Z288" t="s">
        <v>111</v>
      </c>
      <c r="AA288" t="str">
        <f>"13903-1642"</f>
        <v>13903-1642</v>
      </c>
      <c r="AB288" t="s">
        <v>123</v>
      </c>
      <c r="AC288" t="s">
        <v>113</v>
      </c>
      <c r="AD288" t="s">
        <v>108</v>
      </c>
      <c r="AE288" t="s">
        <v>114</v>
      </c>
      <c r="AF288" t="s">
        <v>115</v>
      </c>
      <c r="AG288" t="s">
        <v>116</v>
      </c>
      <c r="AK288" t="str">
        <f t="shared" si="28"/>
        <v/>
      </c>
      <c r="AL288" t="s">
        <v>2920</v>
      </c>
      <c r="AM288">
        <v>0</v>
      </c>
      <c r="AN288">
        <v>0</v>
      </c>
      <c r="AO288">
        <v>0</v>
      </c>
      <c r="AP288">
        <v>0</v>
      </c>
      <c r="AQ288">
        <v>0</v>
      </c>
      <c r="AR288">
        <v>0</v>
      </c>
      <c r="AS288">
        <v>0</v>
      </c>
      <c r="AT288">
        <v>0</v>
      </c>
      <c r="AU288">
        <v>0</v>
      </c>
      <c r="AV288">
        <v>0</v>
      </c>
      <c r="AW288">
        <v>0</v>
      </c>
      <c r="AX288" s="24" t="str">
        <f t="shared" si="26"/>
        <v/>
      </c>
      <c r="AY288" s="24">
        <f t="shared" si="26"/>
        <v>1</v>
      </c>
      <c r="AZ288" s="24" t="str">
        <f t="shared" si="30"/>
        <v/>
      </c>
      <c r="BA288" s="24" t="str">
        <f t="shared" si="30"/>
        <v/>
      </c>
      <c r="BB288" s="24" t="str">
        <f t="shared" si="30"/>
        <v/>
      </c>
      <c r="BC288" s="24" t="str">
        <f t="shared" si="30"/>
        <v/>
      </c>
      <c r="BD288" s="24" t="str">
        <f t="shared" si="30"/>
        <v/>
      </c>
      <c r="BE288" s="24" t="str">
        <f t="shared" si="30"/>
        <v/>
      </c>
      <c r="BF288" s="24" t="str">
        <f t="shared" si="30"/>
        <v/>
      </c>
      <c r="BG288" s="24" t="str">
        <f t="shared" si="30"/>
        <v/>
      </c>
      <c r="BH288" s="24" t="str">
        <f t="shared" si="29"/>
        <v/>
      </c>
      <c r="BI288" s="24">
        <f t="shared" si="30"/>
        <v>1</v>
      </c>
      <c r="BJ288" s="24" t="str">
        <f t="shared" si="31"/>
        <v/>
      </c>
    </row>
    <row r="289" spans="1:62" ht="15" customHeight="1" x14ac:dyDescent="0.25">
      <c r="A289" t="str">
        <f>"1407824899"</f>
        <v>1407824899</v>
      </c>
      <c r="B289" t="str">
        <f>"02934316"</f>
        <v>02934316</v>
      </c>
      <c r="C289" t="s">
        <v>5150</v>
      </c>
      <c r="D289" t="s">
        <v>5151</v>
      </c>
      <c r="E289" t="s">
        <v>5152</v>
      </c>
      <c r="L289" t="s">
        <v>6868</v>
      </c>
      <c r="M289" t="s">
        <v>108</v>
      </c>
      <c r="R289" t="s">
        <v>5150</v>
      </c>
      <c r="W289" t="s">
        <v>5152</v>
      </c>
      <c r="X289" t="s">
        <v>4033</v>
      </c>
      <c r="Y289" t="s">
        <v>157</v>
      </c>
      <c r="Z289" t="s">
        <v>111</v>
      </c>
      <c r="AA289" t="str">
        <f>"14830-2814"</f>
        <v>14830-2814</v>
      </c>
      <c r="AB289" t="s">
        <v>123</v>
      </c>
      <c r="AC289" t="s">
        <v>113</v>
      </c>
      <c r="AD289" t="s">
        <v>108</v>
      </c>
      <c r="AE289" t="s">
        <v>114</v>
      </c>
      <c r="AF289" t="s">
        <v>149</v>
      </c>
      <c r="AG289" t="s">
        <v>116</v>
      </c>
      <c r="AK289" t="str">
        <f t="shared" si="28"/>
        <v/>
      </c>
      <c r="AL289" t="s">
        <v>5151</v>
      </c>
      <c r="AM289">
        <v>0</v>
      </c>
      <c r="AN289">
        <v>0</v>
      </c>
      <c r="AO289">
        <v>0</v>
      </c>
      <c r="AP289">
        <v>0</v>
      </c>
      <c r="AQ289">
        <v>0</v>
      </c>
      <c r="AR289">
        <v>0</v>
      </c>
      <c r="AS289">
        <v>0</v>
      </c>
      <c r="AT289">
        <v>0</v>
      </c>
      <c r="AU289">
        <v>0</v>
      </c>
      <c r="AV289">
        <v>0</v>
      </c>
      <c r="AW289">
        <v>0</v>
      </c>
      <c r="AX289" s="24">
        <f t="shared" si="26"/>
        <v>1</v>
      </c>
      <c r="AY289" s="24">
        <f t="shared" si="26"/>
        <v>1</v>
      </c>
      <c r="AZ289" s="24" t="str">
        <f t="shared" si="30"/>
        <v/>
      </c>
      <c r="BA289" s="24" t="str">
        <f t="shared" si="30"/>
        <v/>
      </c>
      <c r="BB289" s="24" t="str">
        <f t="shared" si="30"/>
        <v/>
      </c>
      <c r="BC289" s="24" t="str">
        <f t="shared" si="30"/>
        <v/>
      </c>
      <c r="BD289" s="24" t="str">
        <f t="shared" si="30"/>
        <v/>
      </c>
      <c r="BE289" s="24" t="str">
        <f t="shared" si="30"/>
        <v/>
      </c>
      <c r="BF289" s="24" t="str">
        <f t="shared" si="30"/>
        <v/>
      </c>
      <c r="BG289" s="24" t="str">
        <f t="shared" si="30"/>
        <v/>
      </c>
      <c r="BH289" s="24" t="str">
        <f t="shared" si="29"/>
        <v/>
      </c>
      <c r="BI289" s="24" t="str">
        <f t="shared" si="30"/>
        <v/>
      </c>
      <c r="BJ289" s="24" t="str">
        <f t="shared" si="31"/>
        <v/>
      </c>
    </row>
    <row r="290" spans="1:62" ht="15" customHeight="1" x14ac:dyDescent="0.25">
      <c r="A290" t="str">
        <f>"1538176508"</f>
        <v>1538176508</v>
      </c>
      <c r="B290" t="str">
        <f>"01282622"</f>
        <v>01282622</v>
      </c>
      <c r="C290" t="s">
        <v>6769</v>
      </c>
      <c r="D290" t="s">
        <v>7041</v>
      </c>
      <c r="E290" t="s">
        <v>6896</v>
      </c>
      <c r="G290" t="s">
        <v>7184</v>
      </c>
      <c r="H290" t="s">
        <v>2379</v>
      </c>
      <c r="J290" t="s">
        <v>7185</v>
      </c>
      <c r="L290" t="s">
        <v>120</v>
      </c>
      <c r="M290" t="s">
        <v>108</v>
      </c>
      <c r="R290" t="s">
        <v>6769</v>
      </c>
      <c r="W290" t="s">
        <v>6896</v>
      </c>
      <c r="X290" t="s">
        <v>6897</v>
      </c>
      <c r="Y290" t="s">
        <v>979</v>
      </c>
      <c r="Z290" t="s">
        <v>111</v>
      </c>
      <c r="AA290" t="str">
        <f>"13760-3698"</f>
        <v>13760-3698</v>
      </c>
      <c r="AB290" t="s">
        <v>123</v>
      </c>
      <c r="AC290" t="s">
        <v>113</v>
      </c>
      <c r="AD290" t="s">
        <v>108</v>
      </c>
      <c r="AE290" t="s">
        <v>114</v>
      </c>
      <c r="AF290" t="s">
        <v>115</v>
      </c>
      <c r="AG290" t="s">
        <v>116</v>
      </c>
      <c r="AK290" t="str">
        <f t="shared" si="28"/>
        <v>COOK PAMELA</v>
      </c>
      <c r="AL290" t="s">
        <v>7041</v>
      </c>
      <c r="AM290" t="s">
        <v>108</v>
      </c>
      <c r="AN290" t="s">
        <v>108</v>
      </c>
      <c r="AO290" t="s">
        <v>108</v>
      </c>
      <c r="AP290" t="s">
        <v>108</v>
      </c>
      <c r="AQ290" t="s">
        <v>108</v>
      </c>
      <c r="AR290" t="s">
        <v>108</v>
      </c>
      <c r="AS290" t="s">
        <v>108</v>
      </c>
      <c r="AT290" t="s">
        <v>108</v>
      </c>
      <c r="AU290">
        <v>0</v>
      </c>
      <c r="AV290" t="s">
        <v>108</v>
      </c>
      <c r="AW290" t="s">
        <v>108</v>
      </c>
      <c r="AX290" s="24">
        <f t="shared" si="26"/>
        <v>1</v>
      </c>
      <c r="AY290" s="24" t="str">
        <f t="shared" si="26"/>
        <v/>
      </c>
      <c r="AZ290" s="24" t="str">
        <f t="shared" si="30"/>
        <v/>
      </c>
      <c r="BA290" s="24" t="str">
        <f t="shared" si="30"/>
        <v/>
      </c>
      <c r="BB290" s="24" t="str">
        <f t="shared" si="30"/>
        <v/>
      </c>
      <c r="BC290" s="24" t="str">
        <f t="shared" si="30"/>
        <v/>
      </c>
      <c r="BD290" s="24" t="str">
        <f t="shared" si="30"/>
        <v/>
      </c>
      <c r="BE290" s="24" t="str">
        <f t="shared" si="30"/>
        <v/>
      </c>
      <c r="BF290" s="24" t="str">
        <f t="shared" si="30"/>
        <v/>
      </c>
      <c r="BG290" s="24" t="str">
        <f t="shared" si="30"/>
        <v/>
      </c>
      <c r="BH290" s="24" t="str">
        <f t="shared" si="29"/>
        <v/>
      </c>
      <c r="BI290" s="24">
        <f t="shared" si="30"/>
        <v>1</v>
      </c>
      <c r="BJ290" s="24" t="str">
        <f t="shared" si="31"/>
        <v/>
      </c>
    </row>
    <row r="291" spans="1:62" ht="15" customHeight="1" x14ac:dyDescent="0.25">
      <c r="A291" t="str">
        <f>"1740282979"</f>
        <v>1740282979</v>
      </c>
      <c r="B291" t="str">
        <f>"01666540"</f>
        <v>01666540</v>
      </c>
      <c r="C291" t="s">
        <v>1161</v>
      </c>
      <c r="D291" t="s">
        <v>1162</v>
      </c>
      <c r="E291" t="s">
        <v>1163</v>
      </c>
      <c r="G291" t="s">
        <v>1147</v>
      </c>
      <c r="H291" t="s">
        <v>1148</v>
      </c>
      <c r="J291" t="s">
        <v>1164</v>
      </c>
      <c r="L291" t="s">
        <v>138</v>
      </c>
      <c r="M291" t="s">
        <v>108</v>
      </c>
      <c r="R291" t="s">
        <v>1165</v>
      </c>
      <c r="W291" t="s">
        <v>1163</v>
      </c>
      <c r="X291" t="s">
        <v>1166</v>
      </c>
      <c r="Y291" t="s">
        <v>293</v>
      </c>
      <c r="Z291" t="s">
        <v>111</v>
      </c>
      <c r="AA291" t="str">
        <f>"14850-1397"</f>
        <v>14850-1397</v>
      </c>
      <c r="AB291" t="s">
        <v>123</v>
      </c>
      <c r="AC291" t="s">
        <v>113</v>
      </c>
      <c r="AD291" t="s">
        <v>108</v>
      </c>
      <c r="AE291" t="s">
        <v>114</v>
      </c>
      <c r="AF291" t="s">
        <v>142</v>
      </c>
      <c r="AG291" t="s">
        <v>116</v>
      </c>
      <c r="AK291" t="str">
        <f t="shared" si="28"/>
        <v/>
      </c>
      <c r="AL291" t="s">
        <v>1162</v>
      </c>
      <c r="AM291">
        <v>1</v>
      </c>
      <c r="AN291">
        <v>1</v>
      </c>
      <c r="AO291">
        <v>0</v>
      </c>
      <c r="AP291">
        <v>0</v>
      </c>
      <c r="AQ291">
        <v>0</v>
      </c>
      <c r="AR291">
        <v>0</v>
      </c>
      <c r="AS291">
        <v>0</v>
      </c>
      <c r="AT291">
        <v>0</v>
      </c>
      <c r="AU291">
        <v>0</v>
      </c>
      <c r="AV291">
        <v>0</v>
      </c>
      <c r="AW291">
        <v>0</v>
      </c>
      <c r="AX291" s="24" t="str">
        <f t="shared" si="26"/>
        <v/>
      </c>
      <c r="AY291" s="24">
        <f t="shared" si="26"/>
        <v>1</v>
      </c>
      <c r="AZ291" s="24" t="str">
        <f t="shared" si="30"/>
        <v/>
      </c>
      <c r="BA291" s="24" t="str">
        <f t="shared" si="30"/>
        <v/>
      </c>
      <c r="BB291" s="24" t="str">
        <f t="shared" si="30"/>
        <v/>
      </c>
      <c r="BC291" s="24" t="str">
        <f t="shared" si="30"/>
        <v/>
      </c>
      <c r="BD291" s="24" t="str">
        <f t="shared" si="30"/>
        <v/>
      </c>
      <c r="BE291" s="24" t="str">
        <f t="shared" si="30"/>
        <v/>
      </c>
      <c r="BF291" s="24" t="str">
        <f t="shared" si="30"/>
        <v/>
      </c>
      <c r="BG291" s="24" t="str">
        <f t="shared" si="30"/>
        <v/>
      </c>
      <c r="BH291" s="24" t="str">
        <f t="shared" si="29"/>
        <v/>
      </c>
      <c r="BI291" s="24">
        <f t="shared" si="30"/>
        <v>1</v>
      </c>
      <c r="BJ291" s="24" t="str">
        <f t="shared" si="31"/>
        <v/>
      </c>
    </row>
    <row r="292" spans="1:62" ht="15" customHeight="1" x14ac:dyDescent="0.25">
      <c r="A292" t="str">
        <f>"1629042585"</f>
        <v>1629042585</v>
      </c>
      <c r="B292" t="str">
        <f>"01927182"</f>
        <v>01927182</v>
      </c>
      <c r="C292" t="s">
        <v>3989</v>
      </c>
      <c r="D292" t="s">
        <v>3990</v>
      </c>
      <c r="E292" t="s">
        <v>3989</v>
      </c>
      <c r="G292" t="s">
        <v>699</v>
      </c>
      <c r="H292" t="s">
        <v>700</v>
      </c>
      <c r="J292" t="s">
        <v>701</v>
      </c>
      <c r="L292" t="s">
        <v>120</v>
      </c>
      <c r="M292" t="s">
        <v>108</v>
      </c>
      <c r="R292" t="s">
        <v>3991</v>
      </c>
      <c r="W292" t="s">
        <v>3989</v>
      </c>
      <c r="Y292" t="s">
        <v>3992</v>
      </c>
      <c r="Z292" t="s">
        <v>182</v>
      </c>
      <c r="AA292" t="str">
        <f>"16901-1526"</f>
        <v>16901-1526</v>
      </c>
      <c r="AB292" t="s">
        <v>123</v>
      </c>
      <c r="AC292" t="s">
        <v>113</v>
      </c>
      <c r="AD292" t="s">
        <v>108</v>
      </c>
      <c r="AE292" t="s">
        <v>114</v>
      </c>
      <c r="AF292" t="s">
        <v>149</v>
      </c>
      <c r="AG292" t="s">
        <v>116</v>
      </c>
      <c r="AK292" t="str">
        <f t="shared" si="28"/>
        <v/>
      </c>
      <c r="AL292" t="s">
        <v>3990</v>
      </c>
      <c r="AM292">
        <v>1</v>
      </c>
      <c r="AN292">
        <v>1</v>
      </c>
      <c r="AO292">
        <v>0</v>
      </c>
      <c r="AP292">
        <v>0</v>
      </c>
      <c r="AQ292">
        <v>0</v>
      </c>
      <c r="AR292">
        <v>0</v>
      </c>
      <c r="AS292">
        <v>0</v>
      </c>
      <c r="AT292">
        <v>1</v>
      </c>
      <c r="AU292">
        <v>1</v>
      </c>
      <c r="AV292">
        <v>1</v>
      </c>
      <c r="AW292">
        <v>0</v>
      </c>
      <c r="AX292" s="24">
        <f t="shared" si="26"/>
        <v>1</v>
      </c>
      <c r="AY292" s="24" t="str">
        <f t="shared" si="26"/>
        <v/>
      </c>
      <c r="AZ292" s="24" t="str">
        <f t="shared" si="30"/>
        <v/>
      </c>
      <c r="BA292" s="24" t="str">
        <f t="shared" si="30"/>
        <v/>
      </c>
      <c r="BB292" s="24" t="str">
        <f t="shared" si="30"/>
        <v/>
      </c>
      <c r="BC292" s="24" t="str">
        <f t="shared" si="30"/>
        <v/>
      </c>
      <c r="BD292" s="24" t="str">
        <f t="shared" si="30"/>
        <v/>
      </c>
      <c r="BE292" s="24" t="str">
        <f t="shared" si="30"/>
        <v/>
      </c>
      <c r="BF292" s="24" t="str">
        <f t="shared" si="30"/>
        <v/>
      </c>
      <c r="BG292" s="24" t="str">
        <f t="shared" si="30"/>
        <v/>
      </c>
      <c r="BH292" s="24" t="str">
        <f t="shared" si="29"/>
        <v/>
      </c>
      <c r="BI292" s="24">
        <f t="shared" si="30"/>
        <v>1</v>
      </c>
      <c r="BJ292" s="24" t="str">
        <f t="shared" si="31"/>
        <v/>
      </c>
    </row>
    <row r="293" spans="1:62" ht="15" customHeight="1" x14ac:dyDescent="0.25">
      <c r="A293" t="str">
        <f>"1831270800"</f>
        <v>1831270800</v>
      </c>
      <c r="B293" t="str">
        <f>"01677921"</f>
        <v>01677921</v>
      </c>
      <c r="C293" t="s">
        <v>4458</v>
      </c>
      <c r="D293" t="s">
        <v>4459</v>
      </c>
      <c r="E293" t="s">
        <v>4460</v>
      </c>
      <c r="G293" t="s">
        <v>4447</v>
      </c>
      <c r="H293" t="s">
        <v>4448</v>
      </c>
      <c r="J293" t="s">
        <v>4449</v>
      </c>
      <c r="L293" t="s">
        <v>6867</v>
      </c>
      <c r="M293" t="s">
        <v>139</v>
      </c>
      <c r="R293" t="s">
        <v>4458</v>
      </c>
      <c r="W293" t="s">
        <v>4460</v>
      </c>
      <c r="X293" t="s">
        <v>121</v>
      </c>
      <c r="Y293" t="s">
        <v>122</v>
      </c>
      <c r="Z293" t="s">
        <v>111</v>
      </c>
      <c r="AA293" t="str">
        <f>"13815-1097"</f>
        <v>13815-1097</v>
      </c>
      <c r="AB293" t="s">
        <v>123</v>
      </c>
      <c r="AC293" t="s">
        <v>113</v>
      </c>
      <c r="AD293" t="s">
        <v>108</v>
      </c>
      <c r="AE293" t="s">
        <v>114</v>
      </c>
      <c r="AF293" t="s">
        <v>124</v>
      </c>
      <c r="AG293" t="s">
        <v>116</v>
      </c>
      <c r="AK293" t="str">
        <f t="shared" si="28"/>
        <v/>
      </c>
      <c r="AL293" t="s">
        <v>4459</v>
      </c>
      <c r="AM293">
        <v>1</v>
      </c>
      <c r="AN293">
        <v>1</v>
      </c>
      <c r="AO293">
        <v>0</v>
      </c>
      <c r="AP293">
        <v>1</v>
      </c>
      <c r="AQ293">
        <v>1</v>
      </c>
      <c r="AR293">
        <v>0</v>
      </c>
      <c r="AS293">
        <v>0</v>
      </c>
      <c r="AT293">
        <v>0</v>
      </c>
      <c r="AU293">
        <v>0</v>
      </c>
      <c r="AV293">
        <v>0</v>
      </c>
      <c r="AW293">
        <v>0</v>
      </c>
      <c r="AX293" s="24">
        <f t="shared" si="26"/>
        <v>1</v>
      </c>
      <c r="AY293" s="24">
        <f t="shared" si="26"/>
        <v>1</v>
      </c>
      <c r="AZ293" s="24" t="str">
        <f t="shared" si="30"/>
        <v/>
      </c>
      <c r="BA293" s="24" t="str">
        <f t="shared" si="30"/>
        <v/>
      </c>
      <c r="BB293" s="24" t="str">
        <f t="shared" si="30"/>
        <v/>
      </c>
      <c r="BC293" s="24" t="str">
        <f t="shared" si="30"/>
        <v/>
      </c>
      <c r="BD293" s="24" t="str">
        <f t="shared" si="30"/>
        <v/>
      </c>
      <c r="BE293" s="24" t="str">
        <f t="shared" si="30"/>
        <v/>
      </c>
      <c r="BF293" s="24" t="str">
        <f t="shared" si="30"/>
        <v/>
      </c>
      <c r="BG293" s="24" t="str">
        <f t="shared" si="30"/>
        <v/>
      </c>
      <c r="BH293" s="24" t="str">
        <f t="shared" si="29"/>
        <v/>
      </c>
      <c r="BI293" s="24">
        <f t="shared" si="30"/>
        <v>1</v>
      </c>
      <c r="BJ293" s="24" t="str">
        <f t="shared" si="31"/>
        <v/>
      </c>
    </row>
    <row r="294" spans="1:62" ht="15" customHeight="1" x14ac:dyDescent="0.25">
      <c r="C294" t="s">
        <v>2800</v>
      </c>
      <c r="G294" t="s">
        <v>2801</v>
      </c>
      <c r="H294" t="s">
        <v>2802</v>
      </c>
      <c r="K294" t="s">
        <v>780</v>
      </c>
      <c r="L294" t="s">
        <v>781</v>
      </c>
      <c r="M294" t="s">
        <v>108</v>
      </c>
      <c r="N294" t="s">
        <v>2803</v>
      </c>
      <c r="O294" t="s">
        <v>1088</v>
      </c>
      <c r="P294" t="s">
        <v>111</v>
      </c>
      <c r="Q294" t="str">
        <f>"14853"</f>
        <v>14853</v>
      </c>
      <c r="AC294" t="s">
        <v>113</v>
      </c>
      <c r="AD294" t="s">
        <v>108</v>
      </c>
      <c r="AE294" t="s">
        <v>784</v>
      </c>
      <c r="AF294" t="s">
        <v>142</v>
      </c>
      <c r="AG294" t="s">
        <v>116</v>
      </c>
      <c r="AK294" t="str">
        <f t="shared" si="28"/>
        <v>Cornell University -- Gannett Health Services</v>
      </c>
      <c r="AM294" t="s">
        <v>108</v>
      </c>
      <c r="AN294" t="s">
        <v>108</v>
      </c>
      <c r="AO294" t="s">
        <v>108</v>
      </c>
      <c r="AP294" t="s">
        <v>108</v>
      </c>
      <c r="AQ294" t="s">
        <v>108</v>
      </c>
      <c r="AR294" t="s">
        <v>108</v>
      </c>
      <c r="AS294" t="s">
        <v>108</v>
      </c>
      <c r="AT294" t="s">
        <v>108</v>
      </c>
      <c r="AU294">
        <v>0</v>
      </c>
      <c r="AV294" t="s">
        <v>108</v>
      </c>
      <c r="AW294" t="s">
        <v>108</v>
      </c>
      <c r="AX294" s="24" t="str">
        <f t="shared" si="26"/>
        <v/>
      </c>
      <c r="AY294" s="24" t="str">
        <f t="shared" si="26"/>
        <v/>
      </c>
      <c r="AZ294" s="24" t="str">
        <f t="shared" si="30"/>
        <v/>
      </c>
      <c r="BA294" s="24" t="str">
        <f t="shared" ref="AZ294:BI319" si="32">IF(ISERROR(FIND(BA$1,$L294,1)),"",1)</f>
        <v/>
      </c>
      <c r="BB294" s="24" t="str">
        <f t="shared" si="32"/>
        <v/>
      </c>
      <c r="BC294" s="24" t="str">
        <f t="shared" si="32"/>
        <v/>
      </c>
      <c r="BD294" s="24" t="str">
        <f t="shared" si="32"/>
        <v/>
      </c>
      <c r="BE294" s="24" t="str">
        <f t="shared" si="32"/>
        <v/>
      </c>
      <c r="BF294" s="24" t="str">
        <f t="shared" si="32"/>
        <v/>
      </c>
      <c r="BG294" s="24" t="str">
        <f t="shared" si="32"/>
        <v/>
      </c>
      <c r="BH294" s="24">
        <f t="shared" si="29"/>
        <v>1</v>
      </c>
      <c r="BI294" s="24" t="str">
        <f t="shared" si="32"/>
        <v/>
      </c>
      <c r="BJ294" s="24" t="str">
        <f t="shared" si="31"/>
        <v/>
      </c>
    </row>
    <row r="295" spans="1:62" ht="15" customHeight="1" x14ac:dyDescent="0.25">
      <c r="C295" t="s">
        <v>5870</v>
      </c>
      <c r="G295" t="s">
        <v>5871</v>
      </c>
      <c r="H295" t="s">
        <v>5872</v>
      </c>
      <c r="J295" t="s">
        <v>5873</v>
      </c>
      <c r="K295" t="s">
        <v>780</v>
      </c>
      <c r="L295" t="s">
        <v>781</v>
      </c>
      <c r="M295" t="s">
        <v>108</v>
      </c>
      <c r="AC295" t="s">
        <v>113</v>
      </c>
      <c r="AD295" t="s">
        <v>108</v>
      </c>
      <c r="AE295" t="s">
        <v>784</v>
      </c>
      <c r="AF295" t="s">
        <v>124</v>
      </c>
      <c r="AG295" t="s">
        <v>116</v>
      </c>
      <c r="AK295" t="str">
        <f t="shared" si="28"/>
        <v>Cornell University Cooperative Extension of Delaware County</v>
      </c>
      <c r="AM295" t="s">
        <v>108</v>
      </c>
      <c r="AN295" t="s">
        <v>108</v>
      </c>
      <c r="AO295" t="s">
        <v>108</v>
      </c>
      <c r="AP295" t="s">
        <v>108</v>
      </c>
      <c r="AQ295" t="s">
        <v>108</v>
      </c>
      <c r="AR295" t="s">
        <v>108</v>
      </c>
      <c r="AS295" t="s">
        <v>108</v>
      </c>
      <c r="AT295" t="s">
        <v>108</v>
      </c>
      <c r="AU295">
        <v>0</v>
      </c>
      <c r="AV295" t="s">
        <v>108</v>
      </c>
      <c r="AW295" t="s">
        <v>108</v>
      </c>
      <c r="AX295" s="24" t="str">
        <f t="shared" si="26"/>
        <v/>
      </c>
      <c r="AY295" s="24" t="str">
        <f t="shared" si="26"/>
        <v/>
      </c>
      <c r="AZ295" s="24" t="str">
        <f t="shared" si="32"/>
        <v/>
      </c>
      <c r="BA295" s="24" t="str">
        <f t="shared" si="32"/>
        <v/>
      </c>
      <c r="BB295" s="24" t="str">
        <f t="shared" si="32"/>
        <v/>
      </c>
      <c r="BC295" s="24" t="str">
        <f t="shared" si="32"/>
        <v/>
      </c>
      <c r="BD295" s="24" t="str">
        <f t="shared" si="32"/>
        <v/>
      </c>
      <c r="BE295" s="24" t="str">
        <f t="shared" si="32"/>
        <v/>
      </c>
      <c r="BF295" s="24" t="str">
        <f t="shared" si="32"/>
        <v/>
      </c>
      <c r="BG295" s="24" t="str">
        <f t="shared" si="32"/>
        <v/>
      </c>
      <c r="BH295" s="24">
        <f t="shared" si="29"/>
        <v>1</v>
      </c>
      <c r="BI295" s="24" t="str">
        <f t="shared" si="32"/>
        <v/>
      </c>
      <c r="BJ295" s="24" t="str">
        <f t="shared" si="31"/>
        <v/>
      </c>
    </row>
    <row r="296" spans="1:62" ht="15" customHeight="1" x14ac:dyDescent="0.25">
      <c r="C296" t="s">
        <v>5805</v>
      </c>
      <c r="G296" t="s">
        <v>5743</v>
      </c>
      <c r="H296" t="s">
        <v>5806</v>
      </c>
      <c r="J296" t="s">
        <v>5807</v>
      </c>
      <c r="K296" t="s">
        <v>5808</v>
      </c>
      <c r="L296" t="s">
        <v>781</v>
      </c>
      <c r="M296" t="s">
        <v>108</v>
      </c>
      <c r="N296" t="s">
        <v>5809</v>
      </c>
      <c r="O296" t="s">
        <v>1096</v>
      </c>
      <c r="P296" t="s">
        <v>111</v>
      </c>
      <c r="Q296" t="str">
        <f>"13903"</f>
        <v>13903</v>
      </c>
      <c r="AC296" t="s">
        <v>113</v>
      </c>
      <c r="AD296" t="s">
        <v>108</v>
      </c>
      <c r="AE296" t="s">
        <v>784</v>
      </c>
      <c r="AF296" t="s">
        <v>115</v>
      </c>
      <c r="AG296" t="s">
        <v>116</v>
      </c>
      <c r="AK296" t="str">
        <f t="shared" si="28"/>
        <v/>
      </c>
      <c r="AL296" t="s">
        <v>5805</v>
      </c>
      <c r="AM296">
        <v>1</v>
      </c>
      <c r="AN296">
        <v>1</v>
      </c>
      <c r="AQ296">
        <v>1</v>
      </c>
      <c r="AR296" t="s">
        <v>108</v>
      </c>
      <c r="AS296" t="s">
        <v>108</v>
      </c>
      <c r="AT296" t="s">
        <v>108</v>
      </c>
      <c r="AU296">
        <v>0</v>
      </c>
      <c r="AV296" t="s">
        <v>108</v>
      </c>
      <c r="AW296" t="s">
        <v>108</v>
      </c>
      <c r="AX296" s="24" t="str">
        <f t="shared" ref="AX296:AY359" si="33">IF(ISERROR(FIND(AX$1,$L296,1)),"",1)</f>
        <v/>
      </c>
      <c r="AY296" s="24" t="str">
        <f t="shared" si="33"/>
        <v/>
      </c>
      <c r="AZ296" s="24" t="str">
        <f t="shared" si="32"/>
        <v/>
      </c>
      <c r="BA296" s="24" t="str">
        <f t="shared" si="32"/>
        <v/>
      </c>
      <c r="BB296" s="24" t="str">
        <f t="shared" si="32"/>
        <v/>
      </c>
      <c r="BC296" s="24" t="str">
        <f t="shared" si="32"/>
        <v/>
      </c>
      <c r="BD296" s="24" t="str">
        <f t="shared" si="32"/>
        <v/>
      </c>
      <c r="BE296" s="24" t="str">
        <f t="shared" si="32"/>
        <v/>
      </c>
      <c r="BF296" s="24" t="str">
        <f t="shared" si="32"/>
        <v/>
      </c>
      <c r="BG296" s="24" t="str">
        <f t="shared" si="32"/>
        <v/>
      </c>
      <c r="BH296" s="24">
        <f t="shared" si="29"/>
        <v>1</v>
      </c>
      <c r="BI296" s="24" t="str">
        <f t="shared" si="32"/>
        <v/>
      </c>
      <c r="BJ296" s="24" t="str">
        <f t="shared" si="31"/>
        <v/>
      </c>
    </row>
    <row r="297" spans="1:62" ht="15" customHeight="1" x14ac:dyDescent="0.25">
      <c r="A297" t="str">
        <f>"1902893563"</f>
        <v>1902893563</v>
      </c>
      <c r="B297" t="str">
        <f>"01936525"</f>
        <v>01936525</v>
      </c>
      <c r="C297" t="s">
        <v>3868</v>
      </c>
      <c r="D297" t="s">
        <v>3869</v>
      </c>
      <c r="E297" t="s">
        <v>3868</v>
      </c>
      <c r="L297" t="s">
        <v>133</v>
      </c>
      <c r="M297" t="s">
        <v>108</v>
      </c>
      <c r="R297" t="s">
        <v>3868</v>
      </c>
      <c r="W297" t="s">
        <v>3868</v>
      </c>
      <c r="X297" t="s">
        <v>3868</v>
      </c>
      <c r="Y297" t="s">
        <v>321</v>
      </c>
      <c r="Z297" t="s">
        <v>111</v>
      </c>
      <c r="AA297" t="str">
        <f>"13760-5430"</f>
        <v>13760-5430</v>
      </c>
      <c r="AB297" t="s">
        <v>123</v>
      </c>
      <c r="AC297" t="s">
        <v>113</v>
      </c>
      <c r="AD297" t="s">
        <v>108</v>
      </c>
      <c r="AE297" t="s">
        <v>114</v>
      </c>
      <c r="AF297" t="s">
        <v>115</v>
      </c>
      <c r="AG297" t="s">
        <v>116</v>
      </c>
      <c r="AK297" t="str">
        <f t="shared" si="28"/>
        <v/>
      </c>
      <c r="AL297" t="s">
        <v>3869</v>
      </c>
      <c r="AM297">
        <v>1</v>
      </c>
      <c r="AN297">
        <v>1</v>
      </c>
      <c r="AO297">
        <v>0</v>
      </c>
      <c r="AP297">
        <v>1</v>
      </c>
      <c r="AQ297">
        <v>1</v>
      </c>
      <c r="AR297">
        <v>0</v>
      </c>
      <c r="AS297">
        <v>0</v>
      </c>
      <c r="AT297">
        <v>0</v>
      </c>
      <c r="AU297">
        <v>0</v>
      </c>
      <c r="AV297">
        <v>0</v>
      </c>
      <c r="AW297">
        <v>0</v>
      </c>
      <c r="AX297" s="24" t="str">
        <f t="shared" si="33"/>
        <v/>
      </c>
      <c r="AY297" s="24" t="str">
        <f t="shared" si="33"/>
        <v/>
      </c>
      <c r="AZ297" s="24" t="str">
        <f t="shared" si="32"/>
        <v/>
      </c>
      <c r="BA297" s="24" t="str">
        <f t="shared" si="32"/>
        <v/>
      </c>
      <c r="BB297" s="24" t="str">
        <f t="shared" si="32"/>
        <v/>
      </c>
      <c r="BC297" s="24" t="str">
        <f t="shared" si="32"/>
        <v/>
      </c>
      <c r="BD297" s="24" t="str">
        <f t="shared" si="32"/>
        <v/>
      </c>
      <c r="BE297" s="24" t="str">
        <f t="shared" si="32"/>
        <v/>
      </c>
      <c r="BF297" s="24" t="str">
        <f t="shared" si="32"/>
        <v/>
      </c>
      <c r="BG297" s="24" t="str">
        <f t="shared" si="32"/>
        <v/>
      </c>
      <c r="BH297" s="24" t="str">
        <f t="shared" si="29"/>
        <v/>
      </c>
      <c r="BI297" s="24" t="str">
        <f t="shared" si="32"/>
        <v/>
      </c>
      <c r="BJ297" s="24">
        <f t="shared" si="31"/>
        <v>1</v>
      </c>
    </row>
    <row r="298" spans="1:62" ht="15" customHeight="1" x14ac:dyDescent="0.25">
      <c r="A298" t="str">
        <f>"1568691640"</f>
        <v>1568691640</v>
      </c>
      <c r="B298" t="str">
        <f>"03469674"</f>
        <v>03469674</v>
      </c>
      <c r="C298" t="s">
        <v>1559</v>
      </c>
      <c r="D298" t="s">
        <v>1560</v>
      </c>
      <c r="E298" t="s">
        <v>1561</v>
      </c>
      <c r="L298" t="s">
        <v>120</v>
      </c>
      <c r="M298" t="s">
        <v>108</v>
      </c>
      <c r="R298" t="s">
        <v>1559</v>
      </c>
      <c r="W298" t="s">
        <v>1561</v>
      </c>
      <c r="X298" t="s">
        <v>1237</v>
      </c>
      <c r="Y298" t="s">
        <v>129</v>
      </c>
      <c r="Z298" t="s">
        <v>111</v>
      </c>
      <c r="AA298" t="str">
        <f>"13790-2102"</f>
        <v>13790-2102</v>
      </c>
      <c r="AB298" t="s">
        <v>123</v>
      </c>
      <c r="AC298" t="s">
        <v>113</v>
      </c>
      <c r="AD298" t="s">
        <v>108</v>
      </c>
      <c r="AE298" t="s">
        <v>114</v>
      </c>
      <c r="AF298" t="s">
        <v>115</v>
      </c>
      <c r="AG298" t="s">
        <v>116</v>
      </c>
      <c r="AK298" t="str">
        <f t="shared" si="28"/>
        <v/>
      </c>
      <c r="AL298" t="s">
        <v>1560</v>
      </c>
      <c r="AM298">
        <v>0</v>
      </c>
      <c r="AN298">
        <v>0</v>
      </c>
      <c r="AO298">
        <v>0</v>
      </c>
      <c r="AP298">
        <v>0</v>
      </c>
      <c r="AQ298">
        <v>0</v>
      </c>
      <c r="AR298">
        <v>0</v>
      </c>
      <c r="AS298">
        <v>0</v>
      </c>
      <c r="AT298">
        <v>0</v>
      </c>
      <c r="AU298">
        <v>0</v>
      </c>
      <c r="AV298">
        <v>0</v>
      </c>
      <c r="AW298">
        <v>0</v>
      </c>
      <c r="AX298" s="24">
        <f t="shared" si="33"/>
        <v>1</v>
      </c>
      <c r="AY298" s="24" t="str">
        <f t="shared" si="33"/>
        <v/>
      </c>
      <c r="AZ298" s="24" t="str">
        <f t="shared" si="32"/>
        <v/>
      </c>
      <c r="BA298" s="24" t="str">
        <f t="shared" si="32"/>
        <v/>
      </c>
      <c r="BB298" s="24" t="str">
        <f t="shared" si="32"/>
        <v/>
      </c>
      <c r="BC298" s="24" t="str">
        <f t="shared" si="32"/>
        <v/>
      </c>
      <c r="BD298" s="24" t="str">
        <f t="shared" si="32"/>
        <v/>
      </c>
      <c r="BE298" s="24" t="str">
        <f t="shared" si="32"/>
        <v/>
      </c>
      <c r="BF298" s="24" t="str">
        <f t="shared" si="32"/>
        <v/>
      </c>
      <c r="BG298" s="24" t="str">
        <f t="shared" si="32"/>
        <v/>
      </c>
      <c r="BH298" s="24" t="str">
        <f t="shared" si="29"/>
        <v/>
      </c>
      <c r="BI298" s="24">
        <f t="shared" si="32"/>
        <v>1</v>
      </c>
      <c r="BJ298" s="24" t="str">
        <f t="shared" si="31"/>
        <v/>
      </c>
    </row>
    <row r="299" spans="1:62" ht="15" customHeight="1" x14ac:dyDescent="0.25">
      <c r="A299" t="str">
        <f>"1164626834"</f>
        <v>1164626834</v>
      </c>
      <c r="B299" t="str">
        <f>"03111548"</f>
        <v>03111548</v>
      </c>
      <c r="C299" t="s">
        <v>4048</v>
      </c>
      <c r="D299" t="s">
        <v>4049</v>
      </c>
      <c r="E299" t="s">
        <v>4050</v>
      </c>
      <c r="L299" t="s">
        <v>138</v>
      </c>
      <c r="M299" t="s">
        <v>108</v>
      </c>
      <c r="R299" t="s">
        <v>4048</v>
      </c>
      <c r="W299" t="s">
        <v>4050</v>
      </c>
      <c r="X299" t="s">
        <v>4051</v>
      </c>
      <c r="Y299" t="s">
        <v>110</v>
      </c>
      <c r="Z299" t="s">
        <v>111</v>
      </c>
      <c r="AA299" t="str">
        <f>"13903-1748"</f>
        <v>13903-1748</v>
      </c>
      <c r="AB299" t="s">
        <v>123</v>
      </c>
      <c r="AC299" t="s">
        <v>113</v>
      </c>
      <c r="AD299" t="s">
        <v>108</v>
      </c>
      <c r="AE299" t="s">
        <v>114</v>
      </c>
      <c r="AF299" t="s">
        <v>115</v>
      </c>
      <c r="AG299" t="s">
        <v>116</v>
      </c>
      <c r="AK299" t="str">
        <f t="shared" si="28"/>
        <v/>
      </c>
      <c r="AL299" t="s">
        <v>4049</v>
      </c>
      <c r="AM299">
        <v>0</v>
      </c>
      <c r="AN299">
        <v>0</v>
      </c>
      <c r="AO299">
        <v>0</v>
      </c>
      <c r="AP299">
        <v>0</v>
      </c>
      <c r="AQ299">
        <v>0</v>
      </c>
      <c r="AR299">
        <v>0</v>
      </c>
      <c r="AS299">
        <v>0</v>
      </c>
      <c r="AT299">
        <v>0</v>
      </c>
      <c r="AU299">
        <v>0</v>
      </c>
      <c r="AV299">
        <v>0</v>
      </c>
      <c r="AW299">
        <v>0</v>
      </c>
      <c r="AX299" s="24" t="str">
        <f t="shared" si="33"/>
        <v/>
      </c>
      <c r="AY299" s="24">
        <f t="shared" si="33"/>
        <v>1</v>
      </c>
      <c r="AZ299" s="24" t="str">
        <f t="shared" si="32"/>
        <v/>
      </c>
      <c r="BA299" s="24" t="str">
        <f t="shared" si="32"/>
        <v/>
      </c>
      <c r="BB299" s="24" t="str">
        <f t="shared" si="32"/>
        <v/>
      </c>
      <c r="BC299" s="24" t="str">
        <f t="shared" si="32"/>
        <v/>
      </c>
      <c r="BD299" s="24" t="str">
        <f t="shared" si="32"/>
        <v/>
      </c>
      <c r="BE299" s="24" t="str">
        <f t="shared" si="32"/>
        <v/>
      </c>
      <c r="BF299" s="24" t="str">
        <f t="shared" si="32"/>
        <v/>
      </c>
      <c r="BG299" s="24" t="str">
        <f t="shared" si="32"/>
        <v/>
      </c>
      <c r="BH299" s="24" t="str">
        <f t="shared" si="29"/>
        <v/>
      </c>
      <c r="BI299" s="24">
        <f t="shared" si="32"/>
        <v>1</v>
      </c>
      <c r="BJ299" s="24" t="str">
        <f t="shared" si="31"/>
        <v/>
      </c>
    </row>
    <row r="300" spans="1:62" ht="15" customHeight="1" x14ac:dyDescent="0.25">
      <c r="A300" t="str">
        <f>"1134127251"</f>
        <v>1134127251</v>
      </c>
      <c r="B300" t="str">
        <f>"00474240"</f>
        <v>00474240</v>
      </c>
      <c r="C300" t="s">
        <v>685</v>
      </c>
      <c r="D300" t="s">
        <v>686</v>
      </c>
      <c r="E300" t="s">
        <v>685</v>
      </c>
      <c r="G300" t="s">
        <v>687</v>
      </c>
      <c r="H300" t="s">
        <v>688</v>
      </c>
      <c r="J300" t="s">
        <v>689</v>
      </c>
      <c r="L300" t="s">
        <v>690</v>
      </c>
      <c r="M300" t="s">
        <v>108</v>
      </c>
      <c r="R300" t="s">
        <v>691</v>
      </c>
      <c r="W300" t="s">
        <v>685</v>
      </c>
      <c r="X300" t="s">
        <v>384</v>
      </c>
      <c r="Y300" t="s">
        <v>239</v>
      </c>
      <c r="Z300" t="s">
        <v>111</v>
      </c>
      <c r="AA300" t="str">
        <f>"13045-2795"</f>
        <v>13045-2795</v>
      </c>
      <c r="AB300" t="s">
        <v>165</v>
      </c>
      <c r="AC300" t="s">
        <v>113</v>
      </c>
      <c r="AD300" t="s">
        <v>108</v>
      </c>
      <c r="AE300" t="s">
        <v>114</v>
      </c>
      <c r="AF300" t="s">
        <v>142</v>
      </c>
      <c r="AG300" t="s">
        <v>116</v>
      </c>
      <c r="AK300" t="str">
        <f t="shared" si="28"/>
        <v/>
      </c>
      <c r="AL300" t="s">
        <v>686</v>
      </c>
      <c r="AM300">
        <v>0</v>
      </c>
      <c r="AN300">
        <v>0</v>
      </c>
      <c r="AO300">
        <v>0</v>
      </c>
      <c r="AP300">
        <v>0</v>
      </c>
      <c r="AQ300">
        <v>0</v>
      </c>
      <c r="AR300">
        <v>0</v>
      </c>
      <c r="AS300">
        <v>0</v>
      </c>
      <c r="AT300">
        <v>0</v>
      </c>
      <c r="AU300">
        <v>0</v>
      </c>
      <c r="AV300">
        <v>0</v>
      </c>
      <c r="AW300">
        <v>0</v>
      </c>
      <c r="AX300" s="24" t="str">
        <f t="shared" si="33"/>
        <v/>
      </c>
      <c r="AY300" s="24" t="str">
        <f t="shared" si="33"/>
        <v/>
      </c>
      <c r="AZ300" s="24" t="str">
        <f t="shared" si="32"/>
        <v/>
      </c>
      <c r="BA300" s="24" t="str">
        <f t="shared" si="32"/>
        <v/>
      </c>
      <c r="BB300" s="24">
        <f t="shared" si="32"/>
        <v>1</v>
      </c>
      <c r="BC300" s="24" t="str">
        <f t="shared" si="32"/>
        <v/>
      </c>
      <c r="BD300" s="24" t="str">
        <f t="shared" si="32"/>
        <v/>
      </c>
      <c r="BE300" s="24" t="str">
        <f t="shared" si="32"/>
        <v/>
      </c>
      <c r="BF300" s="24" t="str">
        <f t="shared" si="32"/>
        <v/>
      </c>
      <c r="BG300" s="24" t="str">
        <f t="shared" si="32"/>
        <v/>
      </c>
      <c r="BH300" s="24" t="str">
        <f t="shared" si="29"/>
        <v/>
      </c>
      <c r="BI300" s="24">
        <f t="shared" si="32"/>
        <v>1</v>
      </c>
      <c r="BJ300" s="24" t="str">
        <f t="shared" si="31"/>
        <v/>
      </c>
    </row>
    <row r="301" spans="1:62" x14ac:dyDescent="0.25">
      <c r="A301" t="str">
        <f>"1609876564"</f>
        <v>1609876564</v>
      </c>
      <c r="B301" t="str">
        <f>"03002637"</f>
        <v>03002637</v>
      </c>
      <c r="C301" t="s">
        <v>692</v>
      </c>
      <c r="D301" t="s">
        <v>693</v>
      </c>
      <c r="E301" t="s">
        <v>694</v>
      </c>
      <c r="G301" t="s">
        <v>687</v>
      </c>
      <c r="H301" t="s">
        <v>688</v>
      </c>
      <c r="J301" t="s">
        <v>689</v>
      </c>
      <c r="L301" t="s">
        <v>695</v>
      </c>
      <c r="M301" t="s">
        <v>139</v>
      </c>
      <c r="R301" t="s">
        <v>696</v>
      </c>
      <c r="W301" t="s">
        <v>694</v>
      </c>
      <c r="X301" t="s">
        <v>384</v>
      </c>
      <c r="Y301" t="s">
        <v>239</v>
      </c>
      <c r="Z301" t="s">
        <v>111</v>
      </c>
      <c r="AA301" t="str">
        <f>"13045-2795"</f>
        <v>13045-2795</v>
      </c>
      <c r="AB301" t="s">
        <v>282</v>
      </c>
      <c r="AC301" t="s">
        <v>113</v>
      </c>
      <c r="AD301" t="s">
        <v>108</v>
      </c>
      <c r="AE301" t="s">
        <v>114</v>
      </c>
      <c r="AF301" t="s">
        <v>142</v>
      </c>
      <c r="AG301" t="s">
        <v>116</v>
      </c>
      <c r="AK301" t="str">
        <f t="shared" si="28"/>
        <v/>
      </c>
      <c r="AL301" t="s">
        <v>693</v>
      </c>
      <c r="AM301">
        <v>0</v>
      </c>
      <c r="AN301">
        <v>0</v>
      </c>
      <c r="AO301">
        <v>0</v>
      </c>
      <c r="AP301">
        <v>0</v>
      </c>
      <c r="AQ301">
        <v>0</v>
      </c>
      <c r="AR301">
        <v>0</v>
      </c>
      <c r="AS301">
        <v>0</v>
      </c>
      <c r="AT301">
        <v>0</v>
      </c>
      <c r="AU301">
        <v>0</v>
      </c>
      <c r="AV301">
        <v>0</v>
      </c>
      <c r="AW301">
        <v>0</v>
      </c>
      <c r="AX301" s="24" t="str">
        <f t="shared" si="33"/>
        <v/>
      </c>
      <c r="AY301" s="24" t="str">
        <f t="shared" si="33"/>
        <v/>
      </c>
      <c r="AZ301" s="24" t="str">
        <f t="shared" si="32"/>
        <v/>
      </c>
      <c r="BA301" s="24">
        <f t="shared" si="32"/>
        <v>1</v>
      </c>
      <c r="BB301" s="24" t="str">
        <f t="shared" si="32"/>
        <v/>
      </c>
      <c r="BC301" s="24" t="str">
        <f t="shared" si="32"/>
        <v/>
      </c>
      <c r="BD301" s="24" t="str">
        <f t="shared" si="32"/>
        <v/>
      </c>
      <c r="BE301" s="24" t="str">
        <f t="shared" si="32"/>
        <v/>
      </c>
      <c r="BF301" s="24" t="str">
        <f t="shared" si="32"/>
        <v/>
      </c>
      <c r="BG301" s="24" t="str">
        <f t="shared" si="32"/>
        <v/>
      </c>
      <c r="BH301" s="24" t="str">
        <f t="shared" si="29"/>
        <v/>
      </c>
      <c r="BI301" s="24">
        <f t="shared" si="32"/>
        <v>1</v>
      </c>
      <c r="BJ301" s="24" t="str">
        <f t="shared" si="31"/>
        <v/>
      </c>
    </row>
    <row r="302" spans="1:62" x14ac:dyDescent="0.25">
      <c r="A302" t="str">
        <f>"1821165416"</f>
        <v>1821165416</v>
      </c>
      <c r="B302" t="str">
        <f>"03180256"</f>
        <v>03180256</v>
      </c>
      <c r="C302" t="s">
        <v>1344</v>
      </c>
      <c r="D302" t="s">
        <v>693</v>
      </c>
      <c r="E302" t="s">
        <v>694</v>
      </c>
      <c r="G302" t="s">
        <v>687</v>
      </c>
      <c r="H302" t="s">
        <v>688</v>
      </c>
      <c r="J302" t="s">
        <v>689</v>
      </c>
      <c r="L302" t="s">
        <v>695</v>
      </c>
      <c r="M302" t="s">
        <v>139</v>
      </c>
      <c r="R302" t="s">
        <v>1345</v>
      </c>
      <c r="W302" t="s">
        <v>1344</v>
      </c>
      <c r="X302" t="s">
        <v>384</v>
      </c>
      <c r="Y302" t="s">
        <v>239</v>
      </c>
      <c r="Z302" t="s">
        <v>111</v>
      </c>
      <c r="AA302" t="str">
        <f>"13045-2795"</f>
        <v>13045-2795</v>
      </c>
      <c r="AB302" t="s">
        <v>282</v>
      </c>
      <c r="AC302" t="s">
        <v>113</v>
      </c>
      <c r="AD302" t="s">
        <v>108</v>
      </c>
      <c r="AE302" t="s">
        <v>114</v>
      </c>
      <c r="AF302" t="s">
        <v>142</v>
      </c>
      <c r="AG302" t="s">
        <v>116</v>
      </c>
      <c r="AK302" t="str">
        <f t="shared" si="28"/>
        <v/>
      </c>
      <c r="AL302" t="s">
        <v>693</v>
      </c>
      <c r="AM302">
        <v>0</v>
      </c>
      <c r="AN302">
        <v>0</v>
      </c>
      <c r="AO302">
        <v>0</v>
      </c>
      <c r="AP302">
        <v>0</v>
      </c>
      <c r="AQ302">
        <v>0</v>
      </c>
      <c r="AR302">
        <v>0</v>
      </c>
      <c r="AS302">
        <v>0</v>
      </c>
      <c r="AT302">
        <v>0</v>
      </c>
      <c r="AU302">
        <v>0</v>
      </c>
      <c r="AV302">
        <v>0</v>
      </c>
      <c r="AW302">
        <v>0</v>
      </c>
      <c r="AX302" s="24" t="str">
        <f t="shared" si="33"/>
        <v/>
      </c>
      <c r="AY302" s="24" t="str">
        <f t="shared" si="33"/>
        <v/>
      </c>
      <c r="AZ302" s="24" t="str">
        <f t="shared" si="32"/>
        <v/>
      </c>
      <c r="BA302" s="24">
        <f t="shared" si="32"/>
        <v>1</v>
      </c>
      <c r="BB302" s="24" t="str">
        <f t="shared" si="32"/>
        <v/>
      </c>
      <c r="BC302" s="24" t="str">
        <f t="shared" si="32"/>
        <v/>
      </c>
      <c r="BD302" s="24" t="str">
        <f t="shared" si="32"/>
        <v/>
      </c>
      <c r="BE302" s="24" t="str">
        <f t="shared" si="32"/>
        <v/>
      </c>
      <c r="BF302" s="24" t="str">
        <f t="shared" si="32"/>
        <v/>
      </c>
      <c r="BG302" s="24" t="str">
        <f t="shared" si="32"/>
        <v/>
      </c>
      <c r="BH302" s="24" t="str">
        <f t="shared" si="29"/>
        <v/>
      </c>
      <c r="BI302" s="24">
        <f t="shared" si="32"/>
        <v>1</v>
      </c>
      <c r="BJ302" s="24" t="str">
        <f t="shared" si="31"/>
        <v/>
      </c>
    </row>
    <row r="303" spans="1:62" ht="15" customHeight="1" x14ac:dyDescent="0.25">
      <c r="A303" t="str">
        <f>"1821001579"</f>
        <v>1821001579</v>
      </c>
      <c r="B303" t="str">
        <f>"02997464"</f>
        <v>02997464</v>
      </c>
      <c r="C303" t="s">
        <v>377</v>
      </c>
      <c r="D303" t="s">
        <v>378</v>
      </c>
      <c r="E303" t="s">
        <v>379</v>
      </c>
      <c r="G303" t="s">
        <v>380</v>
      </c>
      <c r="H303" t="s">
        <v>381</v>
      </c>
      <c r="J303" t="s">
        <v>382</v>
      </c>
      <c r="L303" t="s">
        <v>278</v>
      </c>
      <c r="M303" t="s">
        <v>139</v>
      </c>
      <c r="R303" t="s">
        <v>383</v>
      </c>
      <c r="W303" t="s">
        <v>377</v>
      </c>
      <c r="X303" t="s">
        <v>384</v>
      </c>
      <c r="Y303" t="s">
        <v>239</v>
      </c>
      <c r="Z303" t="s">
        <v>111</v>
      </c>
      <c r="AA303" t="str">
        <f>"13045-2795"</f>
        <v>13045-2795</v>
      </c>
      <c r="AB303" t="s">
        <v>385</v>
      </c>
      <c r="AC303" t="s">
        <v>113</v>
      </c>
      <c r="AD303" t="s">
        <v>108</v>
      </c>
      <c r="AE303" t="s">
        <v>114</v>
      </c>
      <c r="AF303" t="s">
        <v>142</v>
      </c>
      <c r="AG303" t="s">
        <v>116</v>
      </c>
      <c r="AK303" t="str">
        <f t="shared" si="28"/>
        <v/>
      </c>
      <c r="AL303" t="s">
        <v>378</v>
      </c>
      <c r="AM303">
        <v>0</v>
      </c>
      <c r="AN303">
        <v>0</v>
      </c>
      <c r="AO303">
        <v>0</v>
      </c>
      <c r="AP303">
        <v>0</v>
      </c>
      <c r="AQ303">
        <v>0</v>
      </c>
      <c r="AR303">
        <v>0</v>
      </c>
      <c r="AS303">
        <v>0</v>
      </c>
      <c r="AT303">
        <v>0</v>
      </c>
      <c r="AU303">
        <v>0</v>
      </c>
      <c r="AV303">
        <v>0</v>
      </c>
      <c r="AW303">
        <v>0</v>
      </c>
      <c r="AX303" s="24" t="str">
        <f t="shared" si="33"/>
        <v/>
      </c>
      <c r="AY303" s="24" t="str">
        <f t="shared" si="33"/>
        <v/>
      </c>
      <c r="AZ303" s="24" t="str">
        <f t="shared" si="32"/>
        <v/>
      </c>
      <c r="BA303" s="24" t="str">
        <f t="shared" si="32"/>
        <v/>
      </c>
      <c r="BB303" s="24" t="str">
        <f t="shared" si="32"/>
        <v/>
      </c>
      <c r="BC303" s="24">
        <f t="shared" si="32"/>
        <v>1</v>
      </c>
      <c r="BD303" s="24" t="str">
        <f t="shared" si="32"/>
        <v/>
      </c>
      <c r="BE303" s="24" t="str">
        <f t="shared" si="32"/>
        <v/>
      </c>
      <c r="BF303" s="24" t="str">
        <f t="shared" si="32"/>
        <v/>
      </c>
      <c r="BG303" s="24" t="str">
        <f t="shared" si="32"/>
        <v/>
      </c>
      <c r="BH303" s="24" t="str">
        <f t="shared" si="29"/>
        <v/>
      </c>
      <c r="BI303" s="24">
        <f t="shared" si="32"/>
        <v>1</v>
      </c>
      <c r="BJ303" s="24" t="str">
        <f t="shared" si="31"/>
        <v/>
      </c>
    </row>
    <row r="304" spans="1:62" x14ac:dyDescent="0.25">
      <c r="A304" t="str">
        <f>"1730256322"</f>
        <v>1730256322</v>
      </c>
      <c r="B304" t="str">
        <f>"03002646"</f>
        <v>03002646</v>
      </c>
      <c r="C304" t="s">
        <v>694</v>
      </c>
      <c r="D304" t="s">
        <v>693</v>
      </c>
      <c r="E304" t="s">
        <v>694</v>
      </c>
      <c r="G304" t="s">
        <v>687</v>
      </c>
      <c r="H304" t="s">
        <v>688</v>
      </c>
      <c r="J304" t="s">
        <v>689</v>
      </c>
      <c r="L304" t="s">
        <v>695</v>
      </c>
      <c r="M304" t="s">
        <v>139</v>
      </c>
      <c r="R304" t="s">
        <v>1346</v>
      </c>
      <c r="W304" t="s">
        <v>694</v>
      </c>
      <c r="X304" t="s">
        <v>1347</v>
      </c>
      <c r="Y304" t="s">
        <v>1272</v>
      </c>
      <c r="Z304" t="s">
        <v>111</v>
      </c>
      <c r="AA304" t="str">
        <f>"13021-3606"</f>
        <v>13021-3606</v>
      </c>
      <c r="AB304" t="s">
        <v>282</v>
      </c>
      <c r="AC304" t="s">
        <v>113</v>
      </c>
      <c r="AD304" t="s">
        <v>108</v>
      </c>
      <c r="AE304" t="s">
        <v>114</v>
      </c>
      <c r="AF304" t="s">
        <v>142</v>
      </c>
      <c r="AG304" t="s">
        <v>116</v>
      </c>
      <c r="AK304" t="str">
        <f t="shared" si="28"/>
        <v/>
      </c>
      <c r="AL304" t="s">
        <v>693</v>
      </c>
      <c r="AM304">
        <v>0</v>
      </c>
      <c r="AN304">
        <v>0</v>
      </c>
      <c r="AO304">
        <v>0</v>
      </c>
      <c r="AP304">
        <v>0</v>
      </c>
      <c r="AQ304">
        <v>0</v>
      </c>
      <c r="AR304">
        <v>0</v>
      </c>
      <c r="AS304">
        <v>0</v>
      </c>
      <c r="AT304">
        <v>0</v>
      </c>
      <c r="AU304">
        <v>0</v>
      </c>
      <c r="AV304">
        <v>0</v>
      </c>
      <c r="AW304">
        <v>0</v>
      </c>
      <c r="AX304" s="24" t="str">
        <f t="shared" si="33"/>
        <v/>
      </c>
      <c r="AY304" s="24" t="str">
        <f t="shared" si="33"/>
        <v/>
      </c>
      <c r="AZ304" s="24" t="str">
        <f t="shared" si="32"/>
        <v/>
      </c>
      <c r="BA304" s="24">
        <f t="shared" si="32"/>
        <v>1</v>
      </c>
      <c r="BB304" s="24" t="str">
        <f t="shared" si="32"/>
        <v/>
      </c>
      <c r="BC304" s="24" t="str">
        <f t="shared" si="32"/>
        <v/>
      </c>
      <c r="BD304" s="24" t="str">
        <f t="shared" si="32"/>
        <v/>
      </c>
      <c r="BE304" s="24" t="str">
        <f t="shared" si="32"/>
        <v/>
      </c>
      <c r="BF304" s="24" t="str">
        <f t="shared" si="32"/>
        <v/>
      </c>
      <c r="BG304" s="24" t="str">
        <f t="shared" si="32"/>
        <v/>
      </c>
      <c r="BH304" s="24" t="str">
        <f t="shared" si="29"/>
        <v/>
      </c>
      <c r="BI304" s="24">
        <f t="shared" si="32"/>
        <v>1</v>
      </c>
      <c r="BJ304" s="24" t="str">
        <f t="shared" si="31"/>
        <v/>
      </c>
    </row>
    <row r="305" spans="1:62" x14ac:dyDescent="0.25">
      <c r="A305" t="str">
        <f>"1164421202"</f>
        <v>1164421202</v>
      </c>
      <c r="B305" t="str">
        <f>"00365559"</f>
        <v>00365559</v>
      </c>
      <c r="C305" t="s">
        <v>694</v>
      </c>
      <c r="D305" t="s">
        <v>693</v>
      </c>
      <c r="E305" t="s">
        <v>694</v>
      </c>
      <c r="G305" t="s">
        <v>687</v>
      </c>
      <c r="H305" t="s">
        <v>688</v>
      </c>
      <c r="J305" t="s">
        <v>689</v>
      </c>
      <c r="L305" t="s">
        <v>695</v>
      </c>
      <c r="M305" t="s">
        <v>139</v>
      </c>
      <c r="R305" t="s">
        <v>1348</v>
      </c>
      <c r="W305" t="s">
        <v>694</v>
      </c>
      <c r="X305" t="s">
        <v>384</v>
      </c>
      <c r="Y305" t="s">
        <v>239</v>
      </c>
      <c r="Z305" t="s">
        <v>111</v>
      </c>
      <c r="AA305" t="str">
        <f>"13045-2795"</f>
        <v>13045-2795</v>
      </c>
      <c r="AB305" t="s">
        <v>282</v>
      </c>
      <c r="AC305" t="s">
        <v>113</v>
      </c>
      <c r="AD305" t="s">
        <v>108</v>
      </c>
      <c r="AE305" t="s">
        <v>114</v>
      </c>
      <c r="AF305" t="s">
        <v>142</v>
      </c>
      <c r="AG305" t="s">
        <v>116</v>
      </c>
      <c r="AK305" t="str">
        <f t="shared" si="28"/>
        <v/>
      </c>
      <c r="AL305" t="s">
        <v>693</v>
      </c>
      <c r="AM305">
        <v>0</v>
      </c>
      <c r="AN305">
        <v>0</v>
      </c>
      <c r="AO305">
        <v>0</v>
      </c>
      <c r="AP305">
        <v>0</v>
      </c>
      <c r="AQ305">
        <v>0</v>
      </c>
      <c r="AR305">
        <v>0</v>
      </c>
      <c r="AS305">
        <v>0</v>
      </c>
      <c r="AT305">
        <v>0</v>
      </c>
      <c r="AU305">
        <v>0</v>
      </c>
      <c r="AV305">
        <v>0</v>
      </c>
      <c r="AW305">
        <v>0</v>
      </c>
      <c r="AX305" s="24" t="str">
        <f t="shared" si="33"/>
        <v/>
      </c>
      <c r="AY305" s="24" t="str">
        <f t="shared" si="33"/>
        <v/>
      </c>
      <c r="AZ305" s="24" t="str">
        <f t="shared" si="32"/>
        <v/>
      </c>
      <c r="BA305" s="24">
        <f t="shared" si="32"/>
        <v>1</v>
      </c>
      <c r="BB305" s="24" t="str">
        <f t="shared" si="32"/>
        <v/>
      </c>
      <c r="BC305" s="24" t="str">
        <f t="shared" si="32"/>
        <v/>
      </c>
      <c r="BD305" s="24" t="str">
        <f t="shared" si="32"/>
        <v/>
      </c>
      <c r="BE305" s="24" t="str">
        <f t="shared" si="32"/>
        <v/>
      </c>
      <c r="BF305" s="24" t="str">
        <f t="shared" si="32"/>
        <v/>
      </c>
      <c r="BG305" s="24" t="str">
        <f t="shared" si="32"/>
        <v/>
      </c>
      <c r="BH305" s="24" t="str">
        <f t="shared" si="29"/>
        <v/>
      </c>
      <c r="BI305" s="24">
        <f t="shared" si="32"/>
        <v>1</v>
      </c>
      <c r="BJ305" s="24" t="str">
        <f t="shared" si="31"/>
        <v/>
      </c>
    </row>
    <row r="306" spans="1:62" x14ac:dyDescent="0.25">
      <c r="A306" t="str">
        <f>"1033117635"</f>
        <v>1033117635</v>
      </c>
      <c r="B306" t="str">
        <f>"00279176"</f>
        <v>00279176</v>
      </c>
      <c r="C306" t="s">
        <v>1351</v>
      </c>
      <c r="D306" t="s">
        <v>1350</v>
      </c>
      <c r="E306" t="s">
        <v>1351</v>
      </c>
      <c r="G306" t="s">
        <v>1300</v>
      </c>
      <c r="H306" t="s">
        <v>1301</v>
      </c>
      <c r="J306" t="s">
        <v>1072</v>
      </c>
      <c r="L306" t="s">
        <v>300</v>
      </c>
      <c r="M306" t="s">
        <v>139</v>
      </c>
      <c r="R306" t="s">
        <v>4364</v>
      </c>
      <c r="W306" t="s">
        <v>1356</v>
      </c>
      <c r="X306" t="s">
        <v>238</v>
      </c>
      <c r="Y306" t="s">
        <v>239</v>
      </c>
      <c r="Z306" t="s">
        <v>111</v>
      </c>
      <c r="AA306" t="str">
        <f t="shared" ref="AA306:AA311" si="34">"13045-1206"</f>
        <v>13045-1206</v>
      </c>
      <c r="AB306" t="s">
        <v>303</v>
      </c>
      <c r="AC306" t="s">
        <v>113</v>
      </c>
      <c r="AD306" t="s">
        <v>108</v>
      </c>
      <c r="AE306" t="s">
        <v>114</v>
      </c>
      <c r="AF306" t="s">
        <v>142</v>
      </c>
      <c r="AG306" t="s">
        <v>116</v>
      </c>
      <c r="AK306" t="str">
        <f t="shared" si="28"/>
        <v/>
      </c>
      <c r="AL306" t="s">
        <v>1350</v>
      </c>
      <c r="AM306">
        <v>1</v>
      </c>
      <c r="AN306">
        <v>1</v>
      </c>
      <c r="AO306">
        <v>1</v>
      </c>
      <c r="AP306">
        <v>0</v>
      </c>
      <c r="AQ306">
        <v>1</v>
      </c>
      <c r="AR306">
        <v>0</v>
      </c>
      <c r="AS306">
        <v>0</v>
      </c>
      <c r="AT306">
        <v>0</v>
      </c>
      <c r="AU306">
        <v>0</v>
      </c>
      <c r="AV306">
        <v>0</v>
      </c>
      <c r="AW306">
        <v>0</v>
      </c>
      <c r="AX306" s="24" t="str">
        <f t="shared" si="33"/>
        <v/>
      </c>
      <c r="AY306" s="24" t="str">
        <f t="shared" si="33"/>
        <v/>
      </c>
      <c r="AZ306" s="24">
        <f t="shared" si="32"/>
        <v>1</v>
      </c>
      <c r="BA306" s="24">
        <f t="shared" si="32"/>
        <v>1</v>
      </c>
      <c r="BB306" s="24" t="str">
        <f t="shared" si="32"/>
        <v/>
      </c>
      <c r="BC306" s="24">
        <f t="shared" si="32"/>
        <v>1</v>
      </c>
      <c r="BD306" s="24" t="str">
        <f t="shared" si="32"/>
        <v/>
      </c>
      <c r="BE306" s="24" t="str">
        <f t="shared" si="32"/>
        <v/>
      </c>
      <c r="BF306" s="24" t="str">
        <f t="shared" si="32"/>
        <v/>
      </c>
      <c r="BG306" s="24" t="str">
        <f t="shared" si="32"/>
        <v/>
      </c>
      <c r="BH306" s="24" t="str">
        <f t="shared" si="29"/>
        <v/>
      </c>
      <c r="BI306" s="24">
        <f t="shared" si="32"/>
        <v>1</v>
      </c>
      <c r="BJ306" s="24" t="str">
        <f t="shared" si="31"/>
        <v/>
      </c>
    </row>
    <row r="307" spans="1:62" x14ac:dyDescent="0.25">
      <c r="A307" t="str">
        <f>"1487655056"</f>
        <v>1487655056</v>
      </c>
      <c r="B307" t="str">
        <f>"03000433"</f>
        <v>03000433</v>
      </c>
      <c r="C307" t="s">
        <v>1349</v>
      </c>
      <c r="D307" t="s">
        <v>1350</v>
      </c>
      <c r="E307" t="s">
        <v>1351</v>
      </c>
      <c r="G307" t="s">
        <v>1352</v>
      </c>
      <c r="H307" t="s">
        <v>1353</v>
      </c>
      <c r="J307" t="s">
        <v>1354</v>
      </c>
      <c r="L307" t="s">
        <v>300</v>
      </c>
      <c r="M307" t="s">
        <v>139</v>
      </c>
      <c r="R307" t="s">
        <v>1355</v>
      </c>
      <c r="W307" t="s">
        <v>1356</v>
      </c>
      <c r="X307" t="s">
        <v>238</v>
      </c>
      <c r="Y307" t="s">
        <v>239</v>
      </c>
      <c r="Z307" t="s">
        <v>111</v>
      </c>
      <c r="AA307" t="str">
        <f t="shared" si="34"/>
        <v>13045-1206</v>
      </c>
      <c r="AB307" t="s">
        <v>303</v>
      </c>
      <c r="AC307" t="s">
        <v>113</v>
      </c>
      <c r="AD307" t="s">
        <v>108</v>
      </c>
      <c r="AE307" t="s">
        <v>114</v>
      </c>
      <c r="AF307" t="s">
        <v>142</v>
      </c>
      <c r="AG307" t="s">
        <v>116</v>
      </c>
      <c r="AK307" t="str">
        <f t="shared" si="28"/>
        <v/>
      </c>
      <c r="AL307" t="s">
        <v>1350</v>
      </c>
      <c r="AM307">
        <v>1</v>
      </c>
      <c r="AN307">
        <v>1</v>
      </c>
      <c r="AO307">
        <v>1</v>
      </c>
      <c r="AP307">
        <v>0</v>
      </c>
      <c r="AQ307">
        <v>1</v>
      </c>
      <c r="AR307">
        <v>0</v>
      </c>
      <c r="AS307">
        <v>0</v>
      </c>
      <c r="AT307">
        <v>0</v>
      </c>
      <c r="AU307">
        <v>0</v>
      </c>
      <c r="AV307">
        <v>0</v>
      </c>
      <c r="AW307">
        <v>0</v>
      </c>
      <c r="AX307" s="24" t="str">
        <f t="shared" si="33"/>
        <v/>
      </c>
      <c r="AY307" s="24" t="str">
        <f t="shared" si="33"/>
        <v/>
      </c>
      <c r="AZ307" s="24">
        <f t="shared" si="32"/>
        <v>1</v>
      </c>
      <c r="BA307" s="24">
        <f t="shared" si="32"/>
        <v>1</v>
      </c>
      <c r="BB307" s="24" t="str">
        <f t="shared" si="32"/>
        <v/>
      </c>
      <c r="BC307" s="24">
        <f t="shared" si="32"/>
        <v>1</v>
      </c>
      <c r="BD307" s="24" t="str">
        <f t="shared" si="32"/>
        <v/>
      </c>
      <c r="BE307" s="24" t="str">
        <f t="shared" si="32"/>
        <v/>
      </c>
      <c r="BF307" s="24" t="str">
        <f t="shared" si="32"/>
        <v/>
      </c>
      <c r="BG307" s="24" t="str">
        <f t="shared" si="32"/>
        <v/>
      </c>
      <c r="BH307" s="24" t="str">
        <f t="shared" si="29"/>
        <v/>
      </c>
      <c r="BI307" s="24">
        <f t="shared" si="32"/>
        <v>1</v>
      </c>
      <c r="BJ307" s="24" t="str">
        <f t="shared" si="31"/>
        <v/>
      </c>
    </row>
    <row r="308" spans="1:62" x14ac:dyDescent="0.25">
      <c r="A308" t="str">
        <f>"1740287531"</f>
        <v>1740287531</v>
      </c>
      <c r="B308" t="str">
        <f>"03000442"</f>
        <v>03000442</v>
      </c>
      <c r="C308" t="s">
        <v>1349</v>
      </c>
      <c r="D308" t="s">
        <v>1350</v>
      </c>
      <c r="E308" t="s">
        <v>1351</v>
      </c>
      <c r="G308" t="s">
        <v>1352</v>
      </c>
      <c r="H308" t="s">
        <v>1353</v>
      </c>
      <c r="J308" t="s">
        <v>1354</v>
      </c>
      <c r="L308" t="s">
        <v>300</v>
      </c>
      <c r="M308" t="s">
        <v>139</v>
      </c>
      <c r="R308" t="s">
        <v>1357</v>
      </c>
      <c r="W308" t="s">
        <v>1351</v>
      </c>
      <c r="X308" t="s">
        <v>238</v>
      </c>
      <c r="Y308" t="s">
        <v>239</v>
      </c>
      <c r="Z308" t="s">
        <v>111</v>
      </c>
      <c r="AA308" t="str">
        <f t="shared" si="34"/>
        <v>13045-1206</v>
      </c>
      <c r="AB308" t="s">
        <v>385</v>
      </c>
      <c r="AC308" t="s">
        <v>113</v>
      </c>
      <c r="AD308" t="s">
        <v>108</v>
      </c>
      <c r="AE308" t="s">
        <v>114</v>
      </c>
      <c r="AF308" t="s">
        <v>142</v>
      </c>
      <c r="AG308" t="s">
        <v>116</v>
      </c>
      <c r="AK308" t="str">
        <f t="shared" si="28"/>
        <v/>
      </c>
      <c r="AL308" t="s">
        <v>1350</v>
      </c>
      <c r="AM308">
        <v>1</v>
      </c>
      <c r="AN308">
        <v>1</v>
      </c>
      <c r="AO308">
        <v>1</v>
      </c>
      <c r="AP308">
        <v>0</v>
      </c>
      <c r="AQ308">
        <v>1</v>
      </c>
      <c r="AR308">
        <v>0</v>
      </c>
      <c r="AS308">
        <v>0</v>
      </c>
      <c r="AT308">
        <v>0</v>
      </c>
      <c r="AU308">
        <v>0</v>
      </c>
      <c r="AV308">
        <v>0</v>
      </c>
      <c r="AW308">
        <v>0</v>
      </c>
      <c r="AX308" s="24" t="str">
        <f t="shared" si="33"/>
        <v/>
      </c>
      <c r="AY308" s="24" t="str">
        <f t="shared" si="33"/>
        <v/>
      </c>
      <c r="AZ308" s="24">
        <f t="shared" si="32"/>
        <v>1</v>
      </c>
      <c r="BA308" s="24">
        <f t="shared" si="32"/>
        <v>1</v>
      </c>
      <c r="BB308" s="24" t="str">
        <f t="shared" si="32"/>
        <v/>
      </c>
      <c r="BC308" s="24">
        <f t="shared" si="32"/>
        <v>1</v>
      </c>
      <c r="BD308" s="24" t="str">
        <f t="shared" si="32"/>
        <v/>
      </c>
      <c r="BE308" s="24" t="str">
        <f t="shared" si="32"/>
        <v/>
      </c>
      <c r="BF308" s="24" t="str">
        <f t="shared" si="32"/>
        <v/>
      </c>
      <c r="BG308" s="24" t="str">
        <f t="shared" si="32"/>
        <v/>
      </c>
      <c r="BH308" s="24" t="str">
        <f t="shared" si="29"/>
        <v/>
      </c>
      <c r="BI308" s="24">
        <f t="shared" si="32"/>
        <v>1</v>
      </c>
      <c r="BJ308" s="24" t="str">
        <f t="shared" si="31"/>
        <v/>
      </c>
    </row>
    <row r="309" spans="1:62" x14ac:dyDescent="0.25">
      <c r="A309" t="str">
        <f>"1396743993"</f>
        <v>1396743993</v>
      </c>
      <c r="B309" t="str">
        <f>"03000424"</f>
        <v>03000424</v>
      </c>
      <c r="C309" t="s">
        <v>1349</v>
      </c>
      <c r="D309" t="s">
        <v>1350</v>
      </c>
      <c r="E309" t="s">
        <v>1351</v>
      </c>
      <c r="G309" t="s">
        <v>1352</v>
      </c>
      <c r="H309" t="s">
        <v>1353</v>
      </c>
      <c r="J309" t="s">
        <v>1354</v>
      </c>
      <c r="L309" t="s">
        <v>300</v>
      </c>
      <c r="M309" t="s">
        <v>139</v>
      </c>
      <c r="R309" t="s">
        <v>4825</v>
      </c>
      <c r="W309" t="s">
        <v>1356</v>
      </c>
      <c r="X309" t="s">
        <v>238</v>
      </c>
      <c r="Y309" t="s">
        <v>239</v>
      </c>
      <c r="Z309" t="s">
        <v>111</v>
      </c>
      <c r="AA309" t="str">
        <f t="shared" si="34"/>
        <v>13045-1206</v>
      </c>
      <c r="AB309" t="s">
        <v>303</v>
      </c>
      <c r="AC309" t="s">
        <v>113</v>
      </c>
      <c r="AD309" t="s">
        <v>108</v>
      </c>
      <c r="AE309" t="s">
        <v>114</v>
      </c>
      <c r="AF309" t="s">
        <v>142</v>
      </c>
      <c r="AG309" t="s">
        <v>116</v>
      </c>
      <c r="AK309" t="str">
        <f t="shared" si="28"/>
        <v/>
      </c>
      <c r="AL309" t="s">
        <v>1350</v>
      </c>
      <c r="AM309">
        <v>1</v>
      </c>
      <c r="AN309">
        <v>1</v>
      </c>
      <c r="AO309">
        <v>1</v>
      </c>
      <c r="AP309">
        <v>0</v>
      </c>
      <c r="AQ309">
        <v>1</v>
      </c>
      <c r="AR309">
        <v>0</v>
      </c>
      <c r="AS309">
        <v>0</v>
      </c>
      <c r="AT309">
        <v>0</v>
      </c>
      <c r="AU309">
        <v>0</v>
      </c>
      <c r="AV309">
        <v>0</v>
      </c>
      <c r="AW309">
        <v>0</v>
      </c>
      <c r="AX309" s="24" t="str">
        <f t="shared" si="33"/>
        <v/>
      </c>
      <c r="AY309" s="24" t="str">
        <f t="shared" si="33"/>
        <v/>
      </c>
      <c r="AZ309" s="24">
        <f t="shared" si="32"/>
        <v>1</v>
      </c>
      <c r="BA309" s="24">
        <f t="shared" si="32"/>
        <v>1</v>
      </c>
      <c r="BB309" s="24" t="str">
        <f t="shared" si="32"/>
        <v/>
      </c>
      <c r="BC309" s="24">
        <f t="shared" si="32"/>
        <v>1</v>
      </c>
      <c r="BD309" s="24" t="str">
        <f t="shared" si="32"/>
        <v/>
      </c>
      <c r="BE309" s="24" t="str">
        <f t="shared" si="32"/>
        <v/>
      </c>
      <c r="BF309" s="24" t="str">
        <f t="shared" si="32"/>
        <v/>
      </c>
      <c r="BG309" s="24" t="str">
        <f t="shared" si="32"/>
        <v/>
      </c>
      <c r="BH309" s="24" t="str">
        <f t="shared" si="29"/>
        <v/>
      </c>
      <c r="BI309" s="24">
        <f t="shared" si="32"/>
        <v>1</v>
      </c>
      <c r="BJ309" s="24" t="str">
        <f t="shared" si="31"/>
        <v/>
      </c>
    </row>
    <row r="310" spans="1:62" ht="15" customHeight="1" x14ac:dyDescent="0.25">
      <c r="A310" t="str">
        <f>"1649278177"</f>
        <v>1649278177</v>
      </c>
      <c r="B310" t="str">
        <f>"01444733"</f>
        <v>01444733</v>
      </c>
      <c r="C310" t="s">
        <v>5488</v>
      </c>
      <c r="D310" t="s">
        <v>5489</v>
      </c>
      <c r="E310" t="s">
        <v>5490</v>
      </c>
      <c r="G310" t="s">
        <v>1300</v>
      </c>
      <c r="H310" t="s">
        <v>1301</v>
      </c>
      <c r="J310" t="s">
        <v>1072</v>
      </c>
      <c r="L310" t="s">
        <v>1382</v>
      </c>
      <c r="M310" t="s">
        <v>139</v>
      </c>
      <c r="R310" t="s">
        <v>4364</v>
      </c>
      <c r="W310" t="s">
        <v>5488</v>
      </c>
      <c r="X310" t="s">
        <v>238</v>
      </c>
      <c r="Y310" t="s">
        <v>239</v>
      </c>
      <c r="Z310" t="s">
        <v>111</v>
      </c>
      <c r="AA310" t="str">
        <f t="shared" si="34"/>
        <v>13045-1206</v>
      </c>
      <c r="AB310" t="s">
        <v>303</v>
      </c>
      <c r="AC310" t="s">
        <v>113</v>
      </c>
      <c r="AD310" t="s">
        <v>108</v>
      </c>
      <c r="AE310" t="s">
        <v>114</v>
      </c>
      <c r="AF310" t="s">
        <v>142</v>
      </c>
      <c r="AG310" t="s">
        <v>116</v>
      </c>
      <c r="AK310" t="str">
        <f t="shared" si="28"/>
        <v/>
      </c>
      <c r="AL310" t="s">
        <v>5489</v>
      </c>
      <c r="AM310">
        <v>1</v>
      </c>
      <c r="AN310">
        <v>1</v>
      </c>
      <c r="AO310">
        <v>1</v>
      </c>
      <c r="AP310">
        <v>0</v>
      </c>
      <c r="AQ310">
        <v>1</v>
      </c>
      <c r="AR310">
        <v>0</v>
      </c>
      <c r="AS310">
        <v>0</v>
      </c>
      <c r="AT310">
        <v>0</v>
      </c>
      <c r="AU310">
        <v>0</v>
      </c>
      <c r="AV310">
        <v>0</v>
      </c>
      <c r="AW310">
        <v>0</v>
      </c>
      <c r="AX310" s="24" t="str">
        <f t="shared" si="33"/>
        <v/>
      </c>
      <c r="AY310" s="24" t="str">
        <f t="shared" si="33"/>
        <v/>
      </c>
      <c r="AZ310" s="24" t="str">
        <f t="shared" si="32"/>
        <v/>
      </c>
      <c r="BA310" s="24" t="str">
        <f t="shared" si="32"/>
        <v/>
      </c>
      <c r="BB310" s="24" t="str">
        <f t="shared" si="32"/>
        <v/>
      </c>
      <c r="BC310" s="24" t="str">
        <f t="shared" si="32"/>
        <v/>
      </c>
      <c r="BD310" s="24" t="str">
        <f t="shared" si="32"/>
        <v/>
      </c>
      <c r="BE310" s="24">
        <f t="shared" si="32"/>
        <v>1</v>
      </c>
      <c r="BF310" s="24" t="str">
        <f t="shared" si="32"/>
        <v/>
      </c>
      <c r="BG310" s="24" t="str">
        <f t="shared" si="32"/>
        <v/>
      </c>
      <c r="BH310" s="24" t="str">
        <f t="shared" si="29"/>
        <v/>
      </c>
      <c r="BI310" s="24">
        <f t="shared" si="32"/>
        <v>1</v>
      </c>
      <c r="BJ310" s="24" t="str">
        <f t="shared" si="31"/>
        <v/>
      </c>
    </row>
    <row r="311" spans="1:62" ht="15" customHeight="1" x14ac:dyDescent="0.25">
      <c r="A311" t="str">
        <f>"1619140670"</f>
        <v>1619140670</v>
      </c>
      <c r="B311" t="str">
        <f>"01444751"</f>
        <v>01444751</v>
      </c>
      <c r="C311" t="s">
        <v>4354</v>
      </c>
      <c r="D311" t="s">
        <v>4355</v>
      </c>
      <c r="E311" t="s">
        <v>1356</v>
      </c>
      <c r="G311" t="s">
        <v>1352</v>
      </c>
      <c r="H311" t="s">
        <v>1353</v>
      </c>
      <c r="J311" t="s">
        <v>1354</v>
      </c>
      <c r="L311" t="s">
        <v>68</v>
      </c>
      <c r="M311" t="s">
        <v>108</v>
      </c>
      <c r="R311" t="s">
        <v>1357</v>
      </c>
      <c r="W311" t="s">
        <v>1356</v>
      </c>
      <c r="X311" t="s">
        <v>238</v>
      </c>
      <c r="Y311" t="s">
        <v>239</v>
      </c>
      <c r="Z311" t="s">
        <v>111</v>
      </c>
      <c r="AA311" t="str">
        <f t="shared" si="34"/>
        <v>13045-1206</v>
      </c>
      <c r="AB311" t="s">
        <v>303</v>
      </c>
      <c r="AC311" t="s">
        <v>113</v>
      </c>
      <c r="AD311" t="s">
        <v>108</v>
      </c>
      <c r="AE311" t="s">
        <v>114</v>
      </c>
      <c r="AF311" t="s">
        <v>142</v>
      </c>
      <c r="AG311" t="s">
        <v>116</v>
      </c>
      <c r="AK311" t="str">
        <f t="shared" si="28"/>
        <v/>
      </c>
      <c r="AL311" t="s">
        <v>4355</v>
      </c>
      <c r="AM311">
        <v>1</v>
      </c>
      <c r="AN311">
        <v>1</v>
      </c>
      <c r="AO311">
        <v>1</v>
      </c>
      <c r="AP311">
        <v>0</v>
      </c>
      <c r="AQ311">
        <v>1</v>
      </c>
      <c r="AR311">
        <v>0</v>
      </c>
      <c r="AS311">
        <v>0</v>
      </c>
      <c r="AT311">
        <v>0</v>
      </c>
      <c r="AU311">
        <v>0</v>
      </c>
      <c r="AV311">
        <v>0</v>
      </c>
      <c r="AW311">
        <v>0</v>
      </c>
      <c r="AX311" s="24" t="str">
        <f t="shared" si="33"/>
        <v/>
      </c>
      <c r="AY311" s="24" t="str">
        <f t="shared" si="33"/>
        <v/>
      </c>
      <c r="AZ311" s="24" t="str">
        <f t="shared" si="32"/>
        <v/>
      </c>
      <c r="BA311" s="24" t="str">
        <f t="shared" si="32"/>
        <v/>
      </c>
      <c r="BB311" s="24" t="str">
        <f t="shared" si="32"/>
        <v/>
      </c>
      <c r="BC311" s="24" t="str">
        <f t="shared" si="32"/>
        <v/>
      </c>
      <c r="BD311" s="24" t="str">
        <f t="shared" si="32"/>
        <v/>
      </c>
      <c r="BE311" s="24" t="str">
        <f t="shared" si="32"/>
        <v/>
      </c>
      <c r="BF311" s="24" t="str">
        <f t="shared" si="32"/>
        <v/>
      </c>
      <c r="BG311" s="24" t="str">
        <f t="shared" si="32"/>
        <v/>
      </c>
      <c r="BH311" s="24" t="str">
        <f t="shared" si="29"/>
        <v/>
      </c>
      <c r="BI311" s="24">
        <f t="shared" si="32"/>
        <v>1</v>
      </c>
      <c r="BJ311" s="24" t="str">
        <f t="shared" si="31"/>
        <v/>
      </c>
    </row>
    <row r="312" spans="1:62" ht="15" customHeight="1" x14ac:dyDescent="0.25">
      <c r="A312" t="str">
        <f>"1023054376"</f>
        <v>1023054376</v>
      </c>
      <c r="B312" t="str">
        <f>"00689689"</f>
        <v>00689689</v>
      </c>
      <c r="C312" t="s">
        <v>6856</v>
      </c>
      <c r="D312" t="s">
        <v>7151</v>
      </c>
      <c r="E312" t="s">
        <v>7007</v>
      </c>
      <c r="G312" t="s">
        <v>7186</v>
      </c>
      <c r="H312" t="s">
        <v>7187</v>
      </c>
      <c r="J312" t="s">
        <v>7188</v>
      </c>
      <c r="L312" t="s">
        <v>289</v>
      </c>
      <c r="M312" t="s">
        <v>139</v>
      </c>
      <c r="R312" t="s">
        <v>6856</v>
      </c>
      <c r="W312" t="s">
        <v>7007</v>
      </c>
      <c r="X312" t="s">
        <v>7008</v>
      </c>
      <c r="Y312" t="s">
        <v>7009</v>
      </c>
      <c r="Z312" t="s">
        <v>111</v>
      </c>
      <c r="AA312" t="str">
        <f>"14454-1197"</f>
        <v>14454-1197</v>
      </c>
      <c r="AB312" t="s">
        <v>282</v>
      </c>
      <c r="AC312" t="s">
        <v>113</v>
      </c>
      <c r="AD312" t="s">
        <v>108</v>
      </c>
      <c r="AE312" t="s">
        <v>114</v>
      </c>
      <c r="AF312" t="s">
        <v>149</v>
      </c>
      <c r="AG312" t="s">
        <v>116</v>
      </c>
      <c r="AK312" t="str">
        <f t="shared" si="28"/>
        <v/>
      </c>
      <c r="AL312" t="s">
        <v>7151</v>
      </c>
      <c r="AM312">
        <v>1</v>
      </c>
      <c r="AN312">
        <v>0</v>
      </c>
      <c r="AO312">
        <v>0</v>
      </c>
      <c r="AP312">
        <v>1</v>
      </c>
      <c r="AQ312">
        <v>1</v>
      </c>
      <c r="AR312">
        <v>0</v>
      </c>
      <c r="AS312">
        <v>0</v>
      </c>
      <c r="AT312">
        <v>0</v>
      </c>
      <c r="AU312">
        <v>0</v>
      </c>
      <c r="AV312">
        <v>0</v>
      </c>
      <c r="AW312">
        <v>0</v>
      </c>
      <c r="AX312" s="24" t="str">
        <f t="shared" si="33"/>
        <v/>
      </c>
      <c r="AY312" s="24" t="str">
        <f t="shared" si="33"/>
        <v/>
      </c>
      <c r="AZ312" s="24" t="str">
        <f t="shared" si="32"/>
        <v/>
      </c>
      <c r="BA312" s="24" t="str">
        <f t="shared" si="32"/>
        <v/>
      </c>
      <c r="BB312" s="24" t="str">
        <f t="shared" si="32"/>
        <v/>
      </c>
      <c r="BC312" s="24" t="str">
        <f t="shared" si="32"/>
        <v/>
      </c>
      <c r="BD312" s="24">
        <f t="shared" si="32"/>
        <v>1</v>
      </c>
      <c r="BE312" s="24" t="str">
        <f t="shared" si="32"/>
        <v/>
      </c>
      <c r="BF312" s="24" t="str">
        <f t="shared" si="32"/>
        <v/>
      </c>
      <c r="BG312" s="24" t="str">
        <f t="shared" si="32"/>
        <v/>
      </c>
      <c r="BH312" s="24" t="str">
        <f t="shared" si="29"/>
        <v/>
      </c>
      <c r="BI312" s="24">
        <f t="shared" si="32"/>
        <v>1</v>
      </c>
      <c r="BJ312" s="24" t="str">
        <f t="shared" si="31"/>
        <v/>
      </c>
    </row>
    <row r="313" spans="1:62" ht="15" customHeight="1" x14ac:dyDescent="0.25">
      <c r="A313" t="str">
        <f>"1982709846"</f>
        <v>1982709846</v>
      </c>
      <c r="B313" t="str">
        <f>"00357488"</f>
        <v>00357488</v>
      </c>
      <c r="C313" t="s">
        <v>5694</v>
      </c>
      <c r="D313" t="s">
        <v>5695</v>
      </c>
      <c r="E313" t="s">
        <v>5696</v>
      </c>
      <c r="G313" t="s">
        <v>5697</v>
      </c>
      <c r="H313" t="s">
        <v>5698</v>
      </c>
      <c r="J313" t="s">
        <v>5699</v>
      </c>
      <c r="L313" t="s">
        <v>278</v>
      </c>
      <c r="M313" t="s">
        <v>139</v>
      </c>
      <c r="R313" t="s">
        <v>2789</v>
      </c>
      <c r="W313" t="s">
        <v>5696</v>
      </c>
      <c r="X313" t="s">
        <v>5700</v>
      </c>
      <c r="Y313" t="s">
        <v>2791</v>
      </c>
      <c r="Z313" t="s">
        <v>111</v>
      </c>
      <c r="AA313" t="str">
        <f>"14810-1508"</f>
        <v>14810-1508</v>
      </c>
      <c r="AB313" t="s">
        <v>385</v>
      </c>
      <c r="AC313" t="s">
        <v>113</v>
      </c>
      <c r="AD313" t="s">
        <v>108</v>
      </c>
      <c r="AE313" t="s">
        <v>114</v>
      </c>
      <c r="AF313" t="s">
        <v>149</v>
      </c>
      <c r="AG313" t="s">
        <v>116</v>
      </c>
      <c r="AK313" t="str">
        <f t="shared" si="28"/>
        <v/>
      </c>
      <c r="AL313" t="s">
        <v>5695</v>
      </c>
      <c r="AM313">
        <v>0</v>
      </c>
      <c r="AN313">
        <v>0</v>
      </c>
      <c r="AO313">
        <v>0</v>
      </c>
      <c r="AP313">
        <v>0</v>
      </c>
      <c r="AQ313">
        <v>0</v>
      </c>
      <c r="AR313">
        <v>0</v>
      </c>
      <c r="AS313">
        <v>0</v>
      </c>
      <c r="AT313">
        <v>0</v>
      </c>
      <c r="AU313">
        <v>0</v>
      </c>
      <c r="AV313">
        <v>0</v>
      </c>
      <c r="AW313">
        <v>0</v>
      </c>
      <c r="AX313" s="24" t="str">
        <f t="shared" si="33"/>
        <v/>
      </c>
      <c r="AY313" s="24" t="str">
        <f t="shared" si="33"/>
        <v/>
      </c>
      <c r="AZ313" s="24" t="str">
        <f t="shared" si="32"/>
        <v/>
      </c>
      <c r="BA313" s="24" t="str">
        <f t="shared" si="32"/>
        <v/>
      </c>
      <c r="BB313" s="24" t="str">
        <f t="shared" si="32"/>
        <v/>
      </c>
      <c r="BC313" s="24">
        <f t="shared" si="32"/>
        <v>1</v>
      </c>
      <c r="BD313" s="24" t="str">
        <f t="shared" si="32"/>
        <v/>
      </c>
      <c r="BE313" s="24" t="str">
        <f t="shared" si="32"/>
        <v/>
      </c>
      <c r="BF313" s="24" t="str">
        <f t="shared" si="32"/>
        <v/>
      </c>
      <c r="BG313" s="24" t="str">
        <f t="shared" si="32"/>
        <v/>
      </c>
      <c r="BH313" s="24" t="str">
        <f t="shared" si="29"/>
        <v/>
      </c>
      <c r="BI313" s="24">
        <f t="shared" si="32"/>
        <v>1</v>
      </c>
      <c r="BJ313" s="24" t="str">
        <f t="shared" si="31"/>
        <v/>
      </c>
    </row>
    <row r="314" spans="1:62" ht="15" customHeight="1" x14ac:dyDescent="0.25">
      <c r="A314" t="str">
        <f>"1952700916"</f>
        <v>1952700916</v>
      </c>
      <c r="B314" t="str">
        <f>"03951640"</f>
        <v>03951640</v>
      </c>
      <c r="C314" t="s">
        <v>6771</v>
      </c>
      <c r="D314" t="s">
        <v>7043</v>
      </c>
      <c r="E314" t="s">
        <v>6771</v>
      </c>
      <c r="G314" t="s">
        <v>7184</v>
      </c>
      <c r="H314" t="s">
        <v>2379</v>
      </c>
      <c r="J314" t="s">
        <v>7185</v>
      </c>
      <c r="L314" t="s">
        <v>6867</v>
      </c>
      <c r="M314" t="s">
        <v>108</v>
      </c>
      <c r="R314" t="s">
        <v>6771</v>
      </c>
      <c r="W314" t="s">
        <v>6899</v>
      </c>
      <c r="X314" t="s">
        <v>2382</v>
      </c>
      <c r="Y314" t="s">
        <v>979</v>
      </c>
      <c r="Z314" t="s">
        <v>111</v>
      </c>
      <c r="AA314" t="str">
        <f>"13760-3646"</f>
        <v>13760-3646</v>
      </c>
      <c r="AB314" t="s">
        <v>123</v>
      </c>
      <c r="AC314" t="s">
        <v>113</v>
      </c>
      <c r="AD314" t="s">
        <v>108</v>
      </c>
      <c r="AE314" t="s">
        <v>114</v>
      </c>
      <c r="AF314" t="s">
        <v>115</v>
      </c>
      <c r="AG314" t="s">
        <v>116</v>
      </c>
      <c r="AK314" t="str">
        <f t="shared" si="28"/>
        <v>COX CAITLIN</v>
      </c>
      <c r="AL314" t="s">
        <v>7043</v>
      </c>
      <c r="AM314" t="s">
        <v>108</v>
      </c>
      <c r="AN314" t="s">
        <v>108</v>
      </c>
      <c r="AO314" t="s">
        <v>108</v>
      </c>
      <c r="AP314" t="s">
        <v>108</v>
      </c>
      <c r="AQ314" t="s">
        <v>108</v>
      </c>
      <c r="AR314" t="s">
        <v>108</v>
      </c>
      <c r="AS314" t="s">
        <v>108</v>
      </c>
      <c r="AT314" t="s">
        <v>108</v>
      </c>
      <c r="AU314">
        <v>0</v>
      </c>
      <c r="AV314" t="s">
        <v>108</v>
      </c>
      <c r="AW314" t="s">
        <v>108</v>
      </c>
      <c r="AX314" s="24">
        <f t="shared" si="33"/>
        <v>1</v>
      </c>
      <c r="AY314" s="24">
        <f t="shared" si="33"/>
        <v>1</v>
      </c>
      <c r="AZ314" s="24" t="str">
        <f t="shared" si="32"/>
        <v/>
      </c>
      <c r="BA314" s="24" t="str">
        <f t="shared" si="32"/>
        <v/>
      </c>
      <c r="BB314" s="24" t="str">
        <f t="shared" si="32"/>
        <v/>
      </c>
      <c r="BC314" s="24" t="str">
        <f t="shared" si="32"/>
        <v/>
      </c>
      <c r="BD314" s="24" t="str">
        <f t="shared" si="32"/>
        <v/>
      </c>
      <c r="BE314" s="24" t="str">
        <f t="shared" si="32"/>
        <v/>
      </c>
      <c r="BF314" s="24" t="str">
        <f t="shared" si="32"/>
        <v/>
      </c>
      <c r="BG314" s="24" t="str">
        <f t="shared" si="32"/>
        <v/>
      </c>
      <c r="BH314" s="24" t="str">
        <f t="shared" si="29"/>
        <v/>
      </c>
      <c r="BI314" s="24">
        <f t="shared" si="32"/>
        <v>1</v>
      </c>
      <c r="BJ314" s="24" t="str">
        <f t="shared" si="31"/>
        <v/>
      </c>
    </row>
    <row r="315" spans="1:62" ht="15" customHeight="1" x14ac:dyDescent="0.25">
      <c r="A315" t="str">
        <f>"1508298498"</f>
        <v>1508298498</v>
      </c>
      <c r="B315" t="str">
        <f>"03684526"</f>
        <v>03684526</v>
      </c>
      <c r="C315" t="s">
        <v>6803</v>
      </c>
      <c r="D315" t="s">
        <v>7081</v>
      </c>
      <c r="E315" t="s">
        <v>6944</v>
      </c>
      <c r="G315" t="s">
        <v>6330</v>
      </c>
      <c r="H315" t="s">
        <v>6331</v>
      </c>
      <c r="J315" t="s">
        <v>6332</v>
      </c>
      <c r="L315" t="s">
        <v>247</v>
      </c>
      <c r="M315" t="s">
        <v>108</v>
      </c>
      <c r="R315" t="s">
        <v>6803</v>
      </c>
      <c r="W315" t="s">
        <v>6944</v>
      </c>
      <c r="X315" t="s">
        <v>406</v>
      </c>
      <c r="Y315" t="s">
        <v>129</v>
      </c>
      <c r="Z315" t="s">
        <v>111</v>
      </c>
      <c r="AA315" t="str">
        <f>"13790-2107"</f>
        <v>13790-2107</v>
      </c>
      <c r="AB315" t="s">
        <v>123</v>
      </c>
      <c r="AC315" t="s">
        <v>113</v>
      </c>
      <c r="AD315" t="s">
        <v>108</v>
      </c>
      <c r="AE315" t="s">
        <v>114</v>
      </c>
      <c r="AF315" t="s">
        <v>115</v>
      </c>
      <c r="AG315" t="s">
        <v>116</v>
      </c>
      <c r="AK315" t="str">
        <f t="shared" si="28"/>
        <v>CRANDELL PATRICK</v>
      </c>
      <c r="AL315" t="s">
        <v>7081</v>
      </c>
      <c r="AM315" t="s">
        <v>108</v>
      </c>
      <c r="AN315" t="s">
        <v>108</v>
      </c>
      <c r="AO315" t="s">
        <v>108</v>
      </c>
      <c r="AP315" t="s">
        <v>108</v>
      </c>
      <c r="AQ315" t="s">
        <v>108</v>
      </c>
      <c r="AR315" t="s">
        <v>108</v>
      </c>
      <c r="AS315" t="s">
        <v>108</v>
      </c>
      <c r="AT315" t="s">
        <v>108</v>
      </c>
      <c r="AU315">
        <v>0</v>
      </c>
      <c r="AV315" t="s">
        <v>108</v>
      </c>
      <c r="AW315" t="s">
        <v>108</v>
      </c>
      <c r="AX315" s="24" t="str">
        <f t="shared" si="33"/>
        <v/>
      </c>
      <c r="AY315" s="24">
        <f t="shared" si="33"/>
        <v>1</v>
      </c>
      <c r="AZ315" s="24" t="str">
        <f t="shared" si="32"/>
        <v/>
      </c>
      <c r="BA315" s="24" t="str">
        <f t="shared" si="32"/>
        <v/>
      </c>
      <c r="BB315" s="24" t="str">
        <f t="shared" si="32"/>
        <v/>
      </c>
      <c r="BC315" s="24" t="str">
        <f t="shared" si="32"/>
        <v/>
      </c>
      <c r="BD315" s="24" t="str">
        <f t="shared" si="32"/>
        <v/>
      </c>
      <c r="BE315" s="24" t="str">
        <f t="shared" si="32"/>
        <v/>
      </c>
      <c r="BF315" s="24" t="str">
        <f t="shared" si="32"/>
        <v/>
      </c>
      <c r="BG315" s="24" t="str">
        <f t="shared" si="32"/>
        <v/>
      </c>
      <c r="BH315" s="24" t="str">
        <f t="shared" si="29"/>
        <v/>
      </c>
      <c r="BI315" s="24" t="str">
        <f t="shared" si="32"/>
        <v/>
      </c>
      <c r="BJ315" s="24" t="str">
        <f t="shared" si="31"/>
        <v/>
      </c>
    </row>
    <row r="316" spans="1:62" ht="15" customHeight="1" x14ac:dyDescent="0.25">
      <c r="A316" t="str">
        <f>"1861591497"</f>
        <v>1861591497</v>
      </c>
      <c r="B316" t="str">
        <f>"03142692"</f>
        <v>03142692</v>
      </c>
      <c r="C316" t="s">
        <v>3499</v>
      </c>
      <c r="D316" t="s">
        <v>3500</v>
      </c>
      <c r="E316" t="s">
        <v>3501</v>
      </c>
      <c r="L316" t="s">
        <v>120</v>
      </c>
      <c r="M316" t="s">
        <v>139</v>
      </c>
      <c r="R316" t="s">
        <v>3499</v>
      </c>
      <c r="W316" t="s">
        <v>3501</v>
      </c>
      <c r="X316" t="s">
        <v>128</v>
      </c>
      <c r="Y316" t="s">
        <v>129</v>
      </c>
      <c r="Z316" t="s">
        <v>111</v>
      </c>
      <c r="AA316" t="str">
        <f>"13790-2544"</f>
        <v>13790-2544</v>
      </c>
      <c r="AB316" t="s">
        <v>123</v>
      </c>
      <c r="AC316" t="s">
        <v>113</v>
      </c>
      <c r="AD316" t="s">
        <v>108</v>
      </c>
      <c r="AE316" t="s">
        <v>114</v>
      </c>
      <c r="AF316" t="s">
        <v>115</v>
      </c>
      <c r="AG316" t="s">
        <v>116</v>
      </c>
      <c r="AK316" t="str">
        <f t="shared" si="28"/>
        <v/>
      </c>
      <c r="AL316" t="s">
        <v>3500</v>
      </c>
      <c r="AM316">
        <v>0</v>
      </c>
      <c r="AN316">
        <v>0</v>
      </c>
      <c r="AO316">
        <v>0</v>
      </c>
      <c r="AP316">
        <v>0</v>
      </c>
      <c r="AQ316">
        <v>0</v>
      </c>
      <c r="AR316">
        <v>0</v>
      </c>
      <c r="AS316">
        <v>0</v>
      </c>
      <c r="AT316">
        <v>0</v>
      </c>
      <c r="AU316">
        <v>0</v>
      </c>
      <c r="AV316">
        <v>0</v>
      </c>
      <c r="AW316">
        <v>0</v>
      </c>
      <c r="AX316" s="24">
        <f t="shared" si="33"/>
        <v>1</v>
      </c>
      <c r="AY316" s="24" t="str">
        <f t="shared" si="33"/>
        <v/>
      </c>
      <c r="AZ316" s="24" t="str">
        <f t="shared" si="32"/>
        <v/>
      </c>
      <c r="BA316" s="24" t="str">
        <f t="shared" si="32"/>
        <v/>
      </c>
      <c r="BB316" s="24" t="str">
        <f t="shared" si="32"/>
        <v/>
      </c>
      <c r="BC316" s="24" t="str">
        <f t="shared" si="32"/>
        <v/>
      </c>
      <c r="BD316" s="24" t="str">
        <f t="shared" si="32"/>
        <v/>
      </c>
      <c r="BE316" s="24" t="str">
        <f t="shared" si="32"/>
        <v/>
      </c>
      <c r="BF316" s="24" t="str">
        <f t="shared" si="32"/>
        <v/>
      </c>
      <c r="BG316" s="24" t="str">
        <f t="shared" si="32"/>
        <v/>
      </c>
      <c r="BH316" s="24" t="str">
        <f t="shared" si="29"/>
        <v/>
      </c>
      <c r="BI316" s="24">
        <f t="shared" si="32"/>
        <v>1</v>
      </c>
      <c r="BJ316" s="24" t="str">
        <f t="shared" si="31"/>
        <v/>
      </c>
    </row>
    <row r="317" spans="1:62" ht="15" customHeight="1" x14ac:dyDescent="0.25">
      <c r="A317" t="str">
        <f>"1306810270"</f>
        <v>1306810270</v>
      </c>
      <c r="B317" t="str">
        <f>"01173335"</f>
        <v>01173335</v>
      </c>
      <c r="C317" t="s">
        <v>3993</v>
      </c>
      <c r="D317" t="s">
        <v>3994</v>
      </c>
      <c r="E317" t="s">
        <v>3993</v>
      </c>
      <c r="G317" t="s">
        <v>699</v>
      </c>
      <c r="H317" t="s">
        <v>700</v>
      </c>
      <c r="J317" t="s">
        <v>701</v>
      </c>
      <c r="L317" t="s">
        <v>120</v>
      </c>
      <c r="M317" t="s">
        <v>108</v>
      </c>
      <c r="R317" t="s">
        <v>3995</v>
      </c>
      <c r="W317" t="s">
        <v>3993</v>
      </c>
      <c r="X317" t="s">
        <v>3988</v>
      </c>
      <c r="Y317" t="s">
        <v>293</v>
      </c>
      <c r="Z317" t="s">
        <v>111</v>
      </c>
      <c r="AA317" t="str">
        <f>"14850-9105"</f>
        <v>14850-9105</v>
      </c>
      <c r="AB317" t="s">
        <v>123</v>
      </c>
      <c r="AC317" t="s">
        <v>113</v>
      </c>
      <c r="AD317" t="s">
        <v>108</v>
      </c>
      <c r="AE317" t="s">
        <v>114</v>
      </c>
      <c r="AF317" t="s">
        <v>142</v>
      </c>
      <c r="AG317" t="s">
        <v>116</v>
      </c>
      <c r="AK317" t="str">
        <f t="shared" si="28"/>
        <v/>
      </c>
      <c r="AL317" t="s">
        <v>3994</v>
      </c>
      <c r="AM317">
        <v>1</v>
      </c>
      <c r="AN317">
        <v>1</v>
      </c>
      <c r="AO317">
        <v>0</v>
      </c>
      <c r="AP317">
        <v>0</v>
      </c>
      <c r="AQ317">
        <v>0</v>
      </c>
      <c r="AR317">
        <v>0</v>
      </c>
      <c r="AS317">
        <v>0</v>
      </c>
      <c r="AT317">
        <v>1</v>
      </c>
      <c r="AU317">
        <v>1</v>
      </c>
      <c r="AV317">
        <v>1</v>
      </c>
      <c r="AW317">
        <v>0</v>
      </c>
      <c r="AX317" s="24">
        <f t="shared" si="33"/>
        <v>1</v>
      </c>
      <c r="AY317" s="24" t="str">
        <f t="shared" si="33"/>
        <v/>
      </c>
      <c r="AZ317" s="24" t="str">
        <f t="shared" si="32"/>
        <v/>
      </c>
      <c r="BA317" s="24" t="str">
        <f t="shared" si="32"/>
        <v/>
      </c>
      <c r="BB317" s="24" t="str">
        <f t="shared" si="32"/>
        <v/>
      </c>
      <c r="BC317" s="24" t="str">
        <f t="shared" si="32"/>
        <v/>
      </c>
      <c r="BD317" s="24" t="str">
        <f t="shared" si="32"/>
        <v/>
      </c>
      <c r="BE317" s="24" t="str">
        <f t="shared" si="32"/>
        <v/>
      </c>
      <c r="BF317" s="24" t="str">
        <f t="shared" si="32"/>
        <v/>
      </c>
      <c r="BG317" s="24" t="str">
        <f t="shared" si="32"/>
        <v/>
      </c>
      <c r="BH317" s="24" t="str">
        <f t="shared" si="29"/>
        <v/>
      </c>
      <c r="BI317" s="24">
        <f t="shared" si="32"/>
        <v>1</v>
      </c>
      <c r="BJ317" s="24" t="str">
        <f t="shared" si="31"/>
        <v/>
      </c>
    </row>
    <row r="318" spans="1:62" ht="15" customHeight="1" x14ac:dyDescent="0.25">
      <c r="A318" t="str">
        <f>"1306069265"</f>
        <v>1306069265</v>
      </c>
      <c r="B318" t="str">
        <f>"02886620"</f>
        <v>02886620</v>
      </c>
      <c r="C318" t="s">
        <v>4154</v>
      </c>
      <c r="D318" t="s">
        <v>4155</v>
      </c>
      <c r="E318" t="s">
        <v>4156</v>
      </c>
      <c r="G318" t="s">
        <v>6330</v>
      </c>
      <c r="H318" t="s">
        <v>6331</v>
      </c>
      <c r="J318" t="s">
        <v>6332</v>
      </c>
      <c r="L318" t="s">
        <v>120</v>
      </c>
      <c r="M318" t="s">
        <v>108</v>
      </c>
      <c r="R318" t="s">
        <v>4154</v>
      </c>
      <c r="W318" t="s">
        <v>4156</v>
      </c>
      <c r="X318" t="s">
        <v>406</v>
      </c>
      <c r="Y318" t="s">
        <v>129</v>
      </c>
      <c r="Z318" t="s">
        <v>111</v>
      </c>
      <c r="AA318" t="str">
        <f>"13790-2107"</f>
        <v>13790-2107</v>
      </c>
      <c r="AB318" t="s">
        <v>123</v>
      </c>
      <c r="AC318" t="s">
        <v>113</v>
      </c>
      <c r="AD318" t="s">
        <v>108</v>
      </c>
      <c r="AE318" t="s">
        <v>114</v>
      </c>
      <c r="AF318" t="s">
        <v>115</v>
      </c>
      <c r="AG318" t="s">
        <v>116</v>
      </c>
      <c r="AK318" t="str">
        <f t="shared" si="28"/>
        <v/>
      </c>
      <c r="AL318" t="s">
        <v>4155</v>
      </c>
      <c r="AM318">
        <v>1</v>
      </c>
      <c r="AN318">
        <v>1</v>
      </c>
      <c r="AO318">
        <v>0</v>
      </c>
      <c r="AP318">
        <v>1</v>
      </c>
      <c r="AQ318">
        <v>1</v>
      </c>
      <c r="AR318">
        <v>0</v>
      </c>
      <c r="AS318">
        <v>0</v>
      </c>
      <c r="AT318">
        <v>0</v>
      </c>
      <c r="AU318">
        <v>0</v>
      </c>
      <c r="AV318">
        <v>0</v>
      </c>
      <c r="AW318">
        <v>0</v>
      </c>
      <c r="AX318" s="24">
        <f t="shared" si="33"/>
        <v>1</v>
      </c>
      <c r="AY318" s="24" t="str">
        <f t="shared" si="33"/>
        <v/>
      </c>
      <c r="AZ318" s="24" t="str">
        <f t="shared" si="32"/>
        <v/>
      </c>
      <c r="BA318" s="24" t="str">
        <f t="shared" si="32"/>
        <v/>
      </c>
      <c r="BB318" s="24" t="str">
        <f t="shared" si="32"/>
        <v/>
      </c>
      <c r="BC318" s="24" t="str">
        <f t="shared" si="32"/>
        <v/>
      </c>
      <c r="BD318" s="24" t="str">
        <f t="shared" si="32"/>
        <v/>
      </c>
      <c r="BE318" s="24" t="str">
        <f t="shared" si="32"/>
        <v/>
      </c>
      <c r="BF318" s="24" t="str">
        <f t="shared" si="32"/>
        <v/>
      </c>
      <c r="BG318" s="24" t="str">
        <f t="shared" si="32"/>
        <v/>
      </c>
      <c r="BH318" s="24" t="str">
        <f t="shared" si="29"/>
        <v/>
      </c>
      <c r="BI318" s="24">
        <f t="shared" si="32"/>
        <v>1</v>
      </c>
      <c r="BJ318" s="24" t="str">
        <f t="shared" si="31"/>
        <v/>
      </c>
    </row>
    <row r="319" spans="1:62" ht="15" customHeight="1" x14ac:dyDescent="0.25">
      <c r="A319" t="str">
        <f>"1265437941"</f>
        <v>1265437941</v>
      </c>
      <c r="B319" t="str">
        <f>"02793451"</f>
        <v>02793451</v>
      </c>
      <c r="C319" t="s">
        <v>3300</v>
      </c>
      <c r="D319" t="s">
        <v>3301</v>
      </c>
      <c r="E319" t="s">
        <v>3302</v>
      </c>
      <c r="G319" t="s">
        <v>786</v>
      </c>
      <c r="H319" t="s">
        <v>787</v>
      </c>
      <c r="J319" t="s">
        <v>788</v>
      </c>
      <c r="L319" t="s">
        <v>809</v>
      </c>
      <c r="M319" t="s">
        <v>108</v>
      </c>
      <c r="R319" t="s">
        <v>3300</v>
      </c>
      <c r="W319" t="s">
        <v>3303</v>
      </c>
      <c r="X319" t="s">
        <v>3304</v>
      </c>
      <c r="Y319" t="s">
        <v>293</v>
      </c>
      <c r="Z319" t="s">
        <v>111</v>
      </c>
      <c r="AA319" t="str">
        <f>"14850-1530"</f>
        <v>14850-1530</v>
      </c>
      <c r="AB319" t="s">
        <v>811</v>
      </c>
      <c r="AC319" t="s">
        <v>113</v>
      </c>
      <c r="AD319" t="s">
        <v>108</v>
      </c>
      <c r="AE319" t="s">
        <v>114</v>
      </c>
      <c r="AF319" t="s">
        <v>142</v>
      </c>
      <c r="AG319" t="s">
        <v>116</v>
      </c>
      <c r="AK319" t="str">
        <f t="shared" si="28"/>
        <v/>
      </c>
      <c r="AL319" t="s">
        <v>3301</v>
      </c>
      <c r="AM319">
        <v>0</v>
      </c>
      <c r="AN319">
        <v>0</v>
      </c>
      <c r="AO319">
        <v>0</v>
      </c>
      <c r="AP319">
        <v>0</v>
      </c>
      <c r="AQ319">
        <v>0</v>
      </c>
      <c r="AR319">
        <v>0</v>
      </c>
      <c r="AS319">
        <v>0</v>
      </c>
      <c r="AT319">
        <v>0</v>
      </c>
      <c r="AU319">
        <v>0</v>
      </c>
      <c r="AV319">
        <v>0</v>
      </c>
      <c r="AW319">
        <v>0</v>
      </c>
      <c r="AX319" s="24" t="str">
        <f t="shared" si="33"/>
        <v/>
      </c>
      <c r="AY319" s="24">
        <f t="shared" si="33"/>
        <v>1</v>
      </c>
      <c r="AZ319" s="24" t="str">
        <f t="shared" si="32"/>
        <v/>
      </c>
      <c r="BA319" s="24" t="str">
        <f t="shared" si="32"/>
        <v/>
      </c>
      <c r="BB319" s="24" t="str">
        <f t="shared" si="32"/>
        <v/>
      </c>
      <c r="BC319" s="24">
        <f t="shared" si="32"/>
        <v>1</v>
      </c>
      <c r="BD319" s="24" t="str">
        <f t="shared" si="32"/>
        <v/>
      </c>
      <c r="BE319" s="24" t="str">
        <f t="shared" si="32"/>
        <v/>
      </c>
      <c r="BF319" s="24" t="str">
        <f t="shared" ref="AZ319:BI345" si="35">IF(ISERROR(FIND(BF$1,$L319,1)),"",1)</f>
        <v/>
      </c>
      <c r="BG319" s="24" t="str">
        <f t="shared" si="35"/>
        <v/>
      </c>
      <c r="BH319" s="24" t="str">
        <f t="shared" si="29"/>
        <v/>
      </c>
      <c r="BI319" s="24" t="str">
        <f t="shared" si="35"/>
        <v/>
      </c>
      <c r="BJ319" s="24" t="str">
        <f t="shared" si="31"/>
        <v/>
      </c>
    </row>
    <row r="320" spans="1:62" ht="15" customHeight="1" x14ac:dyDescent="0.25">
      <c r="A320" t="str">
        <f>"1922398288"</f>
        <v>1922398288</v>
      </c>
      <c r="B320" t="str">
        <f>"00474319"</f>
        <v>00474319</v>
      </c>
      <c r="C320" t="s">
        <v>5707</v>
      </c>
      <c r="D320" t="s">
        <v>5708</v>
      </c>
      <c r="E320" t="s">
        <v>5709</v>
      </c>
      <c r="G320" t="s">
        <v>5710</v>
      </c>
      <c r="H320" t="s">
        <v>5711</v>
      </c>
      <c r="I320">
        <v>3103</v>
      </c>
      <c r="J320" t="s">
        <v>5712</v>
      </c>
      <c r="L320" t="s">
        <v>1382</v>
      </c>
      <c r="M320" t="s">
        <v>139</v>
      </c>
      <c r="R320" t="s">
        <v>5707</v>
      </c>
      <c r="W320" t="s">
        <v>5713</v>
      </c>
      <c r="X320" t="s">
        <v>5714</v>
      </c>
      <c r="Y320" t="s">
        <v>239</v>
      </c>
      <c r="Z320" t="s">
        <v>111</v>
      </c>
      <c r="AA320" t="str">
        <f>"13045-1420"</f>
        <v>13045-1420</v>
      </c>
      <c r="AB320" t="s">
        <v>312</v>
      </c>
      <c r="AC320" t="s">
        <v>113</v>
      </c>
      <c r="AD320" t="s">
        <v>108</v>
      </c>
      <c r="AE320" t="s">
        <v>114</v>
      </c>
      <c r="AF320" t="s">
        <v>142</v>
      </c>
      <c r="AG320" t="s">
        <v>116</v>
      </c>
      <c r="AK320" t="str">
        <f t="shared" si="28"/>
        <v/>
      </c>
      <c r="AL320" t="s">
        <v>5708</v>
      </c>
      <c r="AM320">
        <v>1</v>
      </c>
      <c r="AN320">
        <v>0</v>
      </c>
      <c r="AO320">
        <v>1</v>
      </c>
      <c r="AP320">
        <v>0</v>
      </c>
      <c r="AQ320">
        <v>0</v>
      </c>
      <c r="AR320">
        <v>0</v>
      </c>
      <c r="AS320">
        <v>0</v>
      </c>
      <c r="AT320">
        <v>0</v>
      </c>
      <c r="AU320">
        <v>0</v>
      </c>
      <c r="AV320">
        <v>0</v>
      </c>
      <c r="AW320">
        <v>0</v>
      </c>
      <c r="AX320" s="24" t="str">
        <f t="shared" si="33"/>
        <v/>
      </c>
      <c r="AY320" s="24" t="str">
        <f t="shared" si="33"/>
        <v/>
      </c>
      <c r="AZ320" s="24" t="str">
        <f t="shared" si="35"/>
        <v/>
      </c>
      <c r="BA320" s="24" t="str">
        <f t="shared" si="35"/>
        <v/>
      </c>
      <c r="BB320" s="24" t="str">
        <f t="shared" si="35"/>
        <v/>
      </c>
      <c r="BC320" s="24" t="str">
        <f t="shared" si="35"/>
        <v/>
      </c>
      <c r="BD320" s="24" t="str">
        <f t="shared" si="35"/>
        <v/>
      </c>
      <c r="BE320" s="24">
        <f t="shared" si="35"/>
        <v>1</v>
      </c>
      <c r="BF320" s="24" t="str">
        <f t="shared" si="35"/>
        <v/>
      </c>
      <c r="BG320" s="24" t="str">
        <f t="shared" si="35"/>
        <v/>
      </c>
      <c r="BH320" s="24" t="str">
        <f t="shared" si="29"/>
        <v/>
      </c>
      <c r="BI320" s="24">
        <f t="shared" si="35"/>
        <v>1</v>
      </c>
      <c r="BJ320" s="24" t="str">
        <f t="shared" si="31"/>
        <v/>
      </c>
    </row>
    <row r="321" spans="1:62" ht="15" customHeight="1" x14ac:dyDescent="0.25">
      <c r="A321" t="str">
        <f>"1457648594"</f>
        <v>1457648594</v>
      </c>
      <c r="B321" t="str">
        <f>"03435747"</f>
        <v>03435747</v>
      </c>
      <c r="C321" t="s">
        <v>5192</v>
      </c>
      <c r="D321" t="s">
        <v>5193</v>
      </c>
      <c r="E321" t="s">
        <v>5194</v>
      </c>
      <c r="L321" t="s">
        <v>809</v>
      </c>
      <c r="M321" t="s">
        <v>108</v>
      </c>
      <c r="R321" t="s">
        <v>5192</v>
      </c>
      <c r="W321" t="s">
        <v>5194</v>
      </c>
      <c r="X321" t="s">
        <v>1009</v>
      </c>
      <c r="Y321" t="s">
        <v>110</v>
      </c>
      <c r="Z321" t="s">
        <v>111</v>
      </c>
      <c r="AA321" t="str">
        <f>"13903-1617"</f>
        <v>13903-1617</v>
      </c>
      <c r="AB321" t="s">
        <v>123</v>
      </c>
      <c r="AC321" t="s">
        <v>113</v>
      </c>
      <c r="AD321" t="s">
        <v>108</v>
      </c>
      <c r="AE321" t="s">
        <v>114</v>
      </c>
      <c r="AF321" t="s">
        <v>115</v>
      </c>
      <c r="AG321" t="s">
        <v>116</v>
      </c>
      <c r="AK321" t="str">
        <f t="shared" si="28"/>
        <v/>
      </c>
      <c r="AL321" t="s">
        <v>5193</v>
      </c>
      <c r="AM321">
        <v>0</v>
      </c>
      <c r="AN321">
        <v>0</v>
      </c>
      <c r="AO321">
        <v>0</v>
      </c>
      <c r="AP321">
        <v>0</v>
      </c>
      <c r="AQ321">
        <v>0</v>
      </c>
      <c r="AR321">
        <v>0</v>
      </c>
      <c r="AS321">
        <v>0</v>
      </c>
      <c r="AT321">
        <v>0</v>
      </c>
      <c r="AU321">
        <v>0</v>
      </c>
      <c r="AV321">
        <v>0</v>
      </c>
      <c r="AW321">
        <v>0</v>
      </c>
      <c r="AX321" s="24" t="str">
        <f t="shared" si="33"/>
        <v/>
      </c>
      <c r="AY321" s="24">
        <f t="shared" si="33"/>
        <v>1</v>
      </c>
      <c r="AZ321" s="24" t="str">
        <f t="shared" si="35"/>
        <v/>
      </c>
      <c r="BA321" s="24" t="str">
        <f t="shared" si="35"/>
        <v/>
      </c>
      <c r="BB321" s="24" t="str">
        <f t="shared" si="35"/>
        <v/>
      </c>
      <c r="BC321" s="24">
        <f t="shared" si="35"/>
        <v>1</v>
      </c>
      <c r="BD321" s="24" t="str">
        <f t="shared" si="35"/>
        <v/>
      </c>
      <c r="BE321" s="24" t="str">
        <f t="shared" si="35"/>
        <v/>
      </c>
      <c r="BF321" s="24" t="str">
        <f t="shared" si="35"/>
        <v/>
      </c>
      <c r="BG321" s="24" t="str">
        <f t="shared" si="35"/>
        <v/>
      </c>
      <c r="BH321" s="24" t="str">
        <f t="shared" si="29"/>
        <v/>
      </c>
      <c r="BI321" s="24" t="str">
        <f t="shared" si="35"/>
        <v/>
      </c>
      <c r="BJ321" s="24" t="str">
        <f t="shared" si="31"/>
        <v/>
      </c>
    </row>
    <row r="322" spans="1:62" ht="15" customHeight="1" x14ac:dyDescent="0.25">
      <c r="A322" t="str">
        <f>"1861485351"</f>
        <v>1861485351</v>
      </c>
      <c r="B322" t="str">
        <f>"01333628"</f>
        <v>01333628</v>
      </c>
      <c r="C322" t="s">
        <v>3496</v>
      </c>
      <c r="D322" t="s">
        <v>3497</v>
      </c>
      <c r="E322" t="s">
        <v>3498</v>
      </c>
      <c r="G322" t="s">
        <v>6330</v>
      </c>
      <c r="H322" t="s">
        <v>6331</v>
      </c>
      <c r="J322" t="s">
        <v>6332</v>
      </c>
      <c r="L322" t="s">
        <v>120</v>
      </c>
      <c r="M322" t="s">
        <v>108</v>
      </c>
      <c r="R322" t="s">
        <v>3496</v>
      </c>
      <c r="W322" t="s">
        <v>3498</v>
      </c>
      <c r="X322" t="s">
        <v>1891</v>
      </c>
      <c r="Y322" t="s">
        <v>129</v>
      </c>
      <c r="Z322" t="s">
        <v>111</v>
      </c>
      <c r="AA322" t="str">
        <f>"13790-2105"</f>
        <v>13790-2105</v>
      </c>
      <c r="AB322" t="s">
        <v>123</v>
      </c>
      <c r="AC322" t="s">
        <v>113</v>
      </c>
      <c r="AD322" t="s">
        <v>108</v>
      </c>
      <c r="AE322" t="s">
        <v>114</v>
      </c>
      <c r="AF322" t="s">
        <v>115</v>
      </c>
      <c r="AG322" t="s">
        <v>116</v>
      </c>
      <c r="AK322" t="str">
        <f t="shared" ref="AK322:AK385" si="36">IF(AM322="No",C322,"")</f>
        <v/>
      </c>
      <c r="AL322" t="s">
        <v>3497</v>
      </c>
      <c r="AM322">
        <v>1</v>
      </c>
      <c r="AN322">
        <v>1</v>
      </c>
      <c r="AO322">
        <v>0</v>
      </c>
      <c r="AP322">
        <v>1</v>
      </c>
      <c r="AQ322">
        <v>1</v>
      </c>
      <c r="AR322">
        <v>1</v>
      </c>
      <c r="AS322">
        <v>0</v>
      </c>
      <c r="AT322">
        <v>0</v>
      </c>
      <c r="AU322">
        <v>1</v>
      </c>
      <c r="AV322">
        <v>0</v>
      </c>
      <c r="AW322">
        <v>0</v>
      </c>
      <c r="AX322" s="24">
        <f t="shared" si="33"/>
        <v>1</v>
      </c>
      <c r="AY322" s="24" t="str">
        <f t="shared" si="33"/>
        <v/>
      </c>
      <c r="AZ322" s="24" t="str">
        <f t="shared" si="35"/>
        <v/>
      </c>
      <c r="BA322" s="24" t="str">
        <f t="shared" si="35"/>
        <v/>
      </c>
      <c r="BB322" s="24" t="str">
        <f t="shared" si="35"/>
        <v/>
      </c>
      <c r="BC322" s="24" t="str">
        <f t="shared" si="35"/>
        <v/>
      </c>
      <c r="BD322" s="24" t="str">
        <f t="shared" si="35"/>
        <v/>
      </c>
      <c r="BE322" s="24" t="str">
        <f t="shared" si="35"/>
        <v/>
      </c>
      <c r="BF322" s="24" t="str">
        <f t="shared" si="35"/>
        <v/>
      </c>
      <c r="BG322" s="24" t="str">
        <f t="shared" si="35"/>
        <v/>
      </c>
      <c r="BH322" s="24" t="str">
        <f t="shared" si="29"/>
        <v/>
      </c>
      <c r="BI322" s="24">
        <f t="shared" si="35"/>
        <v>1</v>
      </c>
      <c r="BJ322" s="24" t="str">
        <f t="shared" si="31"/>
        <v/>
      </c>
    </row>
    <row r="323" spans="1:62" ht="15" customHeight="1" x14ac:dyDescent="0.25">
      <c r="A323" t="str">
        <f>"1538475603"</f>
        <v>1538475603</v>
      </c>
      <c r="B323" t="str">
        <f>"00353764"</f>
        <v>00353764</v>
      </c>
      <c r="C323" t="s">
        <v>4356</v>
      </c>
      <c r="D323" t="s">
        <v>4357</v>
      </c>
      <c r="E323" t="s">
        <v>4358</v>
      </c>
      <c r="G323" t="s">
        <v>4359</v>
      </c>
      <c r="H323" t="s">
        <v>4360</v>
      </c>
      <c r="I323">
        <v>558</v>
      </c>
      <c r="J323" t="s">
        <v>4361</v>
      </c>
      <c r="L323" t="s">
        <v>19</v>
      </c>
      <c r="M323" t="s">
        <v>139</v>
      </c>
      <c r="R323" t="s">
        <v>4362</v>
      </c>
      <c r="W323" t="s">
        <v>4358</v>
      </c>
      <c r="X323" t="s">
        <v>4363</v>
      </c>
      <c r="Y323" t="s">
        <v>239</v>
      </c>
      <c r="Z323" t="s">
        <v>111</v>
      </c>
      <c r="AA323" t="str">
        <f>"13045-3113"</f>
        <v>13045-3113</v>
      </c>
      <c r="AB323" t="s">
        <v>312</v>
      </c>
      <c r="AC323" t="s">
        <v>113</v>
      </c>
      <c r="AD323" t="s">
        <v>108</v>
      </c>
      <c r="AE323" t="s">
        <v>114</v>
      </c>
      <c r="AF323" t="s">
        <v>142</v>
      </c>
      <c r="AG323" t="s">
        <v>116</v>
      </c>
      <c r="AK323" t="str">
        <f t="shared" si="36"/>
        <v/>
      </c>
      <c r="AL323" t="s">
        <v>4357</v>
      </c>
      <c r="AM323">
        <v>1</v>
      </c>
      <c r="AN323">
        <v>0</v>
      </c>
      <c r="AO323">
        <v>1</v>
      </c>
      <c r="AP323">
        <v>0</v>
      </c>
      <c r="AQ323">
        <v>0</v>
      </c>
      <c r="AR323">
        <v>0</v>
      </c>
      <c r="AS323">
        <v>0</v>
      </c>
      <c r="AT323">
        <v>0</v>
      </c>
      <c r="AU323">
        <v>0</v>
      </c>
      <c r="AV323">
        <v>0</v>
      </c>
      <c r="AW323">
        <v>0</v>
      </c>
      <c r="AX323" s="24" t="str">
        <f t="shared" si="33"/>
        <v/>
      </c>
      <c r="AY323" s="24" t="str">
        <f t="shared" si="33"/>
        <v/>
      </c>
      <c r="AZ323" s="24" t="str">
        <f t="shared" si="35"/>
        <v/>
      </c>
      <c r="BA323" s="24" t="str">
        <f t="shared" si="35"/>
        <v/>
      </c>
      <c r="BB323" s="24" t="str">
        <f t="shared" si="35"/>
        <v/>
      </c>
      <c r="BC323" s="24" t="str">
        <f t="shared" si="35"/>
        <v/>
      </c>
      <c r="BD323" s="24" t="str">
        <f t="shared" si="35"/>
        <v/>
      </c>
      <c r="BE323" s="24">
        <f t="shared" si="35"/>
        <v>1</v>
      </c>
      <c r="BF323" s="24" t="str">
        <f t="shared" si="35"/>
        <v/>
      </c>
      <c r="BG323" s="24" t="str">
        <f t="shared" si="35"/>
        <v/>
      </c>
      <c r="BH323" s="24" t="str">
        <f t="shared" ref="BH323:BH386" si="37">IF(ISERROR(FIND("CBO",$L323,1)),"",1)</f>
        <v/>
      </c>
      <c r="BI323" s="24" t="str">
        <f t="shared" si="35"/>
        <v/>
      </c>
      <c r="BJ323" s="24" t="str">
        <f t="shared" si="31"/>
        <v/>
      </c>
    </row>
    <row r="324" spans="1:62" ht="15" customHeight="1" x14ac:dyDescent="0.25">
      <c r="A324" t="str">
        <f>"1619998077"</f>
        <v>1619998077</v>
      </c>
      <c r="B324" t="str">
        <f>"02161668"</f>
        <v>02161668</v>
      </c>
      <c r="C324" t="s">
        <v>6833</v>
      </c>
      <c r="D324" t="s">
        <v>7121</v>
      </c>
      <c r="E324" t="s">
        <v>6978</v>
      </c>
      <c r="G324" t="s">
        <v>815</v>
      </c>
      <c r="H324" t="s">
        <v>816</v>
      </c>
      <c r="J324" t="s">
        <v>817</v>
      </c>
      <c r="L324" t="s">
        <v>442</v>
      </c>
      <c r="M324" t="s">
        <v>108</v>
      </c>
      <c r="R324" t="s">
        <v>6833</v>
      </c>
      <c r="W324" t="s">
        <v>6978</v>
      </c>
      <c r="X324" t="s">
        <v>3555</v>
      </c>
      <c r="Y324" t="s">
        <v>293</v>
      </c>
      <c r="Z324" t="s">
        <v>111</v>
      </c>
      <c r="AA324" t="str">
        <f>"14850-1383"</f>
        <v>14850-1383</v>
      </c>
      <c r="AB324" t="s">
        <v>123</v>
      </c>
      <c r="AC324" t="s">
        <v>113</v>
      </c>
      <c r="AD324" t="s">
        <v>108</v>
      </c>
      <c r="AE324" t="s">
        <v>114</v>
      </c>
      <c r="AF324" t="s">
        <v>115</v>
      </c>
      <c r="AG324" t="s">
        <v>116</v>
      </c>
      <c r="AK324" t="str">
        <f t="shared" si="36"/>
        <v>CRUM KIMBERLY</v>
      </c>
      <c r="AL324" t="s">
        <v>7121</v>
      </c>
      <c r="AM324" t="s">
        <v>108</v>
      </c>
      <c r="AN324" t="s">
        <v>108</v>
      </c>
      <c r="AO324" t="s">
        <v>108</v>
      </c>
      <c r="AP324" t="s">
        <v>108</v>
      </c>
      <c r="AQ324" t="s">
        <v>108</v>
      </c>
      <c r="AR324" t="s">
        <v>108</v>
      </c>
      <c r="AS324" t="s">
        <v>108</v>
      </c>
      <c r="AT324" t="s">
        <v>108</v>
      </c>
      <c r="AU324">
        <v>0</v>
      </c>
      <c r="AV324" t="s">
        <v>108</v>
      </c>
      <c r="AW324" t="s">
        <v>108</v>
      </c>
      <c r="AX324" s="24">
        <f t="shared" si="33"/>
        <v>1</v>
      </c>
      <c r="AY324" s="24" t="str">
        <f t="shared" si="33"/>
        <v/>
      </c>
      <c r="AZ324" s="24" t="str">
        <f t="shared" si="35"/>
        <v/>
      </c>
      <c r="BA324" s="24" t="str">
        <f t="shared" si="35"/>
        <v/>
      </c>
      <c r="BB324" s="24" t="str">
        <f t="shared" si="35"/>
        <v/>
      </c>
      <c r="BC324" s="24" t="str">
        <f t="shared" si="35"/>
        <v/>
      </c>
      <c r="BD324" s="24" t="str">
        <f t="shared" si="35"/>
        <v/>
      </c>
      <c r="BE324" s="24" t="str">
        <f t="shared" si="35"/>
        <v/>
      </c>
      <c r="BF324" s="24" t="str">
        <f t="shared" si="35"/>
        <v/>
      </c>
      <c r="BG324" s="24" t="str">
        <f t="shared" si="35"/>
        <v/>
      </c>
      <c r="BH324" s="24" t="str">
        <f t="shared" si="37"/>
        <v/>
      </c>
      <c r="BI324" s="24" t="str">
        <f t="shared" si="35"/>
        <v/>
      </c>
      <c r="BJ324" s="24" t="str">
        <f t="shared" si="31"/>
        <v/>
      </c>
    </row>
    <row r="325" spans="1:62" ht="15" customHeight="1" x14ac:dyDescent="0.25">
      <c r="A325" t="str">
        <f>"1528165131"</f>
        <v>1528165131</v>
      </c>
      <c r="B325" t="str">
        <f>"01105513"</f>
        <v>01105513</v>
      </c>
      <c r="C325" t="s">
        <v>850</v>
      </c>
      <c r="D325" t="s">
        <v>851</v>
      </c>
      <c r="E325" t="s">
        <v>852</v>
      </c>
      <c r="L325" t="s">
        <v>120</v>
      </c>
      <c r="M325" t="s">
        <v>108</v>
      </c>
      <c r="R325" t="s">
        <v>850</v>
      </c>
      <c r="W325" t="s">
        <v>852</v>
      </c>
      <c r="X325" t="s">
        <v>853</v>
      </c>
      <c r="Y325" t="s">
        <v>122</v>
      </c>
      <c r="Z325" t="s">
        <v>111</v>
      </c>
      <c r="AA325" t="str">
        <f>"13815-1777"</f>
        <v>13815-1777</v>
      </c>
      <c r="AB325" t="s">
        <v>123</v>
      </c>
      <c r="AC325" t="s">
        <v>113</v>
      </c>
      <c r="AD325" t="s">
        <v>108</v>
      </c>
      <c r="AE325" t="s">
        <v>114</v>
      </c>
      <c r="AF325" t="s">
        <v>124</v>
      </c>
      <c r="AG325" t="s">
        <v>116</v>
      </c>
      <c r="AK325" t="str">
        <f t="shared" si="36"/>
        <v/>
      </c>
      <c r="AL325" t="s">
        <v>851</v>
      </c>
      <c r="AM325">
        <v>0</v>
      </c>
      <c r="AN325">
        <v>0</v>
      </c>
      <c r="AO325">
        <v>0</v>
      </c>
      <c r="AP325">
        <v>0</v>
      </c>
      <c r="AQ325">
        <v>0</v>
      </c>
      <c r="AR325">
        <v>0</v>
      </c>
      <c r="AS325">
        <v>0</v>
      </c>
      <c r="AT325">
        <v>0</v>
      </c>
      <c r="AU325">
        <v>0</v>
      </c>
      <c r="AV325">
        <v>0</v>
      </c>
      <c r="AW325">
        <v>0</v>
      </c>
      <c r="AX325" s="24">
        <f t="shared" si="33"/>
        <v>1</v>
      </c>
      <c r="AY325" s="24" t="str">
        <f t="shared" si="33"/>
        <v/>
      </c>
      <c r="AZ325" s="24" t="str">
        <f t="shared" si="35"/>
        <v/>
      </c>
      <c r="BA325" s="24" t="str">
        <f t="shared" si="35"/>
        <v/>
      </c>
      <c r="BB325" s="24" t="str">
        <f t="shared" si="35"/>
        <v/>
      </c>
      <c r="BC325" s="24" t="str">
        <f t="shared" si="35"/>
        <v/>
      </c>
      <c r="BD325" s="24" t="str">
        <f t="shared" si="35"/>
        <v/>
      </c>
      <c r="BE325" s="24" t="str">
        <f t="shared" si="35"/>
        <v/>
      </c>
      <c r="BF325" s="24" t="str">
        <f t="shared" si="35"/>
        <v/>
      </c>
      <c r="BG325" s="24" t="str">
        <f t="shared" si="35"/>
        <v/>
      </c>
      <c r="BH325" s="24" t="str">
        <f t="shared" si="37"/>
        <v/>
      </c>
      <c r="BI325" s="24">
        <f t="shared" si="35"/>
        <v>1</v>
      </c>
      <c r="BJ325" s="24" t="str">
        <f t="shared" si="31"/>
        <v/>
      </c>
    </row>
    <row r="326" spans="1:62" ht="15" customHeight="1" x14ac:dyDescent="0.25">
      <c r="A326" t="str">
        <f>"1699776799"</f>
        <v>1699776799</v>
      </c>
      <c r="B326" t="str">
        <f>"02040068"</f>
        <v>02040068</v>
      </c>
      <c r="C326" t="s">
        <v>2770</v>
      </c>
      <c r="D326" t="s">
        <v>2771</v>
      </c>
      <c r="E326" t="s">
        <v>2772</v>
      </c>
      <c r="G326" t="s">
        <v>2755</v>
      </c>
      <c r="H326" t="s">
        <v>2756</v>
      </c>
      <c r="J326" t="s">
        <v>2773</v>
      </c>
      <c r="L326" t="s">
        <v>120</v>
      </c>
      <c r="M326" t="s">
        <v>108</v>
      </c>
      <c r="R326" t="s">
        <v>2774</v>
      </c>
      <c r="W326" t="s">
        <v>2772</v>
      </c>
      <c r="X326" t="s">
        <v>2775</v>
      </c>
      <c r="Y326" t="s">
        <v>239</v>
      </c>
      <c r="Z326" t="s">
        <v>111</v>
      </c>
      <c r="AA326" t="str">
        <f>"13045-1206"</f>
        <v>13045-1206</v>
      </c>
      <c r="AB326" t="s">
        <v>123</v>
      </c>
      <c r="AC326" t="s">
        <v>113</v>
      </c>
      <c r="AD326" t="s">
        <v>108</v>
      </c>
      <c r="AE326" t="s">
        <v>114</v>
      </c>
      <c r="AF326" t="s">
        <v>142</v>
      </c>
      <c r="AG326" t="s">
        <v>116</v>
      </c>
      <c r="AK326" t="str">
        <f t="shared" si="36"/>
        <v/>
      </c>
      <c r="AL326" t="s">
        <v>2771</v>
      </c>
      <c r="AM326">
        <v>0</v>
      </c>
      <c r="AN326">
        <v>0</v>
      </c>
      <c r="AO326">
        <v>0</v>
      </c>
      <c r="AP326">
        <v>0</v>
      </c>
      <c r="AQ326">
        <v>0</v>
      </c>
      <c r="AR326">
        <v>0</v>
      </c>
      <c r="AS326">
        <v>0</v>
      </c>
      <c r="AT326">
        <v>0</v>
      </c>
      <c r="AU326">
        <v>0</v>
      </c>
      <c r="AV326">
        <v>0</v>
      </c>
      <c r="AW326">
        <v>0</v>
      </c>
      <c r="AX326" s="24">
        <f t="shared" si="33"/>
        <v>1</v>
      </c>
      <c r="AY326" s="24" t="str">
        <f t="shared" si="33"/>
        <v/>
      </c>
      <c r="AZ326" s="24" t="str">
        <f t="shared" si="35"/>
        <v/>
      </c>
      <c r="BA326" s="24" t="str">
        <f t="shared" si="35"/>
        <v/>
      </c>
      <c r="BB326" s="24" t="str">
        <f t="shared" si="35"/>
        <v/>
      </c>
      <c r="BC326" s="24" t="str">
        <f t="shared" si="35"/>
        <v/>
      </c>
      <c r="BD326" s="24" t="str">
        <f t="shared" si="35"/>
        <v/>
      </c>
      <c r="BE326" s="24" t="str">
        <f t="shared" si="35"/>
        <v/>
      </c>
      <c r="BF326" s="24" t="str">
        <f t="shared" si="35"/>
        <v/>
      </c>
      <c r="BG326" s="24" t="str">
        <f t="shared" si="35"/>
        <v/>
      </c>
      <c r="BH326" s="24" t="str">
        <f t="shared" si="37"/>
        <v/>
      </c>
      <c r="BI326" s="24">
        <f t="shared" si="35"/>
        <v>1</v>
      </c>
      <c r="BJ326" s="24" t="str">
        <f t="shared" si="31"/>
        <v/>
      </c>
    </row>
    <row r="327" spans="1:62" ht="15" customHeight="1" x14ac:dyDescent="0.25">
      <c r="A327" t="str">
        <f>"1679596076"</f>
        <v>1679596076</v>
      </c>
      <c r="B327" t="str">
        <f>"02666411"</f>
        <v>02666411</v>
      </c>
      <c r="C327" t="s">
        <v>1932</v>
      </c>
      <c r="D327" t="s">
        <v>1933</v>
      </c>
      <c r="E327" t="s">
        <v>1934</v>
      </c>
      <c r="L327" t="s">
        <v>247</v>
      </c>
      <c r="M327" t="s">
        <v>108</v>
      </c>
      <c r="R327" t="s">
        <v>1932</v>
      </c>
      <c r="W327" t="s">
        <v>1934</v>
      </c>
      <c r="X327" t="s">
        <v>1935</v>
      </c>
      <c r="Y327" t="s">
        <v>966</v>
      </c>
      <c r="Z327" t="s">
        <v>111</v>
      </c>
      <c r="AA327" t="str">
        <f>"13850-3641"</f>
        <v>13850-3641</v>
      </c>
      <c r="AB327" t="s">
        <v>123</v>
      </c>
      <c r="AC327" t="s">
        <v>113</v>
      </c>
      <c r="AD327" t="s">
        <v>108</v>
      </c>
      <c r="AE327" t="s">
        <v>114</v>
      </c>
      <c r="AF327" t="s">
        <v>115</v>
      </c>
      <c r="AG327" t="s">
        <v>116</v>
      </c>
      <c r="AK327" t="str">
        <f t="shared" si="36"/>
        <v/>
      </c>
      <c r="AL327" t="s">
        <v>1933</v>
      </c>
      <c r="AM327">
        <v>1</v>
      </c>
      <c r="AN327">
        <v>1</v>
      </c>
      <c r="AO327">
        <v>0</v>
      </c>
      <c r="AP327">
        <v>1</v>
      </c>
      <c r="AQ327">
        <v>1</v>
      </c>
      <c r="AR327">
        <v>0</v>
      </c>
      <c r="AS327">
        <v>0</v>
      </c>
      <c r="AT327">
        <v>0</v>
      </c>
      <c r="AU327">
        <v>0</v>
      </c>
      <c r="AV327">
        <v>0</v>
      </c>
      <c r="AW327">
        <v>0</v>
      </c>
      <c r="AX327" s="24" t="str">
        <f t="shared" si="33"/>
        <v/>
      </c>
      <c r="AY327" s="24">
        <f t="shared" si="33"/>
        <v>1</v>
      </c>
      <c r="AZ327" s="24" t="str">
        <f t="shared" si="35"/>
        <v/>
      </c>
      <c r="BA327" s="24" t="str">
        <f t="shared" si="35"/>
        <v/>
      </c>
      <c r="BB327" s="24" t="str">
        <f t="shared" si="35"/>
        <v/>
      </c>
      <c r="BC327" s="24" t="str">
        <f t="shared" si="35"/>
        <v/>
      </c>
      <c r="BD327" s="24" t="str">
        <f t="shared" si="35"/>
        <v/>
      </c>
      <c r="BE327" s="24" t="str">
        <f t="shared" si="35"/>
        <v/>
      </c>
      <c r="BF327" s="24" t="str">
        <f t="shared" si="35"/>
        <v/>
      </c>
      <c r="BG327" s="24" t="str">
        <f t="shared" si="35"/>
        <v/>
      </c>
      <c r="BH327" s="24" t="str">
        <f t="shared" si="37"/>
        <v/>
      </c>
      <c r="BI327" s="24" t="str">
        <f t="shared" si="35"/>
        <v/>
      </c>
      <c r="BJ327" s="24" t="str">
        <f t="shared" si="31"/>
        <v/>
      </c>
    </row>
    <row r="328" spans="1:62" ht="15" customHeight="1" x14ac:dyDescent="0.25">
      <c r="A328" t="str">
        <f>"1497072979"</f>
        <v>1497072979</v>
      </c>
      <c r="B328" t="str">
        <f>"03717219"</f>
        <v>03717219</v>
      </c>
      <c r="C328" t="s">
        <v>6419</v>
      </c>
      <c r="D328" t="s">
        <v>6420</v>
      </c>
      <c r="E328" t="s">
        <v>6421</v>
      </c>
      <c r="G328" t="s">
        <v>6330</v>
      </c>
      <c r="H328" t="s">
        <v>6331</v>
      </c>
      <c r="J328" t="s">
        <v>6332</v>
      </c>
      <c r="L328" t="s">
        <v>120</v>
      </c>
      <c r="M328" t="s">
        <v>139</v>
      </c>
      <c r="R328" t="s">
        <v>6421</v>
      </c>
      <c r="W328" t="s">
        <v>6421</v>
      </c>
      <c r="X328" t="s">
        <v>483</v>
      </c>
      <c r="Y328" t="s">
        <v>110</v>
      </c>
      <c r="Z328" t="s">
        <v>111</v>
      </c>
      <c r="AA328" t="str">
        <f>"13903-1642"</f>
        <v>13903-1642</v>
      </c>
      <c r="AB328" t="s">
        <v>123</v>
      </c>
      <c r="AC328" t="s">
        <v>113</v>
      </c>
      <c r="AD328" t="s">
        <v>108</v>
      </c>
      <c r="AE328" t="s">
        <v>114</v>
      </c>
      <c r="AF328" t="s">
        <v>115</v>
      </c>
      <c r="AG328" t="s">
        <v>116</v>
      </c>
      <c r="AK328" t="str">
        <f t="shared" si="36"/>
        <v>Daniel Chin, MD</v>
      </c>
      <c r="AL328" t="s">
        <v>6420</v>
      </c>
      <c r="AM328" t="s">
        <v>108</v>
      </c>
      <c r="AN328" t="s">
        <v>108</v>
      </c>
      <c r="AO328" t="s">
        <v>108</v>
      </c>
      <c r="AP328" t="s">
        <v>108</v>
      </c>
      <c r="AQ328" t="s">
        <v>108</v>
      </c>
      <c r="AR328" t="s">
        <v>108</v>
      </c>
      <c r="AS328" t="s">
        <v>108</v>
      </c>
      <c r="AT328" t="s">
        <v>108</v>
      </c>
      <c r="AU328">
        <v>0</v>
      </c>
      <c r="AV328" t="s">
        <v>108</v>
      </c>
      <c r="AW328" t="s">
        <v>108</v>
      </c>
      <c r="AX328" s="24">
        <f t="shared" si="33"/>
        <v>1</v>
      </c>
      <c r="AY328" s="24" t="str">
        <f t="shared" si="33"/>
        <v/>
      </c>
      <c r="AZ328" s="24" t="str">
        <f t="shared" si="35"/>
        <v/>
      </c>
      <c r="BA328" s="24" t="str">
        <f t="shared" si="35"/>
        <v/>
      </c>
      <c r="BB328" s="24" t="str">
        <f t="shared" si="35"/>
        <v/>
      </c>
      <c r="BC328" s="24" t="str">
        <f t="shared" si="35"/>
        <v/>
      </c>
      <c r="BD328" s="24" t="str">
        <f t="shared" si="35"/>
        <v/>
      </c>
      <c r="BE328" s="24" t="str">
        <f t="shared" si="35"/>
        <v/>
      </c>
      <c r="BF328" s="24" t="str">
        <f t="shared" si="35"/>
        <v/>
      </c>
      <c r="BG328" s="24" t="str">
        <f t="shared" si="35"/>
        <v/>
      </c>
      <c r="BH328" s="24" t="str">
        <f t="shared" si="37"/>
        <v/>
      </c>
      <c r="BI328" s="24">
        <f t="shared" si="35"/>
        <v>1</v>
      </c>
      <c r="BJ328" s="24" t="str">
        <f t="shared" si="31"/>
        <v/>
      </c>
    </row>
    <row r="329" spans="1:62" ht="15" customHeight="1" x14ac:dyDescent="0.25">
      <c r="A329" t="str">
        <f>"1184619264"</f>
        <v>1184619264</v>
      </c>
      <c r="B329" t="str">
        <f>"02575111"</f>
        <v>02575111</v>
      </c>
      <c r="C329" t="s">
        <v>3254</v>
      </c>
      <c r="D329" t="s">
        <v>3255</v>
      </c>
      <c r="E329" t="s">
        <v>3256</v>
      </c>
      <c r="G329" t="s">
        <v>3250</v>
      </c>
      <c r="H329" t="s">
        <v>3251</v>
      </c>
      <c r="J329" t="s">
        <v>3257</v>
      </c>
      <c r="L329" t="s">
        <v>138</v>
      </c>
      <c r="M329" t="s">
        <v>108</v>
      </c>
      <c r="R329" t="s">
        <v>3258</v>
      </c>
      <c r="W329" t="s">
        <v>3259</v>
      </c>
      <c r="X329" t="s">
        <v>302</v>
      </c>
      <c r="Y329" t="s">
        <v>293</v>
      </c>
      <c r="Z329" t="s">
        <v>111</v>
      </c>
      <c r="AA329" t="str">
        <f>"14850-1342"</f>
        <v>14850-1342</v>
      </c>
      <c r="AB329" t="s">
        <v>123</v>
      </c>
      <c r="AC329" t="s">
        <v>113</v>
      </c>
      <c r="AD329" t="s">
        <v>108</v>
      </c>
      <c r="AE329" t="s">
        <v>114</v>
      </c>
      <c r="AF329" t="s">
        <v>142</v>
      </c>
      <c r="AG329" t="s">
        <v>116</v>
      </c>
      <c r="AK329" t="str">
        <f t="shared" si="36"/>
        <v/>
      </c>
      <c r="AL329" t="s">
        <v>3255</v>
      </c>
      <c r="AM329">
        <v>1</v>
      </c>
      <c r="AN329">
        <v>1</v>
      </c>
      <c r="AO329">
        <v>0</v>
      </c>
      <c r="AP329">
        <v>0</v>
      </c>
      <c r="AQ329">
        <v>0</v>
      </c>
      <c r="AR329">
        <v>0</v>
      </c>
      <c r="AS329">
        <v>0</v>
      </c>
      <c r="AT329">
        <v>0</v>
      </c>
      <c r="AU329">
        <v>0</v>
      </c>
      <c r="AV329">
        <v>0</v>
      </c>
      <c r="AW329">
        <v>0</v>
      </c>
      <c r="AX329" s="24" t="str">
        <f t="shared" si="33"/>
        <v/>
      </c>
      <c r="AY329" s="24">
        <f t="shared" si="33"/>
        <v>1</v>
      </c>
      <c r="AZ329" s="24" t="str">
        <f t="shared" si="35"/>
        <v/>
      </c>
      <c r="BA329" s="24" t="str">
        <f t="shared" si="35"/>
        <v/>
      </c>
      <c r="BB329" s="24" t="str">
        <f t="shared" si="35"/>
        <v/>
      </c>
      <c r="BC329" s="24" t="str">
        <f t="shared" si="35"/>
        <v/>
      </c>
      <c r="BD329" s="24" t="str">
        <f t="shared" si="35"/>
        <v/>
      </c>
      <c r="BE329" s="24" t="str">
        <f t="shared" si="35"/>
        <v/>
      </c>
      <c r="BF329" s="24" t="str">
        <f t="shared" si="35"/>
        <v/>
      </c>
      <c r="BG329" s="24" t="str">
        <f t="shared" si="35"/>
        <v/>
      </c>
      <c r="BH329" s="24" t="str">
        <f t="shared" si="37"/>
        <v/>
      </c>
      <c r="BI329" s="24">
        <f t="shared" si="35"/>
        <v>1</v>
      </c>
      <c r="BJ329" s="24" t="str">
        <f t="shared" si="31"/>
        <v/>
      </c>
    </row>
    <row r="330" spans="1:62" ht="15" customHeight="1" x14ac:dyDescent="0.25">
      <c r="A330" t="str">
        <f>"1134471170"</f>
        <v>1134471170</v>
      </c>
      <c r="B330" t="str">
        <f>"03501402"</f>
        <v>03501402</v>
      </c>
      <c r="C330" t="s">
        <v>400</v>
      </c>
      <c r="D330" t="s">
        <v>401</v>
      </c>
      <c r="E330" t="s">
        <v>402</v>
      </c>
      <c r="G330" t="s">
        <v>400</v>
      </c>
      <c r="H330" t="s">
        <v>403</v>
      </c>
      <c r="J330" t="s">
        <v>404</v>
      </c>
      <c r="L330" t="s">
        <v>247</v>
      </c>
      <c r="M330" t="s">
        <v>108</v>
      </c>
      <c r="R330" t="s">
        <v>405</v>
      </c>
      <c r="W330" t="s">
        <v>402</v>
      </c>
      <c r="X330" t="s">
        <v>406</v>
      </c>
      <c r="Y330" t="s">
        <v>129</v>
      </c>
      <c r="Z330" t="s">
        <v>111</v>
      </c>
      <c r="AA330" t="str">
        <f>"13790-2107"</f>
        <v>13790-2107</v>
      </c>
      <c r="AB330" t="s">
        <v>123</v>
      </c>
      <c r="AC330" t="s">
        <v>113</v>
      </c>
      <c r="AD330" t="s">
        <v>108</v>
      </c>
      <c r="AE330" t="s">
        <v>114</v>
      </c>
      <c r="AF330" t="s">
        <v>115</v>
      </c>
      <c r="AG330" t="s">
        <v>116</v>
      </c>
      <c r="AK330" t="str">
        <f t="shared" si="36"/>
        <v/>
      </c>
      <c r="AL330" t="s">
        <v>401</v>
      </c>
      <c r="AM330">
        <v>1</v>
      </c>
      <c r="AN330">
        <v>1</v>
      </c>
      <c r="AO330">
        <v>0</v>
      </c>
      <c r="AP330">
        <v>1</v>
      </c>
      <c r="AQ330">
        <v>1</v>
      </c>
      <c r="AR330">
        <v>0</v>
      </c>
      <c r="AS330">
        <v>0</v>
      </c>
      <c r="AT330">
        <v>0</v>
      </c>
      <c r="AU330">
        <v>0</v>
      </c>
      <c r="AV330">
        <v>0</v>
      </c>
      <c r="AW330">
        <v>0</v>
      </c>
      <c r="AX330" s="24" t="str">
        <f t="shared" si="33"/>
        <v/>
      </c>
      <c r="AY330" s="24">
        <f t="shared" si="33"/>
        <v>1</v>
      </c>
      <c r="AZ330" s="24" t="str">
        <f t="shared" si="35"/>
        <v/>
      </c>
      <c r="BA330" s="24" t="str">
        <f t="shared" si="35"/>
        <v/>
      </c>
      <c r="BB330" s="24" t="str">
        <f t="shared" si="35"/>
        <v/>
      </c>
      <c r="BC330" s="24" t="str">
        <f t="shared" si="35"/>
        <v/>
      </c>
      <c r="BD330" s="24" t="str">
        <f t="shared" si="35"/>
        <v/>
      </c>
      <c r="BE330" s="24" t="str">
        <f t="shared" si="35"/>
        <v/>
      </c>
      <c r="BF330" s="24" t="str">
        <f t="shared" si="35"/>
        <v/>
      </c>
      <c r="BG330" s="24" t="str">
        <f t="shared" si="35"/>
        <v/>
      </c>
      <c r="BH330" s="24" t="str">
        <f t="shared" si="37"/>
        <v/>
      </c>
      <c r="BI330" s="24" t="str">
        <f t="shared" si="35"/>
        <v/>
      </c>
      <c r="BJ330" s="24" t="str">
        <f t="shared" si="31"/>
        <v/>
      </c>
    </row>
    <row r="331" spans="1:62" ht="15" customHeight="1" x14ac:dyDescent="0.25">
      <c r="A331" t="str">
        <f>"1952306094"</f>
        <v>1952306094</v>
      </c>
      <c r="B331" t="str">
        <f>"02166916"</f>
        <v>02166916</v>
      </c>
      <c r="C331" t="s">
        <v>3305</v>
      </c>
      <c r="D331" t="s">
        <v>3306</v>
      </c>
      <c r="E331" t="s">
        <v>3307</v>
      </c>
      <c r="G331" t="s">
        <v>786</v>
      </c>
      <c r="H331" t="s">
        <v>787</v>
      </c>
      <c r="J331" t="s">
        <v>788</v>
      </c>
      <c r="L331" t="s">
        <v>247</v>
      </c>
      <c r="M331" t="s">
        <v>139</v>
      </c>
      <c r="R331" t="s">
        <v>3305</v>
      </c>
      <c r="W331" t="s">
        <v>3307</v>
      </c>
      <c r="X331" t="s">
        <v>3308</v>
      </c>
      <c r="Y331" t="s">
        <v>141</v>
      </c>
      <c r="Z331" t="s">
        <v>111</v>
      </c>
      <c r="AA331" t="str">
        <f>"13208-2353"</f>
        <v>13208-2353</v>
      </c>
      <c r="AB331" t="s">
        <v>1872</v>
      </c>
      <c r="AC331" t="s">
        <v>113</v>
      </c>
      <c r="AD331" t="s">
        <v>108</v>
      </c>
      <c r="AE331" t="s">
        <v>114</v>
      </c>
      <c r="AF331" t="s">
        <v>142</v>
      </c>
      <c r="AG331" t="s">
        <v>116</v>
      </c>
      <c r="AK331" t="str">
        <f t="shared" si="36"/>
        <v/>
      </c>
      <c r="AL331" t="s">
        <v>3306</v>
      </c>
      <c r="AM331">
        <v>0</v>
      </c>
      <c r="AN331">
        <v>0</v>
      </c>
      <c r="AO331">
        <v>0</v>
      </c>
      <c r="AP331">
        <v>0</v>
      </c>
      <c r="AQ331">
        <v>0</v>
      </c>
      <c r="AR331">
        <v>0</v>
      </c>
      <c r="AS331">
        <v>0</v>
      </c>
      <c r="AT331">
        <v>0</v>
      </c>
      <c r="AU331">
        <v>0</v>
      </c>
      <c r="AV331">
        <v>0</v>
      </c>
      <c r="AW331">
        <v>0</v>
      </c>
      <c r="AX331" s="24" t="str">
        <f t="shared" si="33"/>
        <v/>
      </c>
      <c r="AY331" s="24">
        <f t="shared" si="33"/>
        <v>1</v>
      </c>
      <c r="AZ331" s="24" t="str">
        <f t="shared" si="35"/>
        <v/>
      </c>
      <c r="BA331" s="24" t="str">
        <f t="shared" si="35"/>
        <v/>
      </c>
      <c r="BB331" s="24" t="str">
        <f t="shared" si="35"/>
        <v/>
      </c>
      <c r="BC331" s="24" t="str">
        <f t="shared" si="35"/>
        <v/>
      </c>
      <c r="BD331" s="24" t="str">
        <f t="shared" si="35"/>
        <v/>
      </c>
      <c r="BE331" s="24" t="str">
        <f t="shared" si="35"/>
        <v/>
      </c>
      <c r="BF331" s="24" t="str">
        <f t="shared" si="35"/>
        <v/>
      </c>
      <c r="BG331" s="24" t="str">
        <f t="shared" si="35"/>
        <v/>
      </c>
      <c r="BH331" s="24" t="str">
        <f t="shared" si="37"/>
        <v/>
      </c>
      <c r="BI331" s="24" t="str">
        <f t="shared" si="35"/>
        <v/>
      </c>
      <c r="BJ331" s="24" t="str">
        <f t="shared" si="31"/>
        <v/>
      </c>
    </row>
    <row r="332" spans="1:62" ht="15" customHeight="1" x14ac:dyDescent="0.25">
      <c r="A332" t="str">
        <f>"1407113178"</f>
        <v>1407113178</v>
      </c>
      <c r="B332" t="str">
        <f>"03712489"</f>
        <v>03712489</v>
      </c>
      <c r="C332" t="s">
        <v>3996</v>
      </c>
      <c r="D332" t="s">
        <v>3997</v>
      </c>
      <c r="E332" t="s">
        <v>3996</v>
      </c>
      <c r="G332" t="s">
        <v>699</v>
      </c>
      <c r="H332" t="s">
        <v>700</v>
      </c>
      <c r="J332" t="s">
        <v>701</v>
      </c>
      <c r="L332" t="s">
        <v>120</v>
      </c>
      <c r="M332" t="s">
        <v>108</v>
      </c>
      <c r="R332" t="s">
        <v>3998</v>
      </c>
      <c r="W332" t="s">
        <v>3996</v>
      </c>
      <c r="X332" t="s">
        <v>1242</v>
      </c>
      <c r="Y332" t="s">
        <v>181</v>
      </c>
      <c r="Z332" t="s">
        <v>182</v>
      </c>
      <c r="AA332" t="str">
        <f>"18840-1832"</f>
        <v>18840-1832</v>
      </c>
      <c r="AB332" t="s">
        <v>123</v>
      </c>
      <c r="AC332" t="s">
        <v>113</v>
      </c>
      <c r="AD332" t="s">
        <v>108</v>
      </c>
      <c r="AE332" t="s">
        <v>114</v>
      </c>
      <c r="AF332" t="s">
        <v>115</v>
      </c>
      <c r="AG332" t="s">
        <v>116</v>
      </c>
      <c r="AK332" t="str">
        <f t="shared" si="36"/>
        <v/>
      </c>
      <c r="AL332" t="s">
        <v>3997</v>
      </c>
      <c r="AM332">
        <v>1</v>
      </c>
      <c r="AN332">
        <v>1</v>
      </c>
      <c r="AO332">
        <v>0</v>
      </c>
      <c r="AP332">
        <v>0</v>
      </c>
      <c r="AQ332">
        <v>0</v>
      </c>
      <c r="AR332">
        <v>0</v>
      </c>
      <c r="AS332">
        <v>0</v>
      </c>
      <c r="AT332">
        <v>1</v>
      </c>
      <c r="AU332">
        <v>1</v>
      </c>
      <c r="AV332">
        <v>1</v>
      </c>
      <c r="AW332">
        <v>0</v>
      </c>
      <c r="AX332" s="24">
        <f t="shared" si="33"/>
        <v>1</v>
      </c>
      <c r="AY332" s="24" t="str">
        <f t="shared" si="33"/>
        <v/>
      </c>
      <c r="AZ332" s="24" t="str">
        <f t="shared" si="35"/>
        <v/>
      </c>
      <c r="BA332" s="24" t="str">
        <f t="shared" si="35"/>
        <v/>
      </c>
      <c r="BB332" s="24" t="str">
        <f t="shared" si="35"/>
        <v/>
      </c>
      <c r="BC332" s="24" t="str">
        <f t="shared" si="35"/>
        <v/>
      </c>
      <c r="BD332" s="24" t="str">
        <f t="shared" si="35"/>
        <v/>
      </c>
      <c r="BE332" s="24" t="str">
        <f t="shared" si="35"/>
        <v/>
      </c>
      <c r="BF332" s="24" t="str">
        <f t="shared" si="35"/>
        <v/>
      </c>
      <c r="BG332" s="24" t="str">
        <f t="shared" si="35"/>
        <v/>
      </c>
      <c r="BH332" s="24" t="str">
        <f t="shared" si="37"/>
        <v/>
      </c>
      <c r="BI332" s="24">
        <f t="shared" si="35"/>
        <v>1</v>
      </c>
      <c r="BJ332" s="24" t="str">
        <f t="shared" si="31"/>
        <v/>
      </c>
    </row>
    <row r="333" spans="1:62" ht="15" customHeight="1" x14ac:dyDescent="0.25">
      <c r="A333" t="str">
        <f>"1669477832"</f>
        <v>1669477832</v>
      </c>
      <c r="B333" t="str">
        <f>"00625961"</f>
        <v>00625961</v>
      </c>
      <c r="C333" t="s">
        <v>1921</v>
      </c>
      <c r="D333" t="s">
        <v>1922</v>
      </c>
      <c r="E333" t="s">
        <v>1923</v>
      </c>
      <c r="L333" t="s">
        <v>247</v>
      </c>
      <c r="M333" t="s">
        <v>108</v>
      </c>
      <c r="R333" t="s">
        <v>1921</v>
      </c>
      <c r="W333" t="s">
        <v>1923</v>
      </c>
      <c r="Y333" t="s">
        <v>129</v>
      </c>
      <c r="Z333" t="s">
        <v>111</v>
      </c>
      <c r="AA333" t="str">
        <f>"13790-2107"</f>
        <v>13790-2107</v>
      </c>
      <c r="AB333" t="s">
        <v>123</v>
      </c>
      <c r="AC333" t="s">
        <v>113</v>
      </c>
      <c r="AD333" t="s">
        <v>108</v>
      </c>
      <c r="AE333" t="s">
        <v>114</v>
      </c>
      <c r="AF333" t="s">
        <v>115</v>
      </c>
      <c r="AG333" t="s">
        <v>116</v>
      </c>
      <c r="AK333" t="str">
        <f t="shared" si="36"/>
        <v/>
      </c>
      <c r="AL333" t="s">
        <v>1922</v>
      </c>
      <c r="AM333">
        <v>1</v>
      </c>
      <c r="AN333">
        <v>1</v>
      </c>
      <c r="AO333">
        <v>0</v>
      </c>
      <c r="AP333">
        <v>1</v>
      </c>
      <c r="AQ333">
        <v>1</v>
      </c>
      <c r="AR333">
        <v>0</v>
      </c>
      <c r="AS333">
        <v>0</v>
      </c>
      <c r="AT333">
        <v>0</v>
      </c>
      <c r="AU333">
        <v>0</v>
      </c>
      <c r="AV333">
        <v>0</v>
      </c>
      <c r="AW333">
        <v>0</v>
      </c>
      <c r="AX333" s="24" t="str">
        <f t="shared" si="33"/>
        <v/>
      </c>
      <c r="AY333" s="24">
        <f t="shared" si="33"/>
        <v>1</v>
      </c>
      <c r="AZ333" s="24" t="str">
        <f t="shared" si="35"/>
        <v/>
      </c>
      <c r="BA333" s="24" t="str">
        <f t="shared" si="35"/>
        <v/>
      </c>
      <c r="BB333" s="24" t="str">
        <f t="shared" si="35"/>
        <v/>
      </c>
      <c r="BC333" s="24" t="str">
        <f t="shared" si="35"/>
        <v/>
      </c>
      <c r="BD333" s="24" t="str">
        <f t="shared" si="35"/>
        <v/>
      </c>
      <c r="BE333" s="24" t="str">
        <f t="shared" si="35"/>
        <v/>
      </c>
      <c r="BF333" s="24" t="str">
        <f t="shared" si="35"/>
        <v/>
      </c>
      <c r="BG333" s="24" t="str">
        <f t="shared" si="35"/>
        <v/>
      </c>
      <c r="BH333" s="24" t="str">
        <f t="shared" si="37"/>
        <v/>
      </c>
      <c r="BI333" s="24" t="str">
        <f t="shared" si="35"/>
        <v/>
      </c>
      <c r="BJ333" s="24" t="str">
        <f t="shared" si="31"/>
        <v/>
      </c>
    </row>
    <row r="334" spans="1:62" ht="15" customHeight="1" x14ac:dyDescent="0.25">
      <c r="A334" t="str">
        <f>"1407945033"</f>
        <v>1407945033</v>
      </c>
      <c r="B334" t="str">
        <f>"01014608"</f>
        <v>01014608</v>
      </c>
      <c r="C334" t="s">
        <v>922</v>
      </c>
      <c r="D334" t="s">
        <v>923</v>
      </c>
      <c r="E334" t="s">
        <v>924</v>
      </c>
      <c r="G334" t="s">
        <v>638</v>
      </c>
      <c r="H334" t="s">
        <v>645</v>
      </c>
      <c r="J334" t="s">
        <v>925</v>
      </c>
      <c r="L334" t="s">
        <v>247</v>
      </c>
      <c r="M334" t="s">
        <v>108</v>
      </c>
      <c r="R334" t="s">
        <v>926</v>
      </c>
      <c r="W334" t="s">
        <v>924</v>
      </c>
      <c r="Y334" t="s">
        <v>927</v>
      </c>
      <c r="Z334" t="s">
        <v>111</v>
      </c>
      <c r="AA334" t="str">
        <f>"14901-3256"</f>
        <v>14901-3256</v>
      </c>
      <c r="AB334" t="s">
        <v>123</v>
      </c>
      <c r="AC334" t="s">
        <v>113</v>
      </c>
      <c r="AD334" t="s">
        <v>108</v>
      </c>
      <c r="AE334" t="s">
        <v>114</v>
      </c>
      <c r="AF334" t="s">
        <v>149</v>
      </c>
      <c r="AG334" t="s">
        <v>116</v>
      </c>
      <c r="AK334" t="str">
        <f t="shared" si="36"/>
        <v/>
      </c>
      <c r="AL334" t="s">
        <v>923</v>
      </c>
      <c r="AM334">
        <v>1</v>
      </c>
      <c r="AN334">
        <v>1</v>
      </c>
      <c r="AO334">
        <v>0</v>
      </c>
      <c r="AP334">
        <v>0</v>
      </c>
      <c r="AQ334">
        <v>0</v>
      </c>
      <c r="AR334">
        <v>0</v>
      </c>
      <c r="AS334">
        <v>0</v>
      </c>
      <c r="AT334">
        <v>0</v>
      </c>
      <c r="AU334">
        <v>0</v>
      </c>
      <c r="AV334">
        <v>0</v>
      </c>
      <c r="AW334">
        <v>0</v>
      </c>
      <c r="AX334" s="24" t="str">
        <f t="shared" si="33"/>
        <v/>
      </c>
      <c r="AY334" s="24">
        <f t="shared" si="33"/>
        <v>1</v>
      </c>
      <c r="AZ334" s="24" t="str">
        <f t="shared" si="35"/>
        <v/>
      </c>
      <c r="BA334" s="24" t="str">
        <f t="shared" si="35"/>
        <v/>
      </c>
      <c r="BB334" s="24" t="str">
        <f t="shared" si="35"/>
        <v/>
      </c>
      <c r="BC334" s="24" t="str">
        <f t="shared" si="35"/>
        <v/>
      </c>
      <c r="BD334" s="24" t="str">
        <f t="shared" si="35"/>
        <v/>
      </c>
      <c r="BE334" s="24" t="str">
        <f t="shared" si="35"/>
        <v/>
      </c>
      <c r="BF334" s="24" t="str">
        <f t="shared" si="35"/>
        <v/>
      </c>
      <c r="BG334" s="24" t="str">
        <f t="shared" si="35"/>
        <v/>
      </c>
      <c r="BH334" s="24" t="str">
        <f t="shared" si="37"/>
        <v/>
      </c>
      <c r="BI334" s="24" t="str">
        <f t="shared" si="35"/>
        <v/>
      </c>
      <c r="BJ334" s="24" t="str">
        <f t="shared" si="31"/>
        <v/>
      </c>
    </row>
    <row r="335" spans="1:62" ht="15" customHeight="1" x14ac:dyDescent="0.25">
      <c r="A335" t="str">
        <f>"1659341410"</f>
        <v>1659341410</v>
      </c>
      <c r="B335" t="str">
        <f>"01338889"</f>
        <v>01338889</v>
      </c>
      <c r="C335" t="s">
        <v>3380</v>
      </c>
      <c r="D335" t="s">
        <v>3381</v>
      </c>
      <c r="E335" t="s">
        <v>3382</v>
      </c>
      <c r="G335" t="s">
        <v>3096</v>
      </c>
      <c r="H335" t="s">
        <v>3097</v>
      </c>
      <c r="J335" t="s">
        <v>3383</v>
      </c>
      <c r="L335" t="s">
        <v>247</v>
      </c>
      <c r="M335" t="s">
        <v>108</v>
      </c>
      <c r="R335" t="s">
        <v>3384</v>
      </c>
      <c r="W335" t="s">
        <v>3382</v>
      </c>
      <c r="X335" t="s">
        <v>3385</v>
      </c>
      <c r="Y335" t="s">
        <v>628</v>
      </c>
      <c r="Z335" t="s">
        <v>111</v>
      </c>
      <c r="AA335" t="str">
        <f>"13601-4034"</f>
        <v>13601-4034</v>
      </c>
      <c r="AB335" t="s">
        <v>123</v>
      </c>
      <c r="AC335" t="s">
        <v>113</v>
      </c>
      <c r="AD335" t="s">
        <v>108</v>
      </c>
      <c r="AE335" t="s">
        <v>114</v>
      </c>
      <c r="AF335" t="s">
        <v>142</v>
      </c>
      <c r="AG335" t="s">
        <v>116</v>
      </c>
      <c r="AK335" t="str">
        <f t="shared" si="36"/>
        <v/>
      </c>
      <c r="AL335" t="s">
        <v>3381</v>
      </c>
      <c r="AM335">
        <v>1</v>
      </c>
      <c r="AN335">
        <v>1</v>
      </c>
      <c r="AO335">
        <v>0</v>
      </c>
      <c r="AP335">
        <v>0</v>
      </c>
      <c r="AQ335">
        <v>0</v>
      </c>
      <c r="AR335">
        <v>0</v>
      </c>
      <c r="AS335">
        <v>0</v>
      </c>
      <c r="AT335">
        <v>0</v>
      </c>
      <c r="AU335">
        <v>0</v>
      </c>
      <c r="AV335">
        <v>0</v>
      </c>
      <c r="AW335">
        <v>0</v>
      </c>
      <c r="AX335" s="24" t="str">
        <f t="shared" si="33"/>
        <v/>
      </c>
      <c r="AY335" s="24">
        <f t="shared" si="33"/>
        <v>1</v>
      </c>
      <c r="AZ335" s="24" t="str">
        <f t="shared" si="35"/>
        <v/>
      </c>
      <c r="BA335" s="24" t="str">
        <f t="shared" si="35"/>
        <v/>
      </c>
      <c r="BB335" s="24" t="str">
        <f t="shared" si="35"/>
        <v/>
      </c>
      <c r="BC335" s="24" t="str">
        <f t="shared" si="35"/>
        <v/>
      </c>
      <c r="BD335" s="24" t="str">
        <f t="shared" si="35"/>
        <v/>
      </c>
      <c r="BE335" s="24" t="str">
        <f t="shared" si="35"/>
        <v/>
      </c>
      <c r="BF335" s="24" t="str">
        <f t="shared" si="35"/>
        <v/>
      </c>
      <c r="BG335" s="24" t="str">
        <f t="shared" si="35"/>
        <v/>
      </c>
      <c r="BH335" s="24" t="str">
        <f t="shared" si="37"/>
        <v/>
      </c>
      <c r="BI335" s="24" t="str">
        <f t="shared" si="35"/>
        <v/>
      </c>
      <c r="BJ335" s="24" t="str">
        <f t="shared" si="31"/>
        <v/>
      </c>
    </row>
    <row r="336" spans="1:62" ht="15" customHeight="1" x14ac:dyDescent="0.25">
      <c r="A336" t="str">
        <f>"1194721456"</f>
        <v>1194721456</v>
      </c>
      <c r="B336" t="str">
        <f>"02359924"</f>
        <v>02359924</v>
      </c>
      <c r="C336" t="s">
        <v>2629</v>
      </c>
      <c r="D336" t="s">
        <v>2630</v>
      </c>
      <c r="E336" t="s">
        <v>2631</v>
      </c>
      <c r="G336" t="s">
        <v>2625</v>
      </c>
      <c r="H336" t="s">
        <v>2626</v>
      </c>
      <c r="J336" t="s">
        <v>2632</v>
      </c>
      <c r="L336" t="s">
        <v>247</v>
      </c>
      <c r="M336" t="s">
        <v>108</v>
      </c>
      <c r="R336" t="s">
        <v>2633</v>
      </c>
      <c r="W336" t="s">
        <v>2634</v>
      </c>
      <c r="X336" t="s">
        <v>2635</v>
      </c>
      <c r="Y336" t="s">
        <v>2636</v>
      </c>
      <c r="Z336" t="s">
        <v>111</v>
      </c>
      <c r="AA336" t="str">
        <f>"11355-5045"</f>
        <v>11355-5045</v>
      </c>
      <c r="AB336" t="s">
        <v>123</v>
      </c>
      <c r="AC336" t="s">
        <v>113</v>
      </c>
      <c r="AD336" t="s">
        <v>108</v>
      </c>
      <c r="AE336" t="s">
        <v>114</v>
      </c>
      <c r="AF336" t="s">
        <v>142</v>
      </c>
      <c r="AG336" t="s">
        <v>116</v>
      </c>
      <c r="AK336" t="str">
        <f t="shared" si="36"/>
        <v/>
      </c>
      <c r="AL336" t="s">
        <v>2630</v>
      </c>
      <c r="AM336">
        <v>0</v>
      </c>
      <c r="AN336">
        <v>0</v>
      </c>
      <c r="AO336">
        <v>0</v>
      </c>
      <c r="AP336">
        <v>0</v>
      </c>
      <c r="AQ336">
        <v>0</v>
      </c>
      <c r="AR336">
        <v>0</v>
      </c>
      <c r="AS336">
        <v>0</v>
      </c>
      <c r="AT336">
        <v>0</v>
      </c>
      <c r="AU336">
        <v>0</v>
      </c>
      <c r="AV336">
        <v>0</v>
      </c>
      <c r="AW336">
        <v>0</v>
      </c>
      <c r="AX336" s="24" t="str">
        <f t="shared" si="33"/>
        <v/>
      </c>
      <c r="AY336" s="24">
        <f t="shared" si="33"/>
        <v>1</v>
      </c>
      <c r="AZ336" s="24" t="str">
        <f t="shared" si="35"/>
        <v/>
      </c>
      <c r="BA336" s="24" t="str">
        <f t="shared" si="35"/>
        <v/>
      </c>
      <c r="BB336" s="24" t="str">
        <f t="shared" si="35"/>
        <v/>
      </c>
      <c r="BC336" s="24" t="str">
        <f t="shared" si="35"/>
        <v/>
      </c>
      <c r="BD336" s="24" t="str">
        <f t="shared" si="35"/>
        <v/>
      </c>
      <c r="BE336" s="24" t="str">
        <f t="shared" si="35"/>
        <v/>
      </c>
      <c r="BF336" s="24" t="str">
        <f t="shared" si="35"/>
        <v/>
      </c>
      <c r="BG336" s="24" t="str">
        <f t="shared" si="35"/>
        <v/>
      </c>
      <c r="BH336" s="24" t="str">
        <f t="shared" si="37"/>
        <v/>
      </c>
      <c r="BI336" s="24" t="str">
        <f t="shared" si="35"/>
        <v/>
      </c>
      <c r="BJ336" s="24" t="str">
        <f t="shared" si="31"/>
        <v/>
      </c>
    </row>
    <row r="337" spans="1:62" ht="15" customHeight="1" x14ac:dyDescent="0.25">
      <c r="A337" t="str">
        <f>"1003960881"</f>
        <v>1003960881</v>
      </c>
      <c r="B337" t="str">
        <f>"01487907"</f>
        <v>01487907</v>
      </c>
      <c r="C337" t="s">
        <v>560</v>
      </c>
      <c r="D337" t="s">
        <v>561</v>
      </c>
      <c r="E337" t="s">
        <v>562</v>
      </c>
      <c r="G337" t="s">
        <v>563</v>
      </c>
      <c r="H337" t="s">
        <v>564</v>
      </c>
      <c r="J337" t="s">
        <v>565</v>
      </c>
      <c r="L337" t="s">
        <v>247</v>
      </c>
      <c r="M337" t="s">
        <v>108</v>
      </c>
      <c r="R337" t="s">
        <v>566</v>
      </c>
      <c r="W337" t="s">
        <v>562</v>
      </c>
      <c r="X337" t="s">
        <v>567</v>
      </c>
      <c r="Y337" t="s">
        <v>293</v>
      </c>
      <c r="Z337" t="s">
        <v>111</v>
      </c>
      <c r="AA337" t="str">
        <f>"14850-1857"</f>
        <v>14850-1857</v>
      </c>
      <c r="AB337" t="s">
        <v>123</v>
      </c>
      <c r="AC337" t="s">
        <v>113</v>
      </c>
      <c r="AD337" t="s">
        <v>108</v>
      </c>
      <c r="AE337" t="s">
        <v>114</v>
      </c>
      <c r="AF337" t="s">
        <v>142</v>
      </c>
      <c r="AG337" t="s">
        <v>116</v>
      </c>
      <c r="AK337" t="str">
        <f t="shared" si="36"/>
        <v/>
      </c>
      <c r="AL337" t="s">
        <v>561</v>
      </c>
      <c r="AM337">
        <v>1</v>
      </c>
      <c r="AN337">
        <v>1</v>
      </c>
      <c r="AO337">
        <v>0</v>
      </c>
      <c r="AP337">
        <v>0</v>
      </c>
      <c r="AQ337">
        <v>0</v>
      </c>
      <c r="AR337">
        <v>0</v>
      </c>
      <c r="AS337">
        <v>0</v>
      </c>
      <c r="AT337">
        <v>0</v>
      </c>
      <c r="AU337">
        <v>0</v>
      </c>
      <c r="AV337">
        <v>0</v>
      </c>
      <c r="AW337">
        <v>0</v>
      </c>
      <c r="AX337" s="24" t="str">
        <f t="shared" si="33"/>
        <v/>
      </c>
      <c r="AY337" s="24">
        <f t="shared" si="33"/>
        <v>1</v>
      </c>
      <c r="AZ337" s="24" t="str">
        <f t="shared" si="35"/>
        <v/>
      </c>
      <c r="BA337" s="24" t="str">
        <f t="shared" si="35"/>
        <v/>
      </c>
      <c r="BB337" s="24" t="str">
        <f t="shared" si="35"/>
        <v/>
      </c>
      <c r="BC337" s="24" t="str">
        <f t="shared" si="35"/>
        <v/>
      </c>
      <c r="BD337" s="24" t="str">
        <f t="shared" si="35"/>
        <v/>
      </c>
      <c r="BE337" s="24" t="str">
        <f t="shared" si="35"/>
        <v/>
      </c>
      <c r="BF337" s="24" t="str">
        <f t="shared" si="35"/>
        <v/>
      </c>
      <c r="BG337" s="24" t="str">
        <f t="shared" si="35"/>
        <v/>
      </c>
      <c r="BH337" s="24" t="str">
        <f t="shared" si="37"/>
        <v/>
      </c>
      <c r="BI337" s="24" t="str">
        <f t="shared" si="35"/>
        <v/>
      </c>
      <c r="BJ337" s="24" t="str">
        <f t="shared" si="31"/>
        <v/>
      </c>
    </row>
    <row r="338" spans="1:62" ht="15" customHeight="1" x14ac:dyDescent="0.25">
      <c r="A338" t="str">
        <f>"1225363450"</f>
        <v>1225363450</v>
      </c>
      <c r="B338" t="str">
        <f>"03296802"</f>
        <v>03296802</v>
      </c>
      <c r="C338" t="s">
        <v>4406</v>
      </c>
      <c r="D338" t="s">
        <v>4407</v>
      </c>
      <c r="E338" t="s">
        <v>4408</v>
      </c>
      <c r="G338" t="s">
        <v>4406</v>
      </c>
      <c r="H338" t="s">
        <v>403</v>
      </c>
      <c r="J338" t="s">
        <v>4409</v>
      </c>
      <c r="L338" t="s">
        <v>138</v>
      </c>
      <c r="M338" t="s">
        <v>108</v>
      </c>
      <c r="R338" t="s">
        <v>4408</v>
      </c>
      <c r="W338" t="s">
        <v>4408</v>
      </c>
      <c r="X338" t="s">
        <v>406</v>
      </c>
      <c r="Y338" t="s">
        <v>129</v>
      </c>
      <c r="Z338" t="s">
        <v>111</v>
      </c>
      <c r="AA338" t="str">
        <f>"13790-2107"</f>
        <v>13790-2107</v>
      </c>
      <c r="AB338" t="s">
        <v>123</v>
      </c>
      <c r="AC338" t="s">
        <v>113</v>
      </c>
      <c r="AD338" t="s">
        <v>108</v>
      </c>
      <c r="AE338" t="s">
        <v>114</v>
      </c>
      <c r="AF338" t="s">
        <v>115</v>
      </c>
      <c r="AG338" t="s">
        <v>116</v>
      </c>
      <c r="AK338" t="str">
        <f t="shared" si="36"/>
        <v/>
      </c>
      <c r="AL338" t="s">
        <v>4407</v>
      </c>
      <c r="AM338">
        <v>0</v>
      </c>
      <c r="AN338">
        <v>0</v>
      </c>
      <c r="AO338">
        <v>0</v>
      </c>
      <c r="AP338">
        <v>0</v>
      </c>
      <c r="AQ338">
        <v>0</v>
      </c>
      <c r="AR338">
        <v>0</v>
      </c>
      <c r="AS338">
        <v>0</v>
      </c>
      <c r="AT338">
        <v>0</v>
      </c>
      <c r="AU338">
        <v>0</v>
      </c>
      <c r="AV338">
        <v>0</v>
      </c>
      <c r="AW338">
        <v>0</v>
      </c>
      <c r="AX338" s="24" t="str">
        <f t="shared" si="33"/>
        <v/>
      </c>
      <c r="AY338" s="24">
        <f t="shared" si="33"/>
        <v>1</v>
      </c>
      <c r="AZ338" s="24" t="str">
        <f t="shared" si="35"/>
        <v/>
      </c>
      <c r="BA338" s="24" t="str">
        <f t="shared" si="35"/>
        <v/>
      </c>
      <c r="BB338" s="24" t="str">
        <f t="shared" si="35"/>
        <v/>
      </c>
      <c r="BC338" s="24" t="str">
        <f t="shared" si="35"/>
        <v/>
      </c>
      <c r="BD338" s="24" t="str">
        <f t="shared" si="35"/>
        <v/>
      </c>
      <c r="BE338" s="24" t="str">
        <f t="shared" si="35"/>
        <v/>
      </c>
      <c r="BF338" s="24" t="str">
        <f t="shared" si="35"/>
        <v/>
      </c>
      <c r="BG338" s="24" t="str">
        <f t="shared" si="35"/>
        <v/>
      </c>
      <c r="BH338" s="24" t="str">
        <f t="shared" si="37"/>
        <v/>
      </c>
      <c r="BI338" s="24">
        <f t="shared" si="35"/>
        <v>1</v>
      </c>
      <c r="BJ338" s="24" t="str">
        <f t="shared" ref="BJ338:BJ401" si="38">IF(ISERROR(FIND(BJ$1,$L338,1)),"",1)</f>
        <v/>
      </c>
    </row>
    <row r="339" spans="1:62" ht="15" customHeight="1" x14ac:dyDescent="0.25">
      <c r="A339" t="str">
        <f>"1982606125"</f>
        <v>1982606125</v>
      </c>
      <c r="B339" t="str">
        <f>"01336543"</f>
        <v>01336543</v>
      </c>
      <c r="C339" t="s">
        <v>1172</v>
      </c>
      <c r="D339" t="s">
        <v>1173</v>
      </c>
      <c r="E339" t="s">
        <v>1174</v>
      </c>
      <c r="G339" t="s">
        <v>1147</v>
      </c>
      <c r="H339" t="s">
        <v>1148</v>
      </c>
      <c r="J339" t="s">
        <v>1175</v>
      </c>
      <c r="L339" t="s">
        <v>138</v>
      </c>
      <c r="M339" t="s">
        <v>108</v>
      </c>
      <c r="R339" t="s">
        <v>1176</v>
      </c>
      <c r="W339" t="s">
        <v>1174</v>
      </c>
      <c r="X339" t="s">
        <v>1177</v>
      </c>
      <c r="Y339" t="s">
        <v>293</v>
      </c>
      <c r="Z339" t="s">
        <v>111</v>
      </c>
      <c r="AA339" t="str">
        <f>"14850-1397"</f>
        <v>14850-1397</v>
      </c>
      <c r="AB339" t="s">
        <v>123</v>
      </c>
      <c r="AC339" t="s">
        <v>113</v>
      </c>
      <c r="AD339" t="s">
        <v>108</v>
      </c>
      <c r="AE339" t="s">
        <v>114</v>
      </c>
      <c r="AF339" t="s">
        <v>142</v>
      </c>
      <c r="AG339" t="s">
        <v>116</v>
      </c>
      <c r="AK339" t="str">
        <f t="shared" si="36"/>
        <v/>
      </c>
      <c r="AL339" t="s">
        <v>1173</v>
      </c>
      <c r="AM339">
        <v>1</v>
      </c>
      <c r="AN339">
        <v>1</v>
      </c>
      <c r="AO339">
        <v>0</v>
      </c>
      <c r="AP339">
        <v>0</v>
      </c>
      <c r="AQ339">
        <v>0</v>
      </c>
      <c r="AR339">
        <v>0</v>
      </c>
      <c r="AS339">
        <v>0</v>
      </c>
      <c r="AT339">
        <v>0</v>
      </c>
      <c r="AU339">
        <v>0</v>
      </c>
      <c r="AV339">
        <v>0</v>
      </c>
      <c r="AW339">
        <v>0</v>
      </c>
      <c r="AX339" s="24" t="str">
        <f t="shared" si="33"/>
        <v/>
      </c>
      <c r="AY339" s="24">
        <f t="shared" si="33"/>
        <v>1</v>
      </c>
      <c r="AZ339" s="24" t="str">
        <f t="shared" si="35"/>
        <v/>
      </c>
      <c r="BA339" s="24" t="str">
        <f t="shared" si="35"/>
        <v/>
      </c>
      <c r="BB339" s="24" t="str">
        <f t="shared" si="35"/>
        <v/>
      </c>
      <c r="BC339" s="24" t="str">
        <f t="shared" si="35"/>
        <v/>
      </c>
      <c r="BD339" s="24" t="str">
        <f t="shared" si="35"/>
        <v/>
      </c>
      <c r="BE339" s="24" t="str">
        <f t="shared" si="35"/>
        <v/>
      </c>
      <c r="BF339" s="24" t="str">
        <f t="shared" si="35"/>
        <v/>
      </c>
      <c r="BG339" s="24" t="str">
        <f t="shared" si="35"/>
        <v/>
      </c>
      <c r="BH339" s="24" t="str">
        <f t="shared" si="37"/>
        <v/>
      </c>
      <c r="BI339" s="24">
        <f t="shared" si="35"/>
        <v>1</v>
      </c>
      <c r="BJ339" s="24" t="str">
        <f t="shared" si="38"/>
        <v/>
      </c>
    </row>
    <row r="340" spans="1:62" ht="15" customHeight="1" x14ac:dyDescent="0.25">
      <c r="A340" t="str">
        <f>"1538250873"</f>
        <v>1538250873</v>
      </c>
      <c r="B340" t="str">
        <f>"01016504"</f>
        <v>01016504</v>
      </c>
      <c r="C340" t="s">
        <v>1640</v>
      </c>
      <c r="D340" t="s">
        <v>1641</v>
      </c>
      <c r="E340" t="s">
        <v>1642</v>
      </c>
      <c r="G340" t="s">
        <v>638</v>
      </c>
      <c r="H340" t="s">
        <v>639</v>
      </c>
      <c r="J340" t="s">
        <v>1643</v>
      </c>
      <c r="L340" t="s">
        <v>247</v>
      </c>
      <c r="M340" t="s">
        <v>108</v>
      </c>
      <c r="R340" t="s">
        <v>1644</v>
      </c>
      <c r="W340" t="s">
        <v>1642</v>
      </c>
      <c r="X340" t="s">
        <v>1645</v>
      </c>
      <c r="Y340" t="s">
        <v>1646</v>
      </c>
      <c r="Z340" t="s">
        <v>1647</v>
      </c>
      <c r="AA340" t="str">
        <f>"01199-1001"</f>
        <v>01199-1001</v>
      </c>
      <c r="AB340" t="s">
        <v>123</v>
      </c>
      <c r="AC340" t="s">
        <v>113</v>
      </c>
      <c r="AD340" t="s">
        <v>108</v>
      </c>
      <c r="AE340" t="s">
        <v>114</v>
      </c>
      <c r="AF340" t="s">
        <v>142</v>
      </c>
      <c r="AG340" t="s">
        <v>116</v>
      </c>
      <c r="AK340" t="str">
        <f t="shared" si="36"/>
        <v/>
      </c>
      <c r="AL340" t="s">
        <v>1641</v>
      </c>
      <c r="AM340">
        <v>1</v>
      </c>
      <c r="AN340">
        <v>1</v>
      </c>
      <c r="AO340">
        <v>0</v>
      </c>
      <c r="AP340">
        <v>0</v>
      </c>
      <c r="AQ340">
        <v>0</v>
      </c>
      <c r="AR340">
        <v>0</v>
      </c>
      <c r="AS340">
        <v>0</v>
      </c>
      <c r="AT340">
        <v>0</v>
      </c>
      <c r="AU340">
        <v>0</v>
      </c>
      <c r="AV340">
        <v>0</v>
      </c>
      <c r="AW340">
        <v>0</v>
      </c>
      <c r="AX340" s="24" t="str">
        <f t="shared" si="33"/>
        <v/>
      </c>
      <c r="AY340" s="24">
        <f t="shared" si="33"/>
        <v>1</v>
      </c>
      <c r="AZ340" s="24" t="str">
        <f t="shared" si="35"/>
        <v/>
      </c>
      <c r="BA340" s="24" t="str">
        <f t="shared" si="35"/>
        <v/>
      </c>
      <c r="BB340" s="24" t="str">
        <f t="shared" si="35"/>
        <v/>
      </c>
      <c r="BC340" s="24" t="str">
        <f t="shared" si="35"/>
        <v/>
      </c>
      <c r="BD340" s="24" t="str">
        <f t="shared" si="35"/>
        <v/>
      </c>
      <c r="BE340" s="24" t="str">
        <f t="shared" si="35"/>
        <v/>
      </c>
      <c r="BF340" s="24" t="str">
        <f t="shared" si="35"/>
        <v/>
      </c>
      <c r="BG340" s="24" t="str">
        <f t="shared" si="35"/>
        <v/>
      </c>
      <c r="BH340" s="24" t="str">
        <f t="shared" si="37"/>
        <v/>
      </c>
      <c r="BI340" s="24" t="str">
        <f t="shared" si="35"/>
        <v/>
      </c>
      <c r="BJ340" s="24" t="str">
        <f t="shared" si="38"/>
        <v/>
      </c>
    </row>
    <row r="341" spans="1:62" ht="15" customHeight="1" x14ac:dyDescent="0.25">
      <c r="A341" t="str">
        <f>"1194782722"</f>
        <v>1194782722</v>
      </c>
      <c r="B341" t="str">
        <f>"01988247"</f>
        <v>01988247</v>
      </c>
      <c r="C341" t="s">
        <v>1674</v>
      </c>
      <c r="D341" t="s">
        <v>1675</v>
      </c>
      <c r="E341" t="s">
        <v>1676</v>
      </c>
      <c r="G341" t="s">
        <v>638</v>
      </c>
      <c r="H341" t="s">
        <v>645</v>
      </c>
      <c r="J341" t="s">
        <v>1677</v>
      </c>
      <c r="L341" t="s">
        <v>120</v>
      </c>
      <c r="M341" t="s">
        <v>108</v>
      </c>
      <c r="R341" t="s">
        <v>1678</v>
      </c>
      <c r="W341" t="s">
        <v>1676</v>
      </c>
      <c r="X341" t="s">
        <v>366</v>
      </c>
      <c r="Y341" t="s">
        <v>367</v>
      </c>
      <c r="Z341" t="s">
        <v>111</v>
      </c>
      <c r="AA341" t="str">
        <f>"13753-7443"</f>
        <v>13753-7443</v>
      </c>
      <c r="AB341" t="s">
        <v>123</v>
      </c>
      <c r="AC341" t="s">
        <v>113</v>
      </c>
      <c r="AD341" t="s">
        <v>108</v>
      </c>
      <c r="AE341" t="s">
        <v>114</v>
      </c>
      <c r="AF341" t="s">
        <v>124</v>
      </c>
      <c r="AG341" t="s">
        <v>116</v>
      </c>
      <c r="AK341" t="str">
        <f t="shared" si="36"/>
        <v/>
      </c>
      <c r="AL341" t="s">
        <v>1675</v>
      </c>
      <c r="AM341">
        <v>1</v>
      </c>
      <c r="AN341">
        <v>1</v>
      </c>
      <c r="AO341">
        <v>0</v>
      </c>
      <c r="AP341">
        <v>0</v>
      </c>
      <c r="AQ341">
        <v>0</v>
      </c>
      <c r="AR341">
        <v>0</v>
      </c>
      <c r="AS341">
        <v>0</v>
      </c>
      <c r="AT341">
        <v>0</v>
      </c>
      <c r="AU341">
        <v>0</v>
      </c>
      <c r="AV341">
        <v>0</v>
      </c>
      <c r="AW341">
        <v>0</v>
      </c>
      <c r="AX341" s="24">
        <f t="shared" si="33"/>
        <v>1</v>
      </c>
      <c r="AY341" s="24" t="str">
        <f t="shared" si="33"/>
        <v/>
      </c>
      <c r="AZ341" s="24" t="str">
        <f t="shared" si="35"/>
        <v/>
      </c>
      <c r="BA341" s="24" t="str">
        <f t="shared" si="35"/>
        <v/>
      </c>
      <c r="BB341" s="24" t="str">
        <f t="shared" si="35"/>
        <v/>
      </c>
      <c r="BC341" s="24" t="str">
        <f t="shared" si="35"/>
        <v/>
      </c>
      <c r="BD341" s="24" t="str">
        <f t="shared" si="35"/>
        <v/>
      </c>
      <c r="BE341" s="24" t="str">
        <f t="shared" si="35"/>
        <v/>
      </c>
      <c r="BF341" s="24" t="str">
        <f t="shared" si="35"/>
        <v/>
      </c>
      <c r="BG341" s="24" t="str">
        <f t="shared" si="35"/>
        <v/>
      </c>
      <c r="BH341" s="24" t="str">
        <f t="shared" si="37"/>
        <v/>
      </c>
      <c r="BI341" s="24">
        <f t="shared" si="35"/>
        <v>1</v>
      </c>
      <c r="BJ341" s="24" t="str">
        <f t="shared" si="38"/>
        <v/>
      </c>
    </row>
    <row r="342" spans="1:62" ht="15" customHeight="1" x14ac:dyDescent="0.25">
      <c r="A342" t="str">
        <f>"1538264346"</f>
        <v>1538264346</v>
      </c>
      <c r="B342" t="str">
        <f>"02489834"</f>
        <v>02489834</v>
      </c>
      <c r="C342" t="s">
        <v>861</v>
      </c>
      <c r="D342" t="s">
        <v>862</v>
      </c>
      <c r="E342" t="s">
        <v>863</v>
      </c>
      <c r="L342" t="s">
        <v>120</v>
      </c>
      <c r="M342" t="s">
        <v>139</v>
      </c>
      <c r="R342" t="s">
        <v>861</v>
      </c>
      <c r="W342" t="s">
        <v>863</v>
      </c>
      <c r="X342" t="s">
        <v>864</v>
      </c>
      <c r="Y342" t="s">
        <v>865</v>
      </c>
      <c r="Z342" t="s">
        <v>111</v>
      </c>
      <c r="AA342" t="str">
        <f>"11210-2800"</f>
        <v>11210-2800</v>
      </c>
      <c r="AB342" t="s">
        <v>123</v>
      </c>
      <c r="AC342" t="s">
        <v>113</v>
      </c>
      <c r="AD342" t="s">
        <v>108</v>
      </c>
      <c r="AE342" t="s">
        <v>114</v>
      </c>
      <c r="AF342" t="s">
        <v>124</v>
      </c>
      <c r="AG342" t="s">
        <v>116</v>
      </c>
      <c r="AK342" t="str">
        <f t="shared" si="36"/>
        <v/>
      </c>
      <c r="AL342" t="s">
        <v>862</v>
      </c>
      <c r="AM342">
        <v>1</v>
      </c>
      <c r="AN342">
        <v>1</v>
      </c>
      <c r="AO342">
        <v>0</v>
      </c>
      <c r="AP342">
        <v>1</v>
      </c>
      <c r="AQ342">
        <v>1</v>
      </c>
      <c r="AR342">
        <v>0</v>
      </c>
      <c r="AS342">
        <v>0</v>
      </c>
      <c r="AT342">
        <v>0</v>
      </c>
      <c r="AU342">
        <v>0</v>
      </c>
      <c r="AV342">
        <v>0</v>
      </c>
      <c r="AW342">
        <v>0</v>
      </c>
      <c r="AX342" s="24">
        <f t="shared" si="33"/>
        <v>1</v>
      </c>
      <c r="AY342" s="24" t="str">
        <f t="shared" si="33"/>
        <v/>
      </c>
      <c r="AZ342" s="24" t="str">
        <f t="shared" si="35"/>
        <v/>
      </c>
      <c r="BA342" s="24" t="str">
        <f t="shared" si="35"/>
        <v/>
      </c>
      <c r="BB342" s="24" t="str">
        <f t="shared" si="35"/>
        <v/>
      </c>
      <c r="BC342" s="24" t="str">
        <f t="shared" si="35"/>
        <v/>
      </c>
      <c r="BD342" s="24" t="str">
        <f t="shared" si="35"/>
        <v/>
      </c>
      <c r="BE342" s="24" t="str">
        <f t="shared" si="35"/>
        <v/>
      </c>
      <c r="BF342" s="24" t="str">
        <f t="shared" si="35"/>
        <v/>
      </c>
      <c r="BG342" s="24" t="str">
        <f t="shared" si="35"/>
        <v/>
      </c>
      <c r="BH342" s="24" t="str">
        <f t="shared" si="37"/>
        <v/>
      </c>
      <c r="BI342" s="24">
        <f t="shared" si="35"/>
        <v>1</v>
      </c>
      <c r="BJ342" s="24" t="str">
        <f t="shared" si="38"/>
        <v/>
      </c>
    </row>
    <row r="343" spans="1:62" ht="15" customHeight="1" x14ac:dyDescent="0.25">
      <c r="A343" t="str">
        <f>"1568546182"</f>
        <v>1568546182</v>
      </c>
      <c r="B343" t="str">
        <f>"02216842"</f>
        <v>02216842</v>
      </c>
      <c r="C343" t="s">
        <v>894</v>
      </c>
      <c r="D343" t="s">
        <v>895</v>
      </c>
      <c r="E343" t="s">
        <v>896</v>
      </c>
      <c r="L343" t="s">
        <v>120</v>
      </c>
      <c r="M343" t="s">
        <v>139</v>
      </c>
      <c r="R343" t="s">
        <v>894</v>
      </c>
      <c r="W343" t="s">
        <v>896</v>
      </c>
      <c r="X343" t="s">
        <v>897</v>
      </c>
      <c r="Y343" t="s">
        <v>865</v>
      </c>
      <c r="Z343" t="s">
        <v>111</v>
      </c>
      <c r="AA343" t="str">
        <f>"11201-4227"</f>
        <v>11201-4227</v>
      </c>
      <c r="AB343" t="s">
        <v>123</v>
      </c>
      <c r="AC343" t="s">
        <v>113</v>
      </c>
      <c r="AD343" t="s">
        <v>108</v>
      </c>
      <c r="AE343" t="s">
        <v>114</v>
      </c>
      <c r="AF343" t="s">
        <v>124</v>
      </c>
      <c r="AG343" t="s">
        <v>116</v>
      </c>
      <c r="AK343" t="str">
        <f t="shared" si="36"/>
        <v/>
      </c>
      <c r="AL343" t="s">
        <v>895</v>
      </c>
      <c r="AM343">
        <v>1</v>
      </c>
      <c r="AN343">
        <v>1</v>
      </c>
      <c r="AO343">
        <v>0</v>
      </c>
      <c r="AP343">
        <v>1</v>
      </c>
      <c r="AQ343">
        <v>1</v>
      </c>
      <c r="AR343">
        <v>0</v>
      </c>
      <c r="AS343">
        <v>0</v>
      </c>
      <c r="AT343">
        <v>0</v>
      </c>
      <c r="AU343">
        <v>0</v>
      </c>
      <c r="AV343">
        <v>0</v>
      </c>
      <c r="AW343">
        <v>0</v>
      </c>
      <c r="AX343" s="24">
        <f t="shared" si="33"/>
        <v>1</v>
      </c>
      <c r="AY343" s="24" t="str">
        <f t="shared" si="33"/>
        <v/>
      </c>
      <c r="AZ343" s="24" t="str">
        <f t="shared" si="35"/>
        <v/>
      </c>
      <c r="BA343" s="24" t="str">
        <f t="shared" si="35"/>
        <v/>
      </c>
      <c r="BB343" s="24" t="str">
        <f t="shared" si="35"/>
        <v/>
      </c>
      <c r="BC343" s="24" t="str">
        <f t="shared" si="35"/>
        <v/>
      </c>
      <c r="BD343" s="24" t="str">
        <f t="shared" si="35"/>
        <v/>
      </c>
      <c r="BE343" s="24" t="str">
        <f t="shared" si="35"/>
        <v/>
      </c>
      <c r="BF343" s="24" t="str">
        <f t="shared" si="35"/>
        <v/>
      </c>
      <c r="BG343" s="24" t="str">
        <f t="shared" si="35"/>
        <v/>
      </c>
      <c r="BH343" s="24" t="str">
        <f t="shared" si="37"/>
        <v/>
      </c>
      <c r="BI343" s="24">
        <f t="shared" si="35"/>
        <v>1</v>
      </c>
      <c r="BJ343" s="24" t="str">
        <f t="shared" si="38"/>
        <v/>
      </c>
    </row>
    <row r="344" spans="1:62" ht="15" customHeight="1" x14ac:dyDescent="0.25">
      <c r="A344" t="str">
        <f>"1386739092"</f>
        <v>1386739092</v>
      </c>
      <c r="B344" t="str">
        <f>"00862859"</f>
        <v>00862859</v>
      </c>
      <c r="C344" t="s">
        <v>1785</v>
      </c>
      <c r="D344" t="s">
        <v>1786</v>
      </c>
      <c r="E344" t="s">
        <v>1787</v>
      </c>
      <c r="G344" t="s">
        <v>815</v>
      </c>
      <c r="H344" t="s">
        <v>816</v>
      </c>
      <c r="J344" t="s">
        <v>817</v>
      </c>
      <c r="L344" t="s">
        <v>120</v>
      </c>
      <c r="M344" t="s">
        <v>108</v>
      </c>
      <c r="R344" t="s">
        <v>1785</v>
      </c>
      <c r="W344" t="s">
        <v>1787</v>
      </c>
      <c r="X344" t="s">
        <v>1788</v>
      </c>
      <c r="Y344" t="s">
        <v>129</v>
      </c>
      <c r="Z344" t="s">
        <v>111</v>
      </c>
      <c r="AA344" t="str">
        <f>"13790"</f>
        <v>13790</v>
      </c>
      <c r="AB344" t="s">
        <v>123</v>
      </c>
      <c r="AC344" t="s">
        <v>113</v>
      </c>
      <c r="AD344" t="s">
        <v>108</v>
      </c>
      <c r="AE344" t="s">
        <v>114</v>
      </c>
      <c r="AF344" t="s">
        <v>115</v>
      </c>
      <c r="AG344" t="s">
        <v>116</v>
      </c>
      <c r="AK344" t="str">
        <f t="shared" si="36"/>
        <v/>
      </c>
      <c r="AL344" t="s">
        <v>1786</v>
      </c>
      <c r="AM344">
        <v>1</v>
      </c>
      <c r="AN344">
        <v>1</v>
      </c>
      <c r="AO344">
        <v>0</v>
      </c>
      <c r="AP344">
        <v>1</v>
      </c>
      <c r="AQ344">
        <v>1</v>
      </c>
      <c r="AR344">
        <v>0</v>
      </c>
      <c r="AS344">
        <v>0</v>
      </c>
      <c r="AT344">
        <v>1</v>
      </c>
      <c r="AU344">
        <v>0</v>
      </c>
      <c r="AV344">
        <v>0</v>
      </c>
      <c r="AW344">
        <v>1</v>
      </c>
      <c r="AX344" s="24">
        <f t="shared" si="33"/>
        <v>1</v>
      </c>
      <c r="AY344" s="24" t="str">
        <f t="shared" si="33"/>
        <v/>
      </c>
      <c r="AZ344" s="24" t="str">
        <f t="shared" si="35"/>
        <v/>
      </c>
      <c r="BA344" s="24" t="str">
        <f t="shared" si="35"/>
        <v/>
      </c>
      <c r="BB344" s="24" t="str">
        <f t="shared" si="35"/>
        <v/>
      </c>
      <c r="BC344" s="24" t="str">
        <f t="shared" si="35"/>
        <v/>
      </c>
      <c r="BD344" s="24" t="str">
        <f t="shared" si="35"/>
        <v/>
      </c>
      <c r="BE344" s="24" t="str">
        <f t="shared" si="35"/>
        <v/>
      </c>
      <c r="BF344" s="24" t="str">
        <f t="shared" si="35"/>
        <v/>
      </c>
      <c r="BG344" s="24" t="str">
        <f t="shared" si="35"/>
        <v/>
      </c>
      <c r="BH344" s="24" t="str">
        <f t="shared" si="37"/>
        <v/>
      </c>
      <c r="BI344" s="24">
        <f t="shared" si="35"/>
        <v>1</v>
      </c>
      <c r="BJ344" s="24" t="str">
        <f t="shared" si="38"/>
        <v/>
      </c>
    </row>
    <row r="345" spans="1:62" ht="15" customHeight="1" x14ac:dyDescent="0.25">
      <c r="A345" t="str">
        <f>"1992757686"</f>
        <v>1992757686</v>
      </c>
      <c r="B345" t="str">
        <f>"02503588"</f>
        <v>02503588</v>
      </c>
      <c r="C345" t="s">
        <v>5900</v>
      </c>
      <c r="D345" t="s">
        <v>5901</v>
      </c>
      <c r="E345" t="s">
        <v>5902</v>
      </c>
      <c r="G345" t="s">
        <v>815</v>
      </c>
      <c r="H345" t="s">
        <v>816</v>
      </c>
      <c r="J345" t="s">
        <v>817</v>
      </c>
      <c r="L345" t="s">
        <v>247</v>
      </c>
      <c r="M345" t="s">
        <v>108</v>
      </c>
      <c r="R345" t="s">
        <v>5903</v>
      </c>
      <c r="W345" t="s">
        <v>5902</v>
      </c>
      <c r="X345" t="s">
        <v>5904</v>
      </c>
      <c r="Y345" t="s">
        <v>129</v>
      </c>
      <c r="Z345" t="s">
        <v>111</v>
      </c>
      <c r="AA345" t="str">
        <f>"13790-2176"</f>
        <v>13790-2176</v>
      </c>
      <c r="AB345" t="s">
        <v>123</v>
      </c>
      <c r="AC345" t="s">
        <v>113</v>
      </c>
      <c r="AD345" t="s">
        <v>108</v>
      </c>
      <c r="AE345" t="s">
        <v>114</v>
      </c>
      <c r="AF345" t="s">
        <v>115</v>
      </c>
      <c r="AG345" t="s">
        <v>116</v>
      </c>
      <c r="AK345" t="str">
        <f t="shared" si="36"/>
        <v>Debra A. Hoy, FNP</v>
      </c>
      <c r="AL345" t="s">
        <v>5901</v>
      </c>
      <c r="AM345" t="s">
        <v>108</v>
      </c>
      <c r="AN345" t="s">
        <v>108</v>
      </c>
      <c r="AO345" t="s">
        <v>108</v>
      </c>
      <c r="AP345" t="s">
        <v>108</v>
      </c>
      <c r="AQ345" t="s">
        <v>108</v>
      </c>
      <c r="AR345" t="s">
        <v>108</v>
      </c>
      <c r="AS345" t="s">
        <v>108</v>
      </c>
      <c r="AT345" t="s">
        <v>108</v>
      </c>
      <c r="AU345">
        <v>0</v>
      </c>
      <c r="AV345" t="s">
        <v>108</v>
      </c>
      <c r="AW345" t="s">
        <v>108</v>
      </c>
      <c r="AX345" s="24" t="str">
        <f t="shared" si="33"/>
        <v/>
      </c>
      <c r="AY345" s="24">
        <f t="shared" si="33"/>
        <v>1</v>
      </c>
      <c r="AZ345" s="24" t="str">
        <f t="shared" si="35"/>
        <v/>
      </c>
      <c r="BA345" s="24" t="str">
        <f t="shared" ref="AZ345:BI370" si="39">IF(ISERROR(FIND(BA$1,$L345,1)),"",1)</f>
        <v/>
      </c>
      <c r="BB345" s="24" t="str">
        <f t="shared" si="39"/>
        <v/>
      </c>
      <c r="BC345" s="24" t="str">
        <f t="shared" si="39"/>
        <v/>
      </c>
      <c r="BD345" s="24" t="str">
        <f t="shared" si="39"/>
        <v/>
      </c>
      <c r="BE345" s="24" t="str">
        <f t="shared" si="39"/>
        <v/>
      </c>
      <c r="BF345" s="24" t="str">
        <f t="shared" si="39"/>
        <v/>
      </c>
      <c r="BG345" s="24" t="str">
        <f t="shared" si="39"/>
        <v/>
      </c>
      <c r="BH345" s="24" t="str">
        <f t="shared" si="37"/>
        <v/>
      </c>
      <c r="BI345" s="24" t="str">
        <f t="shared" si="39"/>
        <v/>
      </c>
      <c r="BJ345" s="24" t="str">
        <f t="shared" si="38"/>
        <v/>
      </c>
    </row>
    <row r="346" spans="1:62" ht="15" customHeight="1" x14ac:dyDescent="0.25">
      <c r="A346" t="str">
        <f>"1598848376"</f>
        <v>1598848376</v>
      </c>
      <c r="B346" t="str">
        <f>"03364770"</f>
        <v>03364770</v>
      </c>
      <c r="C346" t="s">
        <v>1868</v>
      </c>
      <c r="D346" t="s">
        <v>1869</v>
      </c>
      <c r="E346" t="s">
        <v>1870</v>
      </c>
      <c r="L346" t="s">
        <v>247</v>
      </c>
      <c r="M346" t="s">
        <v>108</v>
      </c>
      <c r="R346" t="s">
        <v>1868</v>
      </c>
      <c r="W346" t="s">
        <v>1870</v>
      </c>
      <c r="X346" t="s">
        <v>1871</v>
      </c>
      <c r="Y346" t="s">
        <v>122</v>
      </c>
      <c r="Z346" t="s">
        <v>111</v>
      </c>
      <c r="AA346" t="str">
        <f>"13815-1762"</f>
        <v>13815-1762</v>
      </c>
      <c r="AB346" t="s">
        <v>1872</v>
      </c>
      <c r="AC346" t="s">
        <v>113</v>
      </c>
      <c r="AD346" t="s">
        <v>108</v>
      </c>
      <c r="AE346" t="s">
        <v>114</v>
      </c>
      <c r="AF346" t="s">
        <v>124</v>
      </c>
      <c r="AG346" t="s">
        <v>116</v>
      </c>
      <c r="AK346" t="str">
        <f t="shared" si="36"/>
        <v/>
      </c>
      <c r="AL346" t="s">
        <v>1869</v>
      </c>
      <c r="AM346">
        <v>1</v>
      </c>
      <c r="AN346">
        <v>1</v>
      </c>
      <c r="AO346">
        <v>0</v>
      </c>
      <c r="AP346">
        <v>1</v>
      </c>
      <c r="AQ346">
        <v>1</v>
      </c>
      <c r="AR346">
        <v>0</v>
      </c>
      <c r="AS346">
        <v>0</v>
      </c>
      <c r="AT346">
        <v>0</v>
      </c>
      <c r="AU346">
        <v>0</v>
      </c>
      <c r="AV346">
        <v>0</v>
      </c>
      <c r="AW346">
        <v>0</v>
      </c>
      <c r="AX346" s="24" t="str">
        <f t="shared" si="33"/>
        <v/>
      </c>
      <c r="AY346" s="24">
        <f t="shared" si="33"/>
        <v>1</v>
      </c>
      <c r="AZ346" s="24" t="str">
        <f t="shared" si="39"/>
        <v/>
      </c>
      <c r="BA346" s="24" t="str">
        <f t="shared" si="39"/>
        <v/>
      </c>
      <c r="BB346" s="24" t="str">
        <f t="shared" si="39"/>
        <v/>
      </c>
      <c r="BC346" s="24" t="str">
        <f t="shared" si="39"/>
        <v/>
      </c>
      <c r="BD346" s="24" t="str">
        <f t="shared" si="39"/>
        <v/>
      </c>
      <c r="BE346" s="24" t="str">
        <f t="shared" si="39"/>
        <v/>
      </c>
      <c r="BF346" s="24" t="str">
        <f t="shared" si="39"/>
        <v/>
      </c>
      <c r="BG346" s="24" t="str">
        <f t="shared" si="39"/>
        <v/>
      </c>
      <c r="BH346" s="24" t="str">
        <f t="shared" si="37"/>
        <v/>
      </c>
      <c r="BI346" s="24" t="str">
        <f t="shared" si="39"/>
        <v/>
      </c>
      <c r="BJ346" s="24" t="str">
        <f t="shared" si="38"/>
        <v/>
      </c>
    </row>
    <row r="347" spans="1:62" ht="15" customHeight="1" x14ac:dyDescent="0.25">
      <c r="A347" t="str">
        <f>"1538111554"</f>
        <v>1538111554</v>
      </c>
      <c r="B347" t="str">
        <f>"02045783"</f>
        <v>02045783</v>
      </c>
      <c r="C347" t="s">
        <v>857</v>
      </c>
      <c r="D347" t="s">
        <v>858</v>
      </c>
      <c r="E347" t="s">
        <v>859</v>
      </c>
      <c r="L347" t="s">
        <v>120</v>
      </c>
      <c r="M347" t="s">
        <v>139</v>
      </c>
      <c r="R347" t="s">
        <v>857</v>
      </c>
      <c r="W347" t="s">
        <v>859</v>
      </c>
      <c r="X347" t="s">
        <v>860</v>
      </c>
      <c r="Y347" t="s">
        <v>110</v>
      </c>
      <c r="Z347" t="s">
        <v>111</v>
      </c>
      <c r="AA347" t="str">
        <f>"13903-1617"</f>
        <v>13903-1617</v>
      </c>
      <c r="AB347" t="s">
        <v>123</v>
      </c>
      <c r="AC347" t="s">
        <v>113</v>
      </c>
      <c r="AD347" t="s">
        <v>108</v>
      </c>
      <c r="AE347" t="s">
        <v>114</v>
      </c>
      <c r="AF347" t="s">
        <v>115</v>
      </c>
      <c r="AG347" t="s">
        <v>116</v>
      </c>
      <c r="AK347" t="str">
        <f t="shared" si="36"/>
        <v/>
      </c>
      <c r="AL347" t="s">
        <v>858</v>
      </c>
      <c r="AM347">
        <v>1</v>
      </c>
      <c r="AN347">
        <v>1</v>
      </c>
      <c r="AO347">
        <v>0</v>
      </c>
      <c r="AP347">
        <v>1</v>
      </c>
      <c r="AQ347">
        <v>1</v>
      </c>
      <c r="AR347">
        <v>0</v>
      </c>
      <c r="AS347">
        <v>0</v>
      </c>
      <c r="AT347">
        <v>0</v>
      </c>
      <c r="AU347">
        <v>1</v>
      </c>
      <c r="AV347">
        <v>0</v>
      </c>
      <c r="AW347">
        <v>0</v>
      </c>
      <c r="AX347" s="24">
        <f t="shared" si="33"/>
        <v>1</v>
      </c>
      <c r="AY347" s="24" t="str">
        <f t="shared" si="33"/>
        <v/>
      </c>
      <c r="AZ347" s="24" t="str">
        <f t="shared" si="39"/>
        <v/>
      </c>
      <c r="BA347" s="24" t="str">
        <f t="shared" si="39"/>
        <v/>
      </c>
      <c r="BB347" s="24" t="str">
        <f t="shared" si="39"/>
        <v/>
      </c>
      <c r="BC347" s="24" t="str">
        <f t="shared" si="39"/>
        <v/>
      </c>
      <c r="BD347" s="24" t="str">
        <f t="shared" si="39"/>
        <v/>
      </c>
      <c r="BE347" s="24" t="str">
        <f t="shared" si="39"/>
        <v/>
      </c>
      <c r="BF347" s="24" t="str">
        <f t="shared" si="39"/>
        <v/>
      </c>
      <c r="BG347" s="24" t="str">
        <f t="shared" si="39"/>
        <v/>
      </c>
      <c r="BH347" s="24" t="str">
        <f t="shared" si="37"/>
        <v/>
      </c>
      <c r="BI347" s="24">
        <f t="shared" si="39"/>
        <v>1</v>
      </c>
      <c r="BJ347" s="24" t="str">
        <f t="shared" si="38"/>
        <v/>
      </c>
    </row>
    <row r="348" spans="1:62" ht="15" customHeight="1" x14ac:dyDescent="0.25">
      <c r="A348" t="str">
        <f>"1336157015"</f>
        <v>1336157015</v>
      </c>
      <c r="B348" t="str">
        <f>"03686862"</f>
        <v>03686862</v>
      </c>
      <c r="C348" t="s">
        <v>3204</v>
      </c>
      <c r="D348" t="s">
        <v>3205</v>
      </c>
      <c r="E348" t="s">
        <v>3206</v>
      </c>
      <c r="G348" t="s">
        <v>3207</v>
      </c>
      <c r="H348" t="s">
        <v>3208</v>
      </c>
      <c r="J348" t="s">
        <v>3209</v>
      </c>
      <c r="L348" t="s">
        <v>138</v>
      </c>
      <c r="M348" t="s">
        <v>108</v>
      </c>
      <c r="R348" t="s">
        <v>3210</v>
      </c>
      <c r="W348" t="s">
        <v>3206</v>
      </c>
      <c r="X348" t="s">
        <v>3211</v>
      </c>
      <c r="Y348" t="s">
        <v>293</v>
      </c>
      <c r="Z348" t="s">
        <v>111</v>
      </c>
      <c r="AA348" t="str">
        <f>"14850-1397"</f>
        <v>14850-1397</v>
      </c>
      <c r="AB348" t="s">
        <v>123</v>
      </c>
      <c r="AC348" t="s">
        <v>113</v>
      </c>
      <c r="AD348" t="s">
        <v>108</v>
      </c>
      <c r="AE348" t="s">
        <v>114</v>
      </c>
      <c r="AF348" t="s">
        <v>142</v>
      </c>
      <c r="AG348" t="s">
        <v>116</v>
      </c>
      <c r="AK348" t="str">
        <f t="shared" si="36"/>
        <v/>
      </c>
      <c r="AL348" t="s">
        <v>3205</v>
      </c>
      <c r="AM348">
        <v>1</v>
      </c>
      <c r="AN348">
        <v>1</v>
      </c>
      <c r="AO348">
        <v>0</v>
      </c>
      <c r="AP348">
        <v>0</v>
      </c>
      <c r="AQ348">
        <v>0</v>
      </c>
      <c r="AR348">
        <v>0</v>
      </c>
      <c r="AS348">
        <v>0</v>
      </c>
      <c r="AT348">
        <v>0</v>
      </c>
      <c r="AU348">
        <v>0</v>
      </c>
      <c r="AV348">
        <v>0</v>
      </c>
      <c r="AW348">
        <v>0</v>
      </c>
      <c r="AX348" s="24" t="str">
        <f t="shared" si="33"/>
        <v/>
      </c>
      <c r="AY348" s="24">
        <f t="shared" si="33"/>
        <v>1</v>
      </c>
      <c r="AZ348" s="24" t="str">
        <f t="shared" si="39"/>
        <v/>
      </c>
      <c r="BA348" s="24" t="str">
        <f t="shared" si="39"/>
        <v/>
      </c>
      <c r="BB348" s="24" t="str">
        <f t="shared" si="39"/>
        <v/>
      </c>
      <c r="BC348" s="24" t="str">
        <f t="shared" si="39"/>
        <v/>
      </c>
      <c r="BD348" s="24" t="str">
        <f t="shared" si="39"/>
        <v/>
      </c>
      <c r="BE348" s="24" t="str">
        <f t="shared" si="39"/>
        <v/>
      </c>
      <c r="BF348" s="24" t="str">
        <f t="shared" si="39"/>
        <v/>
      </c>
      <c r="BG348" s="24" t="str">
        <f t="shared" si="39"/>
        <v/>
      </c>
      <c r="BH348" s="24" t="str">
        <f t="shared" si="37"/>
        <v/>
      </c>
      <c r="BI348" s="24">
        <f t="shared" si="39"/>
        <v>1</v>
      </c>
      <c r="BJ348" s="24" t="str">
        <f t="shared" si="38"/>
        <v/>
      </c>
    </row>
    <row r="349" spans="1:62" ht="15" customHeight="1" x14ac:dyDescent="0.25">
      <c r="A349" t="str">
        <f>"1013912153"</f>
        <v>1013912153</v>
      </c>
      <c r="B349" t="str">
        <f>"02629216"</f>
        <v>02629216</v>
      </c>
      <c r="C349" t="s">
        <v>3309</v>
      </c>
      <c r="D349" t="s">
        <v>3310</v>
      </c>
      <c r="E349" t="s">
        <v>3311</v>
      </c>
      <c r="G349" t="s">
        <v>786</v>
      </c>
      <c r="H349" t="s">
        <v>787</v>
      </c>
      <c r="J349" t="s">
        <v>788</v>
      </c>
      <c r="L349" t="s">
        <v>6867</v>
      </c>
      <c r="M349" t="s">
        <v>139</v>
      </c>
      <c r="R349" t="s">
        <v>3309</v>
      </c>
      <c r="W349" t="s">
        <v>3312</v>
      </c>
      <c r="X349" t="s">
        <v>3313</v>
      </c>
      <c r="Y349" t="s">
        <v>239</v>
      </c>
      <c r="Z349" t="s">
        <v>111</v>
      </c>
      <c r="AA349" t="str">
        <f>"13045-6606"</f>
        <v>13045-6606</v>
      </c>
      <c r="AB349" t="s">
        <v>123</v>
      </c>
      <c r="AC349" t="s">
        <v>113</v>
      </c>
      <c r="AD349" t="s">
        <v>108</v>
      </c>
      <c r="AE349" t="s">
        <v>114</v>
      </c>
      <c r="AF349" t="s">
        <v>142</v>
      </c>
      <c r="AG349" t="s">
        <v>116</v>
      </c>
      <c r="AK349" t="str">
        <f t="shared" si="36"/>
        <v/>
      </c>
      <c r="AL349" t="s">
        <v>3310</v>
      </c>
      <c r="AM349">
        <v>0</v>
      </c>
      <c r="AN349">
        <v>0</v>
      </c>
      <c r="AO349">
        <v>0</v>
      </c>
      <c r="AP349">
        <v>0</v>
      </c>
      <c r="AQ349">
        <v>0</v>
      </c>
      <c r="AR349">
        <v>0</v>
      </c>
      <c r="AS349">
        <v>0</v>
      </c>
      <c r="AT349">
        <v>0</v>
      </c>
      <c r="AU349">
        <v>0</v>
      </c>
      <c r="AV349">
        <v>0</v>
      </c>
      <c r="AW349">
        <v>0</v>
      </c>
      <c r="AX349" s="24">
        <f t="shared" si="33"/>
        <v>1</v>
      </c>
      <c r="AY349" s="24">
        <f t="shared" si="33"/>
        <v>1</v>
      </c>
      <c r="AZ349" s="24" t="str">
        <f t="shared" si="39"/>
        <v/>
      </c>
      <c r="BA349" s="24" t="str">
        <f t="shared" si="39"/>
        <v/>
      </c>
      <c r="BB349" s="24" t="str">
        <f t="shared" si="39"/>
        <v/>
      </c>
      <c r="BC349" s="24" t="str">
        <f t="shared" si="39"/>
        <v/>
      </c>
      <c r="BD349" s="24" t="str">
        <f t="shared" si="39"/>
        <v/>
      </c>
      <c r="BE349" s="24" t="str">
        <f t="shared" si="39"/>
        <v/>
      </c>
      <c r="BF349" s="24" t="str">
        <f t="shared" si="39"/>
        <v/>
      </c>
      <c r="BG349" s="24" t="str">
        <f t="shared" si="39"/>
        <v/>
      </c>
      <c r="BH349" s="24" t="str">
        <f t="shared" si="37"/>
        <v/>
      </c>
      <c r="BI349" s="24">
        <f t="shared" si="39"/>
        <v>1</v>
      </c>
      <c r="BJ349" s="24" t="str">
        <f t="shared" si="38"/>
        <v/>
      </c>
    </row>
    <row r="350" spans="1:62" ht="15" customHeight="1" x14ac:dyDescent="0.25">
      <c r="B350" t="str">
        <f>"02698424"</f>
        <v>02698424</v>
      </c>
      <c r="C350" t="s">
        <v>2126</v>
      </c>
      <c r="D350" t="s">
        <v>2127</v>
      </c>
      <c r="E350" t="s">
        <v>2126</v>
      </c>
      <c r="F350">
        <v>160976343</v>
      </c>
      <c r="G350" t="s">
        <v>2105</v>
      </c>
      <c r="H350" t="s">
        <v>2106</v>
      </c>
      <c r="L350" t="s">
        <v>68</v>
      </c>
      <c r="M350" t="s">
        <v>139</v>
      </c>
      <c r="W350" t="s">
        <v>2126</v>
      </c>
      <c r="X350" t="s">
        <v>173</v>
      </c>
      <c r="Y350" t="s">
        <v>2122</v>
      </c>
      <c r="Z350" t="s">
        <v>111</v>
      </c>
      <c r="AA350" t="str">
        <f>"13856"</f>
        <v>13856</v>
      </c>
      <c r="AB350" t="s">
        <v>165</v>
      </c>
      <c r="AC350" t="s">
        <v>113</v>
      </c>
      <c r="AD350" t="s">
        <v>108</v>
      </c>
      <c r="AE350" t="s">
        <v>114</v>
      </c>
      <c r="AF350" t="s">
        <v>124</v>
      </c>
      <c r="AG350" t="s">
        <v>116</v>
      </c>
      <c r="AK350" t="str">
        <f t="shared" si="36"/>
        <v>DELAWARE CO CHAP NYSARC DAY</v>
      </c>
      <c r="AL350" t="s">
        <v>2127</v>
      </c>
      <c r="AM350" t="s">
        <v>108</v>
      </c>
      <c r="AN350" t="s">
        <v>108</v>
      </c>
      <c r="AO350" t="s">
        <v>108</v>
      </c>
      <c r="AP350" t="s">
        <v>108</v>
      </c>
      <c r="AQ350" t="s">
        <v>108</v>
      </c>
      <c r="AR350" t="s">
        <v>108</v>
      </c>
      <c r="AS350" t="s">
        <v>108</v>
      </c>
      <c r="AT350" t="s">
        <v>108</v>
      </c>
      <c r="AU350">
        <v>0</v>
      </c>
      <c r="AV350" t="s">
        <v>108</v>
      </c>
      <c r="AW350" t="s">
        <v>108</v>
      </c>
      <c r="AX350" s="24" t="str">
        <f t="shared" si="33"/>
        <v/>
      </c>
      <c r="AY350" s="24" t="str">
        <f t="shared" si="33"/>
        <v/>
      </c>
      <c r="AZ350" s="24" t="str">
        <f t="shared" si="39"/>
        <v/>
      </c>
      <c r="BA350" s="24" t="str">
        <f t="shared" si="39"/>
        <v/>
      </c>
      <c r="BB350" s="24" t="str">
        <f t="shared" si="39"/>
        <v/>
      </c>
      <c r="BC350" s="24" t="str">
        <f t="shared" si="39"/>
        <v/>
      </c>
      <c r="BD350" s="24" t="str">
        <f t="shared" si="39"/>
        <v/>
      </c>
      <c r="BE350" s="24" t="str">
        <f t="shared" si="39"/>
        <v/>
      </c>
      <c r="BF350" s="24" t="str">
        <f t="shared" si="39"/>
        <v/>
      </c>
      <c r="BG350" s="24" t="str">
        <f t="shared" si="39"/>
        <v/>
      </c>
      <c r="BH350" s="24" t="str">
        <f t="shared" si="37"/>
        <v/>
      </c>
      <c r="BI350" s="24">
        <f t="shared" si="39"/>
        <v>1</v>
      </c>
      <c r="BJ350" s="24" t="str">
        <f t="shared" si="38"/>
        <v/>
      </c>
    </row>
    <row r="351" spans="1:62" ht="15" customHeight="1" x14ac:dyDescent="0.25">
      <c r="B351" t="str">
        <f>"02591899"</f>
        <v>02591899</v>
      </c>
      <c r="C351" t="s">
        <v>2134</v>
      </c>
      <c r="D351" t="s">
        <v>2135</v>
      </c>
      <c r="E351" t="s">
        <v>2134</v>
      </c>
      <c r="F351">
        <v>160976343</v>
      </c>
      <c r="G351" t="s">
        <v>2105</v>
      </c>
      <c r="H351" t="s">
        <v>2106</v>
      </c>
      <c r="L351" t="s">
        <v>68</v>
      </c>
      <c r="M351" t="s">
        <v>139</v>
      </c>
      <c r="W351" t="s">
        <v>2134</v>
      </c>
      <c r="X351" t="s">
        <v>2125</v>
      </c>
      <c r="Y351" t="s">
        <v>2122</v>
      </c>
      <c r="Z351" t="s">
        <v>111</v>
      </c>
      <c r="AA351" t="str">
        <f>"13856-4142"</f>
        <v>13856-4142</v>
      </c>
      <c r="AB351" t="s">
        <v>165</v>
      </c>
      <c r="AC351" t="s">
        <v>113</v>
      </c>
      <c r="AD351" t="s">
        <v>108</v>
      </c>
      <c r="AE351" t="s">
        <v>114</v>
      </c>
      <c r="AF351" t="s">
        <v>124</v>
      </c>
      <c r="AG351" t="s">
        <v>116</v>
      </c>
      <c r="AK351" t="str">
        <f t="shared" si="36"/>
        <v>DELAWARE CO CHAP NYSARC RSP</v>
      </c>
      <c r="AL351" t="s">
        <v>2135</v>
      </c>
      <c r="AM351" t="s">
        <v>108</v>
      </c>
      <c r="AN351" t="s">
        <v>108</v>
      </c>
      <c r="AO351" t="s">
        <v>108</v>
      </c>
      <c r="AP351" t="s">
        <v>108</v>
      </c>
      <c r="AQ351" t="s">
        <v>108</v>
      </c>
      <c r="AR351" t="s">
        <v>108</v>
      </c>
      <c r="AS351" t="s">
        <v>108</v>
      </c>
      <c r="AT351" t="s">
        <v>108</v>
      </c>
      <c r="AU351">
        <v>0</v>
      </c>
      <c r="AV351" t="s">
        <v>108</v>
      </c>
      <c r="AW351" t="s">
        <v>108</v>
      </c>
      <c r="AX351" s="24" t="str">
        <f t="shared" si="33"/>
        <v/>
      </c>
      <c r="AY351" s="24" t="str">
        <f t="shared" si="33"/>
        <v/>
      </c>
      <c r="AZ351" s="24" t="str">
        <f t="shared" si="39"/>
        <v/>
      </c>
      <c r="BA351" s="24" t="str">
        <f t="shared" si="39"/>
        <v/>
      </c>
      <c r="BB351" s="24" t="str">
        <f t="shared" si="39"/>
        <v/>
      </c>
      <c r="BC351" s="24" t="str">
        <f t="shared" si="39"/>
        <v/>
      </c>
      <c r="BD351" s="24" t="str">
        <f t="shared" si="39"/>
        <v/>
      </c>
      <c r="BE351" s="24" t="str">
        <f t="shared" si="39"/>
        <v/>
      </c>
      <c r="BF351" s="24" t="str">
        <f t="shared" si="39"/>
        <v/>
      </c>
      <c r="BG351" s="24" t="str">
        <f t="shared" si="39"/>
        <v/>
      </c>
      <c r="BH351" s="24" t="str">
        <f t="shared" si="37"/>
        <v/>
      </c>
      <c r="BI351" s="24">
        <f t="shared" si="39"/>
        <v>1</v>
      </c>
      <c r="BJ351" s="24" t="str">
        <f t="shared" si="38"/>
        <v/>
      </c>
    </row>
    <row r="352" spans="1:62" ht="15" customHeight="1" x14ac:dyDescent="0.25">
      <c r="B352" t="str">
        <f>"02392698"</f>
        <v>02392698</v>
      </c>
      <c r="C352" t="s">
        <v>2128</v>
      </c>
      <c r="D352" t="s">
        <v>2129</v>
      </c>
      <c r="E352" t="s">
        <v>2130</v>
      </c>
      <c r="F352">
        <v>160976343</v>
      </c>
      <c r="G352" t="s">
        <v>2105</v>
      </c>
      <c r="H352" t="s">
        <v>2106</v>
      </c>
      <c r="L352" t="s">
        <v>68</v>
      </c>
      <c r="M352" t="s">
        <v>139</v>
      </c>
      <c r="W352" t="s">
        <v>2128</v>
      </c>
      <c r="X352" t="s">
        <v>1186</v>
      </c>
      <c r="Y352" t="s">
        <v>991</v>
      </c>
      <c r="Z352" t="s">
        <v>111</v>
      </c>
      <c r="AA352" t="str">
        <f>"13838-1257"</f>
        <v>13838-1257</v>
      </c>
      <c r="AB352" t="s">
        <v>165</v>
      </c>
      <c r="AC352" t="s">
        <v>113</v>
      </c>
      <c r="AD352" t="s">
        <v>108</v>
      </c>
      <c r="AE352" t="s">
        <v>114</v>
      </c>
      <c r="AF352" t="s">
        <v>124</v>
      </c>
      <c r="AG352" t="s">
        <v>116</v>
      </c>
      <c r="AK352" t="str">
        <f t="shared" si="36"/>
        <v>DELAWARE CO CHAP NYSARC SPT</v>
      </c>
      <c r="AL352" t="s">
        <v>2129</v>
      </c>
      <c r="AM352" t="s">
        <v>108</v>
      </c>
      <c r="AN352" t="s">
        <v>108</v>
      </c>
      <c r="AO352" t="s">
        <v>108</v>
      </c>
      <c r="AP352" t="s">
        <v>108</v>
      </c>
      <c r="AQ352" t="s">
        <v>108</v>
      </c>
      <c r="AR352" t="s">
        <v>108</v>
      </c>
      <c r="AS352" t="s">
        <v>108</v>
      </c>
      <c r="AT352" t="s">
        <v>108</v>
      </c>
      <c r="AU352">
        <v>0</v>
      </c>
      <c r="AV352" t="s">
        <v>108</v>
      </c>
      <c r="AW352" t="s">
        <v>108</v>
      </c>
      <c r="AX352" s="24" t="str">
        <f t="shared" si="33"/>
        <v/>
      </c>
      <c r="AY352" s="24" t="str">
        <f t="shared" si="33"/>
        <v/>
      </c>
      <c r="AZ352" s="24" t="str">
        <f t="shared" si="39"/>
        <v/>
      </c>
      <c r="BA352" s="24" t="str">
        <f t="shared" si="39"/>
        <v/>
      </c>
      <c r="BB352" s="24" t="str">
        <f t="shared" si="39"/>
        <v/>
      </c>
      <c r="BC352" s="24" t="str">
        <f t="shared" si="39"/>
        <v/>
      </c>
      <c r="BD352" s="24" t="str">
        <f t="shared" si="39"/>
        <v/>
      </c>
      <c r="BE352" s="24" t="str">
        <f t="shared" si="39"/>
        <v/>
      </c>
      <c r="BF352" s="24" t="str">
        <f t="shared" si="39"/>
        <v/>
      </c>
      <c r="BG352" s="24" t="str">
        <f t="shared" si="39"/>
        <v/>
      </c>
      <c r="BH352" s="24" t="str">
        <f t="shared" si="37"/>
        <v/>
      </c>
      <c r="BI352" s="24">
        <f t="shared" si="39"/>
        <v>1</v>
      </c>
      <c r="BJ352" s="24" t="str">
        <f t="shared" si="38"/>
        <v/>
      </c>
    </row>
    <row r="353" spans="1:62" ht="15" customHeight="1" x14ac:dyDescent="0.25">
      <c r="B353" t="str">
        <f>"02599842"</f>
        <v>02599842</v>
      </c>
      <c r="C353" t="s">
        <v>2131</v>
      </c>
      <c r="D353" t="s">
        <v>2132</v>
      </c>
      <c r="E353" t="s">
        <v>2133</v>
      </c>
      <c r="F353">
        <v>160976343</v>
      </c>
      <c r="G353" t="s">
        <v>2105</v>
      </c>
      <c r="H353" t="s">
        <v>2106</v>
      </c>
      <c r="L353" t="s">
        <v>68</v>
      </c>
      <c r="M353" t="s">
        <v>139</v>
      </c>
      <c r="W353" t="s">
        <v>2131</v>
      </c>
      <c r="X353" t="s">
        <v>170</v>
      </c>
      <c r="Y353" t="s">
        <v>2122</v>
      </c>
      <c r="Z353" t="s">
        <v>111</v>
      </c>
      <c r="AA353" t="str">
        <f>"13856-9999"</f>
        <v>13856-9999</v>
      </c>
      <c r="AB353" t="s">
        <v>165</v>
      </c>
      <c r="AC353" t="s">
        <v>113</v>
      </c>
      <c r="AD353" t="s">
        <v>108</v>
      </c>
      <c r="AE353" t="s">
        <v>114</v>
      </c>
      <c r="AF353" t="s">
        <v>124</v>
      </c>
      <c r="AG353" t="s">
        <v>116</v>
      </c>
      <c r="AK353" t="str">
        <f t="shared" si="36"/>
        <v>DELAWARE CO CHAP NYSARC SPV</v>
      </c>
      <c r="AL353" t="s">
        <v>2132</v>
      </c>
      <c r="AM353" t="s">
        <v>108</v>
      </c>
      <c r="AN353" t="s">
        <v>108</v>
      </c>
      <c r="AO353" t="s">
        <v>108</v>
      </c>
      <c r="AP353" t="s">
        <v>108</v>
      </c>
      <c r="AQ353" t="s">
        <v>108</v>
      </c>
      <c r="AR353" t="s">
        <v>108</v>
      </c>
      <c r="AS353" t="s">
        <v>108</v>
      </c>
      <c r="AT353" t="s">
        <v>108</v>
      </c>
      <c r="AU353">
        <v>0</v>
      </c>
      <c r="AV353" t="s">
        <v>108</v>
      </c>
      <c r="AW353" t="s">
        <v>108</v>
      </c>
      <c r="AX353" s="24" t="str">
        <f t="shared" si="33"/>
        <v/>
      </c>
      <c r="AY353" s="24" t="str">
        <f t="shared" si="33"/>
        <v/>
      </c>
      <c r="AZ353" s="24" t="str">
        <f t="shared" si="39"/>
        <v/>
      </c>
      <c r="BA353" s="24" t="str">
        <f t="shared" si="39"/>
        <v/>
      </c>
      <c r="BB353" s="24" t="str">
        <f t="shared" si="39"/>
        <v/>
      </c>
      <c r="BC353" s="24" t="str">
        <f t="shared" si="39"/>
        <v/>
      </c>
      <c r="BD353" s="24" t="str">
        <f t="shared" si="39"/>
        <v/>
      </c>
      <c r="BE353" s="24" t="str">
        <f t="shared" si="39"/>
        <v/>
      </c>
      <c r="BF353" s="24" t="str">
        <f t="shared" si="39"/>
        <v/>
      </c>
      <c r="BG353" s="24" t="str">
        <f t="shared" si="39"/>
        <v/>
      </c>
      <c r="BH353" s="24" t="str">
        <f t="shared" si="37"/>
        <v/>
      </c>
      <c r="BI353" s="24">
        <f t="shared" si="39"/>
        <v>1</v>
      </c>
      <c r="BJ353" s="24" t="str">
        <f t="shared" si="38"/>
        <v/>
      </c>
    </row>
    <row r="354" spans="1:62" ht="15" customHeight="1" x14ac:dyDescent="0.25">
      <c r="B354" t="str">
        <f>"02168418"</f>
        <v>02168418</v>
      </c>
      <c r="C354" t="s">
        <v>2123</v>
      </c>
      <c r="D354" t="s">
        <v>2124</v>
      </c>
      <c r="E354" t="s">
        <v>2123</v>
      </c>
      <c r="F354">
        <v>160976343</v>
      </c>
      <c r="G354" t="s">
        <v>2105</v>
      </c>
      <c r="H354" t="s">
        <v>2106</v>
      </c>
      <c r="L354" t="s">
        <v>68</v>
      </c>
      <c r="M354" t="s">
        <v>139</v>
      </c>
      <c r="W354" t="s">
        <v>2123</v>
      </c>
      <c r="X354" t="s">
        <v>2125</v>
      </c>
      <c r="Y354" t="s">
        <v>2122</v>
      </c>
      <c r="Z354" t="s">
        <v>111</v>
      </c>
      <c r="AA354" t="str">
        <f>"13856-4142"</f>
        <v>13856-4142</v>
      </c>
      <c r="AB354" t="s">
        <v>165</v>
      </c>
      <c r="AC354" t="s">
        <v>113</v>
      </c>
      <c r="AD354" t="s">
        <v>108</v>
      </c>
      <c r="AE354" t="s">
        <v>114</v>
      </c>
      <c r="AF354" t="s">
        <v>124</v>
      </c>
      <c r="AG354" t="s">
        <v>116</v>
      </c>
      <c r="AK354" t="str">
        <f t="shared" si="36"/>
        <v/>
      </c>
      <c r="AL354" t="s">
        <v>2124</v>
      </c>
      <c r="AM354">
        <v>0</v>
      </c>
      <c r="AN354">
        <v>0</v>
      </c>
      <c r="AO354">
        <v>0</v>
      </c>
      <c r="AP354">
        <v>0</v>
      </c>
      <c r="AQ354">
        <v>0</v>
      </c>
      <c r="AR354">
        <v>0</v>
      </c>
      <c r="AS354">
        <v>0</v>
      </c>
      <c r="AT354">
        <v>0</v>
      </c>
      <c r="AU354">
        <v>0</v>
      </c>
      <c r="AV354">
        <v>0</v>
      </c>
      <c r="AW354">
        <v>0</v>
      </c>
      <c r="AX354" s="24" t="str">
        <f t="shared" si="33"/>
        <v/>
      </c>
      <c r="AY354" s="24" t="str">
        <f t="shared" si="33"/>
        <v/>
      </c>
      <c r="AZ354" s="24" t="str">
        <f t="shared" si="39"/>
        <v/>
      </c>
      <c r="BA354" s="24" t="str">
        <f t="shared" si="39"/>
        <v/>
      </c>
      <c r="BB354" s="24" t="str">
        <f t="shared" si="39"/>
        <v/>
      </c>
      <c r="BC354" s="24" t="str">
        <f t="shared" si="39"/>
        <v/>
      </c>
      <c r="BD354" s="24" t="str">
        <f t="shared" si="39"/>
        <v/>
      </c>
      <c r="BE354" s="24" t="str">
        <f t="shared" si="39"/>
        <v/>
      </c>
      <c r="BF354" s="24" t="str">
        <f t="shared" si="39"/>
        <v/>
      </c>
      <c r="BG354" s="24" t="str">
        <f t="shared" si="39"/>
        <v/>
      </c>
      <c r="BH354" s="24" t="str">
        <f t="shared" si="37"/>
        <v/>
      </c>
      <c r="BI354" s="24">
        <f t="shared" si="39"/>
        <v>1</v>
      </c>
      <c r="BJ354" s="24" t="str">
        <f t="shared" si="38"/>
        <v/>
      </c>
    </row>
    <row r="355" spans="1:62" ht="15" customHeight="1" x14ac:dyDescent="0.25">
      <c r="A355" t="str">
        <f>"1740375385"</f>
        <v>1740375385</v>
      </c>
      <c r="B355" t="str">
        <f>"00579240"</f>
        <v>00579240</v>
      </c>
      <c r="C355" t="s">
        <v>4346</v>
      </c>
      <c r="D355" t="s">
        <v>4347</v>
      </c>
      <c r="E355" t="s">
        <v>4348</v>
      </c>
      <c r="G355" t="s">
        <v>4349</v>
      </c>
      <c r="H355" t="s">
        <v>4350</v>
      </c>
      <c r="J355" t="s">
        <v>4351</v>
      </c>
      <c r="L355" t="s">
        <v>616</v>
      </c>
      <c r="M355" t="s">
        <v>139</v>
      </c>
      <c r="R355" t="s">
        <v>4352</v>
      </c>
      <c r="W355" t="s">
        <v>4348</v>
      </c>
      <c r="X355" t="s">
        <v>4353</v>
      </c>
      <c r="Y355" t="s">
        <v>2122</v>
      </c>
      <c r="Z355" t="s">
        <v>111</v>
      </c>
      <c r="AA355" t="str">
        <f>"13856-1454"</f>
        <v>13856-1454</v>
      </c>
      <c r="AB355" t="s">
        <v>282</v>
      </c>
      <c r="AC355" t="s">
        <v>113</v>
      </c>
      <c r="AD355" t="s">
        <v>108</v>
      </c>
      <c r="AE355" t="s">
        <v>114</v>
      </c>
      <c r="AF355" t="s">
        <v>124</v>
      </c>
      <c r="AG355" t="s">
        <v>116</v>
      </c>
      <c r="AK355" t="str">
        <f t="shared" si="36"/>
        <v/>
      </c>
      <c r="AL355" t="s">
        <v>4347</v>
      </c>
      <c r="AM355">
        <v>1</v>
      </c>
      <c r="AN355">
        <v>0</v>
      </c>
      <c r="AO355">
        <v>0</v>
      </c>
      <c r="AP355">
        <v>0</v>
      </c>
      <c r="AQ355">
        <v>1</v>
      </c>
      <c r="AR355">
        <v>1</v>
      </c>
      <c r="AS355">
        <v>0</v>
      </c>
      <c r="AT355">
        <v>0</v>
      </c>
      <c r="AU355">
        <v>0</v>
      </c>
      <c r="AV355">
        <v>0</v>
      </c>
      <c r="AW355">
        <v>0</v>
      </c>
      <c r="AX355" s="24" t="str">
        <f t="shared" si="33"/>
        <v/>
      </c>
      <c r="AY355" s="24" t="str">
        <f t="shared" si="33"/>
        <v/>
      </c>
      <c r="AZ355" s="24" t="str">
        <f t="shared" si="39"/>
        <v/>
      </c>
      <c r="BA355" s="24" t="str">
        <f t="shared" si="39"/>
        <v/>
      </c>
      <c r="BB355" s="24" t="str">
        <f t="shared" si="39"/>
        <v/>
      </c>
      <c r="BC355" s="24">
        <f t="shared" si="39"/>
        <v>1</v>
      </c>
      <c r="BD355" s="24">
        <f t="shared" si="39"/>
        <v>1</v>
      </c>
      <c r="BE355" s="24" t="str">
        <f t="shared" si="39"/>
        <v/>
      </c>
      <c r="BF355" s="24" t="str">
        <f t="shared" si="39"/>
        <v/>
      </c>
      <c r="BG355" s="24" t="str">
        <f t="shared" si="39"/>
        <v/>
      </c>
      <c r="BH355" s="24" t="str">
        <f t="shared" si="37"/>
        <v/>
      </c>
      <c r="BI355" s="24">
        <f t="shared" si="39"/>
        <v>1</v>
      </c>
      <c r="BJ355" s="24" t="str">
        <f t="shared" si="38"/>
        <v/>
      </c>
    </row>
    <row r="356" spans="1:62" ht="15" customHeight="1" x14ac:dyDescent="0.25">
      <c r="A356" t="str">
        <f>"1326135237"</f>
        <v>1326135237</v>
      </c>
      <c r="B356" t="str">
        <f>"03094093"</f>
        <v>03094093</v>
      </c>
      <c r="C356" t="s">
        <v>4346</v>
      </c>
      <c r="D356" t="s">
        <v>4347</v>
      </c>
      <c r="E356" t="s">
        <v>4348</v>
      </c>
      <c r="G356" t="s">
        <v>4349</v>
      </c>
      <c r="H356" t="s">
        <v>4350</v>
      </c>
      <c r="J356" t="s">
        <v>4351</v>
      </c>
      <c r="L356" t="s">
        <v>616</v>
      </c>
      <c r="M356" t="s">
        <v>139</v>
      </c>
      <c r="R356" t="s">
        <v>4879</v>
      </c>
      <c r="W356" t="s">
        <v>4880</v>
      </c>
      <c r="X356" t="s">
        <v>4881</v>
      </c>
      <c r="Y356" t="s">
        <v>2110</v>
      </c>
      <c r="Z356" t="s">
        <v>111</v>
      </c>
      <c r="AA356" t="str">
        <f>"13782-1120"</f>
        <v>13782-1120</v>
      </c>
      <c r="AB356" t="s">
        <v>282</v>
      </c>
      <c r="AC356" t="s">
        <v>113</v>
      </c>
      <c r="AD356" t="s">
        <v>108</v>
      </c>
      <c r="AE356" t="s">
        <v>114</v>
      </c>
      <c r="AF356" t="s">
        <v>124</v>
      </c>
      <c r="AG356" t="s">
        <v>116</v>
      </c>
      <c r="AK356" t="str">
        <f t="shared" si="36"/>
        <v/>
      </c>
      <c r="AL356" t="s">
        <v>4347</v>
      </c>
      <c r="AM356">
        <v>1</v>
      </c>
      <c r="AN356">
        <v>0</v>
      </c>
      <c r="AO356">
        <v>0</v>
      </c>
      <c r="AP356">
        <v>0</v>
      </c>
      <c r="AQ356">
        <v>1</v>
      </c>
      <c r="AR356">
        <v>1</v>
      </c>
      <c r="AS356">
        <v>0</v>
      </c>
      <c r="AT356">
        <v>0</v>
      </c>
      <c r="AU356">
        <v>0</v>
      </c>
      <c r="AV356">
        <v>0</v>
      </c>
      <c r="AW356">
        <v>0</v>
      </c>
      <c r="AX356" s="24" t="str">
        <f t="shared" si="33"/>
        <v/>
      </c>
      <c r="AY356" s="24" t="str">
        <f t="shared" si="33"/>
        <v/>
      </c>
      <c r="AZ356" s="24" t="str">
        <f t="shared" si="39"/>
        <v/>
      </c>
      <c r="BA356" s="24" t="str">
        <f t="shared" si="39"/>
        <v/>
      </c>
      <c r="BB356" s="24" t="str">
        <f t="shared" si="39"/>
        <v/>
      </c>
      <c r="BC356" s="24">
        <f t="shared" si="39"/>
        <v>1</v>
      </c>
      <c r="BD356" s="24">
        <f t="shared" si="39"/>
        <v>1</v>
      </c>
      <c r="BE356" s="24" t="str">
        <f t="shared" si="39"/>
        <v/>
      </c>
      <c r="BF356" s="24" t="str">
        <f t="shared" si="39"/>
        <v/>
      </c>
      <c r="BG356" s="24" t="str">
        <f t="shared" si="39"/>
        <v/>
      </c>
      <c r="BH356" s="24" t="str">
        <f t="shared" si="37"/>
        <v/>
      </c>
      <c r="BI356" s="24">
        <f t="shared" si="39"/>
        <v>1</v>
      </c>
      <c r="BJ356" s="24" t="str">
        <f t="shared" si="38"/>
        <v/>
      </c>
    </row>
    <row r="357" spans="1:62" ht="15" customHeight="1" x14ac:dyDescent="0.25">
      <c r="A357" t="str">
        <f>"1780731042"</f>
        <v>1780731042</v>
      </c>
      <c r="C357" t="s">
        <v>5679</v>
      </c>
      <c r="G357" t="s">
        <v>5680</v>
      </c>
      <c r="H357" t="s">
        <v>5681</v>
      </c>
      <c r="J357" t="s">
        <v>5682</v>
      </c>
      <c r="K357" t="s">
        <v>68</v>
      </c>
      <c r="L357" t="s">
        <v>133</v>
      </c>
      <c r="M357" t="s">
        <v>108</v>
      </c>
      <c r="R357" t="s">
        <v>5679</v>
      </c>
      <c r="S357" t="s">
        <v>5683</v>
      </c>
      <c r="T357" t="s">
        <v>367</v>
      </c>
      <c r="U357" t="s">
        <v>111</v>
      </c>
      <c r="V357" t="str">
        <f>"137531002"</f>
        <v>137531002</v>
      </c>
      <c r="AC357" t="s">
        <v>113</v>
      </c>
      <c r="AD357" t="s">
        <v>108</v>
      </c>
      <c r="AE357" t="s">
        <v>775</v>
      </c>
      <c r="AF357" t="s">
        <v>124</v>
      </c>
      <c r="AG357" t="s">
        <v>116</v>
      </c>
      <c r="AK357" t="str">
        <f t="shared" si="36"/>
        <v>DELAWARE COUNTY OFFICE FOR THE AGING</v>
      </c>
      <c r="AM357" t="s">
        <v>108</v>
      </c>
      <c r="AN357" t="s">
        <v>108</v>
      </c>
      <c r="AO357" t="s">
        <v>108</v>
      </c>
      <c r="AP357" t="s">
        <v>108</v>
      </c>
      <c r="AQ357" t="s">
        <v>108</v>
      </c>
      <c r="AR357" t="s">
        <v>108</v>
      </c>
      <c r="AS357" t="s">
        <v>108</v>
      </c>
      <c r="AT357" t="s">
        <v>108</v>
      </c>
      <c r="AU357">
        <v>0</v>
      </c>
      <c r="AV357" t="s">
        <v>108</v>
      </c>
      <c r="AW357" t="s">
        <v>108</v>
      </c>
      <c r="AX357" s="24" t="str">
        <f t="shared" si="33"/>
        <v/>
      </c>
      <c r="AY357" s="24" t="str">
        <f t="shared" si="33"/>
        <v/>
      </c>
      <c r="AZ357" s="24" t="str">
        <f t="shared" si="39"/>
        <v/>
      </c>
      <c r="BA357" s="24" t="str">
        <f t="shared" si="39"/>
        <v/>
      </c>
      <c r="BB357" s="24" t="str">
        <f t="shared" si="39"/>
        <v/>
      </c>
      <c r="BC357" s="24" t="str">
        <f t="shared" si="39"/>
        <v/>
      </c>
      <c r="BD357" s="24" t="str">
        <f t="shared" si="39"/>
        <v/>
      </c>
      <c r="BE357" s="24" t="str">
        <f t="shared" si="39"/>
        <v/>
      </c>
      <c r="BF357" s="24" t="str">
        <f t="shared" si="39"/>
        <v/>
      </c>
      <c r="BG357" s="24" t="str">
        <f t="shared" si="39"/>
        <v/>
      </c>
      <c r="BH357" s="24" t="str">
        <f t="shared" si="37"/>
        <v/>
      </c>
      <c r="BI357" s="24" t="str">
        <f t="shared" si="39"/>
        <v/>
      </c>
      <c r="BJ357" s="24">
        <f t="shared" si="38"/>
        <v>1</v>
      </c>
    </row>
    <row r="358" spans="1:62" x14ac:dyDescent="0.25">
      <c r="A358" t="str">
        <f>"1235269713"</f>
        <v>1235269713</v>
      </c>
      <c r="B358" t="str">
        <f>"00473116"</f>
        <v>00473116</v>
      </c>
      <c r="C358" t="s">
        <v>3659</v>
      </c>
      <c r="D358" t="s">
        <v>3660</v>
      </c>
      <c r="E358" t="s">
        <v>3661</v>
      </c>
      <c r="G358" t="s">
        <v>3662</v>
      </c>
      <c r="H358" t="s">
        <v>3663</v>
      </c>
      <c r="J358" t="s">
        <v>3664</v>
      </c>
      <c r="L358" t="s">
        <v>695</v>
      </c>
      <c r="M358" t="s">
        <v>139</v>
      </c>
      <c r="R358" t="s">
        <v>3665</v>
      </c>
      <c r="W358" t="s">
        <v>3661</v>
      </c>
      <c r="X358" t="s">
        <v>3666</v>
      </c>
      <c r="Y358" t="s">
        <v>367</v>
      </c>
      <c r="Z358" t="s">
        <v>111</v>
      </c>
      <c r="AA358" t="str">
        <f>"13753-1221"</f>
        <v>13753-1221</v>
      </c>
      <c r="AB358" t="s">
        <v>282</v>
      </c>
      <c r="AC358" t="s">
        <v>113</v>
      </c>
      <c r="AD358" t="s">
        <v>108</v>
      </c>
      <c r="AE358" t="s">
        <v>114</v>
      </c>
      <c r="AF358" t="s">
        <v>124</v>
      </c>
      <c r="AG358" t="s">
        <v>116</v>
      </c>
      <c r="AK358" t="str">
        <f t="shared" si="36"/>
        <v/>
      </c>
      <c r="AL358" t="s">
        <v>3660</v>
      </c>
      <c r="AM358">
        <v>0</v>
      </c>
      <c r="AN358">
        <v>0</v>
      </c>
      <c r="AO358">
        <v>0</v>
      </c>
      <c r="AP358">
        <v>0</v>
      </c>
      <c r="AQ358">
        <v>0</v>
      </c>
      <c r="AR358">
        <v>0</v>
      </c>
      <c r="AS358">
        <v>0</v>
      </c>
      <c r="AT358">
        <v>0</v>
      </c>
      <c r="AU358">
        <v>0</v>
      </c>
      <c r="AV358">
        <v>0</v>
      </c>
      <c r="AW358">
        <v>0</v>
      </c>
      <c r="AX358" s="24" t="str">
        <f t="shared" si="33"/>
        <v/>
      </c>
      <c r="AY358" s="24" t="str">
        <f t="shared" si="33"/>
        <v/>
      </c>
      <c r="AZ358" s="24" t="str">
        <f t="shared" si="39"/>
        <v/>
      </c>
      <c r="BA358" s="24">
        <f t="shared" si="39"/>
        <v>1</v>
      </c>
      <c r="BB358" s="24" t="str">
        <f t="shared" si="39"/>
        <v/>
      </c>
      <c r="BC358" s="24" t="str">
        <f t="shared" si="39"/>
        <v/>
      </c>
      <c r="BD358" s="24" t="str">
        <f t="shared" si="39"/>
        <v/>
      </c>
      <c r="BE358" s="24" t="str">
        <f t="shared" si="39"/>
        <v/>
      </c>
      <c r="BF358" s="24" t="str">
        <f t="shared" si="39"/>
        <v/>
      </c>
      <c r="BG358" s="24" t="str">
        <f t="shared" si="39"/>
        <v/>
      </c>
      <c r="BH358" s="24" t="str">
        <f t="shared" si="37"/>
        <v/>
      </c>
      <c r="BI358" s="24">
        <f t="shared" si="39"/>
        <v>1</v>
      </c>
      <c r="BJ358" s="24" t="str">
        <f t="shared" si="38"/>
        <v/>
      </c>
    </row>
    <row r="359" spans="1:62" ht="15" customHeight="1" x14ac:dyDescent="0.25">
      <c r="A359" t="str">
        <f>"1154689495"</f>
        <v>1154689495</v>
      </c>
      <c r="C359" t="s">
        <v>3659</v>
      </c>
      <c r="G359" t="s">
        <v>3662</v>
      </c>
      <c r="H359" t="s">
        <v>3663</v>
      </c>
      <c r="J359" t="s">
        <v>3664</v>
      </c>
      <c r="K359" t="s">
        <v>4787</v>
      </c>
      <c r="L359" t="s">
        <v>133</v>
      </c>
      <c r="M359" t="s">
        <v>108</v>
      </c>
      <c r="R359" t="s">
        <v>4352</v>
      </c>
      <c r="S359" t="s">
        <v>3666</v>
      </c>
      <c r="T359" t="s">
        <v>367</v>
      </c>
      <c r="U359" t="s">
        <v>111</v>
      </c>
      <c r="V359" t="str">
        <f>"137531221"</f>
        <v>137531221</v>
      </c>
      <c r="AC359" t="s">
        <v>113</v>
      </c>
      <c r="AD359" t="s">
        <v>108</v>
      </c>
      <c r="AE359" t="s">
        <v>775</v>
      </c>
      <c r="AF359" t="s">
        <v>124</v>
      </c>
      <c r="AG359" t="s">
        <v>116</v>
      </c>
      <c r="AK359" t="str">
        <f t="shared" si="36"/>
        <v>Delaware County Public Health Services</v>
      </c>
      <c r="AM359" t="s">
        <v>108</v>
      </c>
      <c r="AN359" t="s">
        <v>108</v>
      </c>
      <c r="AO359" t="s">
        <v>108</v>
      </c>
      <c r="AP359" t="s">
        <v>108</v>
      </c>
      <c r="AQ359" t="s">
        <v>108</v>
      </c>
      <c r="AR359" t="s">
        <v>108</v>
      </c>
      <c r="AS359" t="s">
        <v>108</v>
      </c>
      <c r="AT359" t="s">
        <v>108</v>
      </c>
      <c r="AU359">
        <v>0</v>
      </c>
      <c r="AV359" t="s">
        <v>108</v>
      </c>
      <c r="AW359" t="s">
        <v>108</v>
      </c>
      <c r="AX359" s="24" t="str">
        <f t="shared" si="33"/>
        <v/>
      </c>
      <c r="AY359" s="24" t="str">
        <f t="shared" si="33"/>
        <v/>
      </c>
      <c r="AZ359" s="24" t="str">
        <f t="shared" si="39"/>
        <v/>
      </c>
      <c r="BA359" s="24" t="str">
        <f t="shared" si="39"/>
        <v/>
      </c>
      <c r="BB359" s="24" t="str">
        <f t="shared" si="39"/>
        <v/>
      </c>
      <c r="BC359" s="24" t="str">
        <f t="shared" si="39"/>
        <v/>
      </c>
      <c r="BD359" s="24" t="str">
        <f t="shared" si="39"/>
        <v/>
      </c>
      <c r="BE359" s="24" t="str">
        <f t="shared" si="39"/>
        <v/>
      </c>
      <c r="BF359" s="24" t="str">
        <f t="shared" si="39"/>
        <v/>
      </c>
      <c r="BG359" s="24" t="str">
        <f t="shared" si="39"/>
        <v/>
      </c>
      <c r="BH359" s="24" t="str">
        <f t="shared" si="37"/>
        <v/>
      </c>
      <c r="BI359" s="24" t="str">
        <f t="shared" si="39"/>
        <v/>
      </c>
      <c r="BJ359" s="24">
        <f t="shared" si="38"/>
        <v>1</v>
      </c>
    </row>
    <row r="360" spans="1:62" x14ac:dyDescent="0.25">
      <c r="A360" t="str">
        <f>"1417940719"</f>
        <v>1417940719</v>
      </c>
      <c r="B360" t="str">
        <f>"00347571"</f>
        <v>00347571</v>
      </c>
      <c r="C360" t="s">
        <v>3521</v>
      </c>
      <c r="D360" t="s">
        <v>3522</v>
      </c>
      <c r="E360" t="s">
        <v>3523</v>
      </c>
      <c r="G360" t="s">
        <v>3524</v>
      </c>
      <c r="H360" t="s">
        <v>3525</v>
      </c>
      <c r="J360" t="s">
        <v>3526</v>
      </c>
      <c r="L360" t="s">
        <v>3527</v>
      </c>
      <c r="M360" t="s">
        <v>139</v>
      </c>
      <c r="R360" t="s">
        <v>3528</v>
      </c>
      <c r="W360" t="s">
        <v>3523</v>
      </c>
      <c r="X360" t="s">
        <v>3529</v>
      </c>
      <c r="Y360" t="s">
        <v>2122</v>
      </c>
      <c r="Z360" t="s">
        <v>111</v>
      </c>
      <c r="AA360" t="str">
        <f>"13856-1457"</f>
        <v>13856-1457</v>
      </c>
      <c r="AB360" t="s">
        <v>303</v>
      </c>
      <c r="AC360" t="s">
        <v>113</v>
      </c>
      <c r="AD360" t="s">
        <v>108</v>
      </c>
      <c r="AE360" t="s">
        <v>114</v>
      </c>
      <c r="AF360" t="s">
        <v>124</v>
      </c>
      <c r="AG360" t="s">
        <v>116</v>
      </c>
      <c r="AK360" t="str">
        <f t="shared" si="36"/>
        <v/>
      </c>
      <c r="AL360" t="s">
        <v>3522</v>
      </c>
      <c r="AM360">
        <v>1</v>
      </c>
      <c r="AN360">
        <v>1</v>
      </c>
      <c r="AO360">
        <v>0</v>
      </c>
      <c r="AP360">
        <v>0</v>
      </c>
      <c r="AQ360">
        <v>1</v>
      </c>
      <c r="AR360">
        <v>0</v>
      </c>
      <c r="AS360">
        <v>0</v>
      </c>
      <c r="AT360">
        <v>1</v>
      </c>
      <c r="AU360">
        <v>0</v>
      </c>
      <c r="AV360">
        <v>0</v>
      </c>
      <c r="AW360">
        <v>0</v>
      </c>
      <c r="AX360" s="24" t="str">
        <f t="shared" ref="AX360:AY423" si="40">IF(ISERROR(FIND(AX$1,$L360,1)),"",1)</f>
        <v/>
      </c>
      <c r="AY360" s="24" t="str">
        <f t="shared" si="40"/>
        <v/>
      </c>
      <c r="AZ360" s="24">
        <f t="shared" si="39"/>
        <v>1</v>
      </c>
      <c r="BA360" s="24">
        <f t="shared" si="39"/>
        <v>1</v>
      </c>
      <c r="BB360" s="24" t="str">
        <f t="shared" si="39"/>
        <v/>
      </c>
      <c r="BC360" s="24" t="str">
        <f t="shared" si="39"/>
        <v/>
      </c>
      <c r="BD360" s="24">
        <f t="shared" si="39"/>
        <v>1</v>
      </c>
      <c r="BE360" s="24" t="str">
        <f t="shared" si="39"/>
        <v/>
      </c>
      <c r="BF360" s="24" t="str">
        <f t="shared" si="39"/>
        <v/>
      </c>
      <c r="BG360" s="24" t="str">
        <f t="shared" si="39"/>
        <v/>
      </c>
      <c r="BH360" s="24" t="str">
        <f t="shared" si="37"/>
        <v/>
      </c>
      <c r="BI360" s="24">
        <f t="shared" si="39"/>
        <v>1</v>
      </c>
      <c r="BJ360" s="24" t="str">
        <f t="shared" si="38"/>
        <v/>
      </c>
    </row>
    <row r="361" spans="1:62" ht="15" customHeight="1" x14ac:dyDescent="0.25">
      <c r="A361" t="str">
        <f>"1194810820"</f>
        <v>1194810820</v>
      </c>
      <c r="B361" t="str">
        <f>"01094742"</f>
        <v>01094742</v>
      </c>
      <c r="C361" t="s">
        <v>6758</v>
      </c>
      <c r="D361" t="s">
        <v>7027</v>
      </c>
      <c r="E361" t="s">
        <v>6880</v>
      </c>
      <c r="G361" t="s">
        <v>815</v>
      </c>
      <c r="H361" t="s">
        <v>816</v>
      </c>
      <c r="J361" t="s">
        <v>817</v>
      </c>
      <c r="L361" t="s">
        <v>120</v>
      </c>
      <c r="M361" t="s">
        <v>139</v>
      </c>
      <c r="R361" t="s">
        <v>6758</v>
      </c>
      <c r="W361" t="s">
        <v>6880</v>
      </c>
      <c r="X361" t="s">
        <v>1841</v>
      </c>
      <c r="Y361" t="s">
        <v>110</v>
      </c>
      <c r="Z361" t="s">
        <v>111</v>
      </c>
      <c r="AA361" t="str">
        <f>"13905-2746"</f>
        <v>13905-2746</v>
      </c>
      <c r="AB361" t="s">
        <v>123</v>
      </c>
      <c r="AC361" t="s">
        <v>113</v>
      </c>
      <c r="AD361" t="s">
        <v>108</v>
      </c>
      <c r="AE361" t="s">
        <v>114</v>
      </c>
      <c r="AF361" t="s">
        <v>115</v>
      </c>
      <c r="AG361" t="s">
        <v>116</v>
      </c>
      <c r="AK361" t="str">
        <f t="shared" si="36"/>
        <v>DENZIEN DARLENE DR.</v>
      </c>
      <c r="AL361" t="s">
        <v>7027</v>
      </c>
      <c r="AM361" t="s">
        <v>108</v>
      </c>
      <c r="AN361" t="s">
        <v>108</v>
      </c>
      <c r="AO361" t="s">
        <v>108</v>
      </c>
      <c r="AP361" t="s">
        <v>108</v>
      </c>
      <c r="AQ361" t="s">
        <v>108</v>
      </c>
      <c r="AR361" t="s">
        <v>108</v>
      </c>
      <c r="AS361" t="s">
        <v>108</v>
      </c>
      <c r="AT361" t="s">
        <v>108</v>
      </c>
      <c r="AU361">
        <v>0</v>
      </c>
      <c r="AV361" t="s">
        <v>108</v>
      </c>
      <c r="AW361" t="s">
        <v>108</v>
      </c>
      <c r="AX361" s="24">
        <f t="shared" si="40"/>
        <v>1</v>
      </c>
      <c r="AY361" s="24" t="str">
        <f t="shared" si="40"/>
        <v/>
      </c>
      <c r="AZ361" s="24" t="str">
        <f t="shared" si="39"/>
        <v/>
      </c>
      <c r="BA361" s="24" t="str">
        <f t="shared" si="39"/>
        <v/>
      </c>
      <c r="BB361" s="24" t="str">
        <f t="shared" si="39"/>
        <v/>
      </c>
      <c r="BC361" s="24" t="str">
        <f t="shared" si="39"/>
        <v/>
      </c>
      <c r="BD361" s="24" t="str">
        <f t="shared" si="39"/>
        <v/>
      </c>
      <c r="BE361" s="24" t="str">
        <f t="shared" si="39"/>
        <v/>
      </c>
      <c r="BF361" s="24" t="str">
        <f t="shared" si="39"/>
        <v/>
      </c>
      <c r="BG361" s="24" t="str">
        <f t="shared" si="39"/>
        <v/>
      </c>
      <c r="BH361" s="24" t="str">
        <f t="shared" si="37"/>
        <v/>
      </c>
      <c r="BI361" s="24">
        <f t="shared" si="39"/>
        <v>1</v>
      </c>
      <c r="BJ361" s="24" t="str">
        <f t="shared" si="38"/>
        <v/>
      </c>
    </row>
    <row r="362" spans="1:62" ht="15" customHeight="1" x14ac:dyDescent="0.25">
      <c r="A362" t="str">
        <f>"1134673601"</f>
        <v>1134673601</v>
      </c>
      <c r="B362" t="str">
        <f>"04501442"</f>
        <v>04501442</v>
      </c>
      <c r="C362" t="s">
        <v>6398</v>
      </c>
      <c r="D362" t="s">
        <v>6399</v>
      </c>
      <c r="E362" t="s">
        <v>6400</v>
      </c>
      <c r="G362" t="s">
        <v>6330</v>
      </c>
      <c r="H362" t="s">
        <v>6331</v>
      </c>
      <c r="J362" t="s">
        <v>6332</v>
      </c>
      <c r="L362" t="s">
        <v>120</v>
      </c>
      <c r="M362" t="s">
        <v>108</v>
      </c>
      <c r="R362" t="s">
        <v>6401</v>
      </c>
      <c r="W362" t="s">
        <v>6400</v>
      </c>
      <c r="AB362" t="s">
        <v>123</v>
      </c>
      <c r="AC362" t="s">
        <v>113</v>
      </c>
      <c r="AD362" t="s">
        <v>108</v>
      </c>
      <c r="AE362" t="s">
        <v>114</v>
      </c>
      <c r="AF362" t="s">
        <v>115</v>
      </c>
      <c r="AG362" t="s">
        <v>116</v>
      </c>
      <c r="AK362" t="str">
        <f t="shared" si="36"/>
        <v>DePersis Melissa</v>
      </c>
      <c r="AL362" t="s">
        <v>6399</v>
      </c>
      <c r="AM362" t="s">
        <v>108</v>
      </c>
      <c r="AN362" t="s">
        <v>108</v>
      </c>
      <c r="AO362" t="s">
        <v>108</v>
      </c>
      <c r="AP362" t="s">
        <v>108</v>
      </c>
      <c r="AQ362" t="s">
        <v>108</v>
      </c>
      <c r="AR362" t="s">
        <v>108</v>
      </c>
      <c r="AS362" t="s">
        <v>108</v>
      </c>
      <c r="AT362" t="s">
        <v>108</v>
      </c>
      <c r="AU362">
        <v>1</v>
      </c>
      <c r="AV362" t="s">
        <v>108</v>
      </c>
      <c r="AW362" t="s">
        <v>108</v>
      </c>
      <c r="AX362" s="24">
        <f t="shared" si="40"/>
        <v>1</v>
      </c>
      <c r="AY362" s="24" t="str">
        <f t="shared" si="40"/>
        <v/>
      </c>
      <c r="AZ362" s="24" t="str">
        <f t="shared" si="39"/>
        <v/>
      </c>
      <c r="BA362" s="24" t="str">
        <f t="shared" si="39"/>
        <v/>
      </c>
      <c r="BB362" s="24" t="str">
        <f t="shared" si="39"/>
        <v/>
      </c>
      <c r="BC362" s="24" t="str">
        <f t="shared" si="39"/>
        <v/>
      </c>
      <c r="BD362" s="24" t="str">
        <f t="shared" si="39"/>
        <v/>
      </c>
      <c r="BE362" s="24" t="str">
        <f t="shared" si="39"/>
        <v/>
      </c>
      <c r="BF362" s="24" t="str">
        <f t="shared" si="39"/>
        <v/>
      </c>
      <c r="BG362" s="24" t="str">
        <f t="shared" si="39"/>
        <v/>
      </c>
      <c r="BH362" s="24" t="str">
        <f t="shared" si="37"/>
        <v/>
      </c>
      <c r="BI362" s="24">
        <f t="shared" si="39"/>
        <v>1</v>
      </c>
      <c r="BJ362" s="24" t="str">
        <f t="shared" si="38"/>
        <v/>
      </c>
    </row>
    <row r="363" spans="1:62" ht="15" customHeight="1" x14ac:dyDescent="0.25">
      <c r="A363" t="str">
        <f>"1043444573"</f>
        <v>1043444573</v>
      </c>
      <c r="B363" t="str">
        <f>"03500396"</f>
        <v>03500396</v>
      </c>
      <c r="C363" t="s">
        <v>4331</v>
      </c>
      <c r="D363" t="s">
        <v>4332</v>
      </c>
      <c r="E363" t="s">
        <v>4333</v>
      </c>
      <c r="G363" t="s">
        <v>699</v>
      </c>
      <c r="H363" t="s">
        <v>700</v>
      </c>
      <c r="J363" t="s">
        <v>701</v>
      </c>
      <c r="L363" t="s">
        <v>120</v>
      </c>
      <c r="M363" t="s">
        <v>108</v>
      </c>
      <c r="R363" t="s">
        <v>4334</v>
      </c>
      <c r="W363" t="s">
        <v>4331</v>
      </c>
      <c r="X363" t="s">
        <v>4335</v>
      </c>
      <c r="Y363" t="s">
        <v>2892</v>
      </c>
      <c r="Z363" t="s">
        <v>182</v>
      </c>
      <c r="AA363" t="str">
        <f>"16947-1501"</f>
        <v>16947-1501</v>
      </c>
      <c r="AB363" t="s">
        <v>123</v>
      </c>
      <c r="AC363" t="s">
        <v>113</v>
      </c>
      <c r="AD363" t="s">
        <v>108</v>
      </c>
      <c r="AE363" t="s">
        <v>114</v>
      </c>
      <c r="AF363" t="s">
        <v>115</v>
      </c>
      <c r="AG363" t="s">
        <v>116</v>
      </c>
      <c r="AK363" t="str">
        <f t="shared" si="36"/>
        <v/>
      </c>
      <c r="AL363" t="s">
        <v>4332</v>
      </c>
      <c r="AM363">
        <v>0</v>
      </c>
      <c r="AN363">
        <v>0</v>
      </c>
      <c r="AO363">
        <v>0</v>
      </c>
      <c r="AP363">
        <v>0</v>
      </c>
      <c r="AQ363">
        <v>0</v>
      </c>
      <c r="AR363">
        <v>0</v>
      </c>
      <c r="AS363">
        <v>0</v>
      </c>
      <c r="AT363">
        <v>0</v>
      </c>
      <c r="AU363">
        <v>0</v>
      </c>
      <c r="AV363">
        <v>0</v>
      </c>
      <c r="AW363">
        <v>0</v>
      </c>
      <c r="AX363" s="24">
        <f t="shared" si="40"/>
        <v>1</v>
      </c>
      <c r="AY363" s="24" t="str">
        <f t="shared" si="40"/>
        <v/>
      </c>
      <c r="AZ363" s="24" t="str">
        <f t="shared" si="39"/>
        <v/>
      </c>
      <c r="BA363" s="24" t="str">
        <f t="shared" si="39"/>
        <v/>
      </c>
      <c r="BB363" s="24" t="str">
        <f t="shared" si="39"/>
        <v/>
      </c>
      <c r="BC363" s="24" t="str">
        <f t="shared" si="39"/>
        <v/>
      </c>
      <c r="BD363" s="24" t="str">
        <f t="shared" si="39"/>
        <v/>
      </c>
      <c r="BE363" s="24" t="str">
        <f t="shared" si="39"/>
        <v/>
      </c>
      <c r="BF363" s="24" t="str">
        <f t="shared" si="39"/>
        <v/>
      </c>
      <c r="BG363" s="24" t="str">
        <f t="shared" si="39"/>
        <v/>
      </c>
      <c r="BH363" s="24" t="str">
        <f t="shared" si="37"/>
        <v/>
      </c>
      <c r="BI363" s="24">
        <f t="shared" si="39"/>
        <v>1</v>
      </c>
      <c r="BJ363" s="24" t="str">
        <f t="shared" si="38"/>
        <v/>
      </c>
    </row>
    <row r="364" spans="1:62" ht="15" customHeight="1" x14ac:dyDescent="0.25">
      <c r="A364" t="str">
        <f>"1376578724"</f>
        <v>1376578724</v>
      </c>
      <c r="B364" t="str">
        <f>"01943728"</f>
        <v>01943728</v>
      </c>
      <c r="C364" t="s">
        <v>6843</v>
      </c>
      <c r="D364" t="s">
        <v>7136</v>
      </c>
      <c r="E364" t="s">
        <v>7137</v>
      </c>
      <c r="G364" t="s">
        <v>7184</v>
      </c>
      <c r="H364" t="s">
        <v>2379</v>
      </c>
      <c r="J364" t="s">
        <v>7185</v>
      </c>
      <c r="L364" t="s">
        <v>120</v>
      </c>
      <c r="M364" t="s">
        <v>108</v>
      </c>
      <c r="R364" t="s">
        <v>6843</v>
      </c>
      <c r="W364" t="s">
        <v>6989</v>
      </c>
      <c r="X364" t="s">
        <v>2382</v>
      </c>
      <c r="Y364" t="s">
        <v>979</v>
      </c>
      <c r="Z364" t="s">
        <v>111</v>
      </c>
      <c r="AA364" t="str">
        <f>"13760-3646"</f>
        <v>13760-3646</v>
      </c>
      <c r="AB364" t="s">
        <v>123</v>
      </c>
      <c r="AC364" t="s">
        <v>113</v>
      </c>
      <c r="AD364" t="s">
        <v>108</v>
      </c>
      <c r="AE364" t="s">
        <v>114</v>
      </c>
      <c r="AF364" t="s">
        <v>115</v>
      </c>
      <c r="AG364" t="s">
        <v>116</v>
      </c>
      <c r="AK364" t="str">
        <f t="shared" si="36"/>
        <v>DESANTIS KIMBERLY</v>
      </c>
      <c r="AL364" t="s">
        <v>7136</v>
      </c>
      <c r="AM364" t="s">
        <v>108</v>
      </c>
      <c r="AN364" t="s">
        <v>108</v>
      </c>
      <c r="AO364" t="s">
        <v>108</v>
      </c>
      <c r="AP364" t="s">
        <v>108</v>
      </c>
      <c r="AQ364" t="s">
        <v>108</v>
      </c>
      <c r="AR364" t="s">
        <v>108</v>
      </c>
      <c r="AS364" t="s">
        <v>108</v>
      </c>
      <c r="AT364" t="s">
        <v>108</v>
      </c>
      <c r="AU364">
        <v>0</v>
      </c>
      <c r="AV364" t="s">
        <v>108</v>
      </c>
      <c r="AW364" t="s">
        <v>108</v>
      </c>
      <c r="AX364" s="24">
        <f t="shared" si="40"/>
        <v>1</v>
      </c>
      <c r="AY364" s="24" t="str">
        <f t="shared" si="40"/>
        <v/>
      </c>
      <c r="AZ364" s="24" t="str">
        <f t="shared" si="39"/>
        <v/>
      </c>
      <c r="BA364" s="24" t="str">
        <f t="shared" si="39"/>
        <v/>
      </c>
      <c r="BB364" s="24" t="str">
        <f t="shared" si="39"/>
        <v/>
      </c>
      <c r="BC364" s="24" t="str">
        <f t="shared" si="39"/>
        <v/>
      </c>
      <c r="BD364" s="24" t="str">
        <f t="shared" si="39"/>
        <v/>
      </c>
      <c r="BE364" s="24" t="str">
        <f t="shared" si="39"/>
        <v/>
      </c>
      <c r="BF364" s="24" t="str">
        <f t="shared" si="39"/>
        <v/>
      </c>
      <c r="BG364" s="24" t="str">
        <f t="shared" si="39"/>
        <v/>
      </c>
      <c r="BH364" s="24" t="str">
        <f t="shared" si="37"/>
        <v/>
      </c>
      <c r="BI364" s="24">
        <f t="shared" si="39"/>
        <v>1</v>
      </c>
      <c r="BJ364" s="24" t="str">
        <f t="shared" si="38"/>
        <v/>
      </c>
    </row>
    <row r="365" spans="1:62" ht="15" customHeight="1" x14ac:dyDescent="0.25">
      <c r="A365" t="str">
        <f>"1548235484"</f>
        <v>1548235484</v>
      </c>
      <c r="B365" t="str">
        <f>"01206711"</f>
        <v>01206711</v>
      </c>
      <c r="C365" t="s">
        <v>2222</v>
      </c>
      <c r="D365" t="s">
        <v>2223</v>
      </c>
      <c r="E365" t="s">
        <v>2224</v>
      </c>
      <c r="G365" t="s">
        <v>177</v>
      </c>
      <c r="H365" t="s">
        <v>178</v>
      </c>
      <c r="J365" t="s">
        <v>179</v>
      </c>
      <c r="L365" t="s">
        <v>138</v>
      </c>
      <c r="M365" t="s">
        <v>108</v>
      </c>
      <c r="R365" t="s">
        <v>2222</v>
      </c>
      <c r="W365" t="s">
        <v>2224</v>
      </c>
      <c r="X365" t="s">
        <v>180</v>
      </c>
      <c r="Y365" t="s">
        <v>181</v>
      </c>
      <c r="Z365" t="s">
        <v>182</v>
      </c>
      <c r="AA365" t="str">
        <f>"18840"</f>
        <v>18840</v>
      </c>
      <c r="AB365" t="s">
        <v>123</v>
      </c>
      <c r="AC365" t="s">
        <v>113</v>
      </c>
      <c r="AD365" t="s">
        <v>108</v>
      </c>
      <c r="AE365" t="s">
        <v>114</v>
      </c>
      <c r="AF365" t="s">
        <v>115</v>
      </c>
      <c r="AG365" t="s">
        <v>116</v>
      </c>
      <c r="AK365" t="str">
        <f t="shared" si="36"/>
        <v/>
      </c>
      <c r="AL365" t="s">
        <v>2223</v>
      </c>
      <c r="AM365">
        <v>1</v>
      </c>
      <c r="AN365">
        <v>1</v>
      </c>
      <c r="AO365">
        <v>0</v>
      </c>
      <c r="AP365">
        <v>0</v>
      </c>
      <c r="AQ365">
        <v>0</v>
      </c>
      <c r="AR365">
        <v>0</v>
      </c>
      <c r="AS365">
        <v>0</v>
      </c>
      <c r="AT365">
        <v>0</v>
      </c>
      <c r="AU365">
        <v>0</v>
      </c>
      <c r="AV365">
        <v>1</v>
      </c>
      <c r="AW365">
        <v>0</v>
      </c>
      <c r="AX365" s="24" t="str">
        <f t="shared" si="40"/>
        <v/>
      </c>
      <c r="AY365" s="24">
        <f t="shared" si="40"/>
        <v>1</v>
      </c>
      <c r="AZ365" s="24" t="str">
        <f t="shared" si="39"/>
        <v/>
      </c>
      <c r="BA365" s="24" t="str">
        <f t="shared" si="39"/>
        <v/>
      </c>
      <c r="BB365" s="24" t="str">
        <f t="shared" si="39"/>
        <v/>
      </c>
      <c r="BC365" s="24" t="str">
        <f t="shared" si="39"/>
        <v/>
      </c>
      <c r="BD365" s="24" t="str">
        <f t="shared" si="39"/>
        <v/>
      </c>
      <c r="BE365" s="24" t="str">
        <f t="shared" si="39"/>
        <v/>
      </c>
      <c r="BF365" s="24" t="str">
        <f t="shared" si="39"/>
        <v/>
      </c>
      <c r="BG365" s="24" t="str">
        <f t="shared" si="39"/>
        <v/>
      </c>
      <c r="BH365" s="24" t="str">
        <f t="shared" si="37"/>
        <v/>
      </c>
      <c r="BI365" s="24">
        <f t="shared" si="39"/>
        <v>1</v>
      </c>
      <c r="BJ365" s="24" t="str">
        <f t="shared" si="38"/>
        <v/>
      </c>
    </row>
    <row r="366" spans="1:62" ht="15" customHeight="1" x14ac:dyDescent="0.25">
      <c r="A366" t="str">
        <f>"1992810048"</f>
        <v>1992810048</v>
      </c>
      <c r="B366" t="str">
        <f>"03920445"</f>
        <v>03920445</v>
      </c>
      <c r="C366" t="s">
        <v>6817</v>
      </c>
      <c r="D366" t="s">
        <v>7099</v>
      </c>
      <c r="E366" t="s">
        <v>7100</v>
      </c>
      <c r="G366" t="s">
        <v>815</v>
      </c>
      <c r="H366" t="s">
        <v>816</v>
      </c>
      <c r="J366" t="s">
        <v>817</v>
      </c>
      <c r="L366" t="s">
        <v>138</v>
      </c>
      <c r="M366" t="s">
        <v>108</v>
      </c>
      <c r="R366" t="s">
        <v>6817</v>
      </c>
      <c r="W366" t="s">
        <v>6959</v>
      </c>
      <c r="X366" t="s">
        <v>204</v>
      </c>
      <c r="Y366" t="s">
        <v>110</v>
      </c>
      <c r="Z366" t="s">
        <v>111</v>
      </c>
      <c r="AA366" t="str">
        <f>"13905-4246"</f>
        <v>13905-4246</v>
      </c>
      <c r="AB366" t="s">
        <v>123</v>
      </c>
      <c r="AC366" t="s">
        <v>113</v>
      </c>
      <c r="AD366" t="s">
        <v>108</v>
      </c>
      <c r="AE366" t="s">
        <v>114</v>
      </c>
      <c r="AF366" t="s">
        <v>115</v>
      </c>
      <c r="AG366" t="s">
        <v>116</v>
      </c>
      <c r="AK366" t="str">
        <f t="shared" si="36"/>
        <v>DESMANGLES JEAN-CLAUDE</v>
      </c>
      <c r="AL366" t="s">
        <v>7099</v>
      </c>
      <c r="AM366" t="s">
        <v>108</v>
      </c>
      <c r="AN366" t="s">
        <v>108</v>
      </c>
      <c r="AO366" t="s">
        <v>108</v>
      </c>
      <c r="AP366" t="s">
        <v>108</v>
      </c>
      <c r="AQ366" t="s">
        <v>108</v>
      </c>
      <c r="AR366" t="s">
        <v>108</v>
      </c>
      <c r="AS366" t="s">
        <v>108</v>
      </c>
      <c r="AT366" t="s">
        <v>108</v>
      </c>
      <c r="AU366">
        <v>0</v>
      </c>
      <c r="AV366" t="s">
        <v>108</v>
      </c>
      <c r="AW366" t="s">
        <v>108</v>
      </c>
      <c r="AX366" s="24" t="str">
        <f t="shared" si="40"/>
        <v/>
      </c>
      <c r="AY366" s="24">
        <f t="shared" si="40"/>
        <v>1</v>
      </c>
      <c r="AZ366" s="24" t="str">
        <f t="shared" si="39"/>
        <v/>
      </c>
      <c r="BA366" s="24" t="str">
        <f t="shared" si="39"/>
        <v/>
      </c>
      <c r="BB366" s="24" t="str">
        <f t="shared" si="39"/>
        <v/>
      </c>
      <c r="BC366" s="24" t="str">
        <f t="shared" si="39"/>
        <v/>
      </c>
      <c r="BD366" s="24" t="str">
        <f t="shared" si="39"/>
        <v/>
      </c>
      <c r="BE366" s="24" t="str">
        <f t="shared" si="39"/>
        <v/>
      </c>
      <c r="BF366" s="24" t="str">
        <f t="shared" si="39"/>
        <v/>
      </c>
      <c r="BG366" s="24" t="str">
        <f t="shared" si="39"/>
        <v/>
      </c>
      <c r="BH366" s="24" t="str">
        <f t="shared" si="37"/>
        <v/>
      </c>
      <c r="BI366" s="24">
        <f t="shared" si="39"/>
        <v>1</v>
      </c>
      <c r="BJ366" s="24" t="str">
        <f t="shared" si="38"/>
        <v/>
      </c>
    </row>
    <row r="367" spans="1:62" ht="15" customHeight="1" x14ac:dyDescent="0.25">
      <c r="A367" t="str">
        <f>"1588758395"</f>
        <v>1588758395</v>
      </c>
      <c r="B367" t="str">
        <f>"01778087"</f>
        <v>01778087</v>
      </c>
      <c r="C367" t="s">
        <v>1576</v>
      </c>
      <c r="D367" t="s">
        <v>1577</v>
      </c>
      <c r="E367" t="s">
        <v>1578</v>
      </c>
      <c r="L367" t="s">
        <v>247</v>
      </c>
      <c r="M367" t="s">
        <v>108</v>
      </c>
      <c r="R367" t="s">
        <v>1576</v>
      </c>
      <c r="W367" t="s">
        <v>1578</v>
      </c>
      <c r="X367" t="s">
        <v>1579</v>
      </c>
      <c r="Y367" t="s">
        <v>122</v>
      </c>
      <c r="Z367" t="s">
        <v>111</v>
      </c>
      <c r="AA367" t="str">
        <f>"13815-1153"</f>
        <v>13815-1153</v>
      </c>
      <c r="AB367" t="s">
        <v>123</v>
      </c>
      <c r="AC367" t="s">
        <v>113</v>
      </c>
      <c r="AD367" t="s">
        <v>108</v>
      </c>
      <c r="AE367" t="s">
        <v>114</v>
      </c>
      <c r="AF367" t="s">
        <v>124</v>
      </c>
      <c r="AG367" t="s">
        <v>116</v>
      </c>
      <c r="AK367" t="str">
        <f t="shared" si="36"/>
        <v/>
      </c>
      <c r="AL367" t="s">
        <v>1577</v>
      </c>
      <c r="AM367">
        <v>0</v>
      </c>
      <c r="AN367">
        <v>0</v>
      </c>
      <c r="AO367">
        <v>0</v>
      </c>
      <c r="AP367">
        <v>0</v>
      </c>
      <c r="AQ367">
        <v>0</v>
      </c>
      <c r="AR367">
        <v>0</v>
      </c>
      <c r="AS367">
        <v>0</v>
      </c>
      <c r="AT367">
        <v>0</v>
      </c>
      <c r="AU367">
        <v>0</v>
      </c>
      <c r="AV367">
        <v>0</v>
      </c>
      <c r="AW367">
        <v>0</v>
      </c>
      <c r="AX367" s="24" t="str">
        <f t="shared" si="40"/>
        <v/>
      </c>
      <c r="AY367" s="24">
        <f t="shared" si="40"/>
        <v>1</v>
      </c>
      <c r="AZ367" s="24" t="str">
        <f t="shared" si="39"/>
        <v/>
      </c>
      <c r="BA367" s="24" t="str">
        <f t="shared" si="39"/>
        <v/>
      </c>
      <c r="BB367" s="24" t="str">
        <f t="shared" si="39"/>
        <v/>
      </c>
      <c r="BC367" s="24" t="str">
        <f t="shared" si="39"/>
        <v/>
      </c>
      <c r="BD367" s="24" t="str">
        <f t="shared" si="39"/>
        <v/>
      </c>
      <c r="BE367" s="24" t="str">
        <f t="shared" si="39"/>
        <v/>
      </c>
      <c r="BF367" s="24" t="str">
        <f t="shared" si="39"/>
        <v/>
      </c>
      <c r="BG367" s="24" t="str">
        <f t="shared" si="39"/>
        <v/>
      </c>
      <c r="BH367" s="24" t="str">
        <f t="shared" si="37"/>
        <v/>
      </c>
      <c r="BI367" s="24" t="str">
        <f t="shared" si="39"/>
        <v/>
      </c>
      <c r="BJ367" s="24" t="str">
        <f t="shared" si="38"/>
        <v/>
      </c>
    </row>
    <row r="368" spans="1:62" ht="15" customHeight="1" x14ac:dyDescent="0.25">
      <c r="A368" t="str">
        <f>"1861468944"</f>
        <v>1861468944</v>
      </c>
      <c r="B368" t="str">
        <f>"03296022"</f>
        <v>03296022</v>
      </c>
      <c r="C368" t="s">
        <v>2219</v>
      </c>
      <c r="D368" t="s">
        <v>2220</v>
      </c>
      <c r="E368" t="s">
        <v>2221</v>
      </c>
      <c r="G368" t="s">
        <v>177</v>
      </c>
      <c r="H368" t="s">
        <v>178</v>
      </c>
      <c r="J368" t="s">
        <v>179</v>
      </c>
      <c r="L368" t="s">
        <v>138</v>
      </c>
      <c r="M368" t="s">
        <v>108</v>
      </c>
      <c r="R368" t="s">
        <v>2219</v>
      </c>
      <c r="W368" t="s">
        <v>2221</v>
      </c>
      <c r="X368" t="s">
        <v>196</v>
      </c>
      <c r="Y368" t="s">
        <v>181</v>
      </c>
      <c r="Z368" t="s">
        <v>182</v>
      </c>
      <c r="AA368" t="str">
        <f>"18840-1625"</f>
        <v>18840-1625</v>
      </c>
      <c r="AB368" t="s">
        <v>123</v>
      </c>
      <c r="AC368" t="s">
        <v>113</v>
      </c>
      <c r="AD368" t="s">
        <v>108</v>
      </c>
      <c r="AE368" t="s">
        <v>114</v>
      </c>
      <c r="AF368" t="s">
        <v>115</v>
      </c>
      <c r="AG368" t="s">
        <v>116</v>
      </c>
      <c r="AK368" t="str">
        <f t="shared" si="36"/>
        <v/>
      </c>
      <c r="AL368" t="s">
        <v>2220</v>
      </c>
      <c r="AM368">
        <v>0</v>
      </c>
      <c r="AN368">
        <v>0</v>
      </c>
      <c r="AO368">
        <v>0</v>
      </c>
      <c r="AP368">
        <v>0</v>
      </c>
      <c r="AQ368">
        <v>0</v>
      </c>
      <c r="AR368">
        <v>0</v>
      </c>
      <c r="AS368">
        <v>0</v>
      </c>
      <c r="AT368">
        <v>0</v>
      </c>
      <c r="AU368">
        <v>0</v>
      </c>
      <c r="AV368">
        <v>0</v>
      </c>
      <c r="AW368">
        <v>0</v>
      </c>
      <c r="AX368" s="24" t="str">
        <f t="shared" si="40"/>
        <v/>
      </c>
      <c r="AY368" s="24">
        <f t="shared" si="40"/>
        <v>1</v>
      </c>
      <c r="AZ368" s="24" t="str">
        <f t="shared" si="39"/>
        <v/>
      </c>
      <c r="BA368" s="24" t="str">
        <f t="shared" si="39"/>
        <v/>
      </c>
      <c r="BB368" s="24" t="str">
        <f t="shared" si="39"/>
        <v/>
      </c>
      <c r="BC368" s="24" t="str">
        <f t="shared" si="39"/>
        <v/>
      </c>
      <c r="BD368" s="24" t="str">
        <f t="shared" si="39"/>
        <v/>
      </c>
      <c r="BE368" s="24" t="str">
        <f t="shared" si="39"/>
        <v/>
      </c>
      <c r="BF368" s="24" t="str">
        <f t="shared" si="39"/>
        <v/>
      </c>
      <c r="BG368" s="24" t="str">
        <f t="shared" si="39"/>
        <v/>
      </c>
      <c r="BH368" s="24" t="str">
        <f t="shared" si="37"/>
        <v/>
      </c>
      <c r="BI368" s="24">
        <f t="shared" si="39"/>
        <v>1</v>
      </c>
      <c r="BJ368" s="24" t="str">
        <f t="shared" si="38"/>
        <v/>
      </c>
    </row>
    <row r="369" spans="1:62" ht="15" customHeight="1" x14ac:dyDescent="0.25">
      <c r="A369" t="str">
        <f>"1326013525"</f>
        <v>1326013525</v>
      </c>
      <c r="B369" t="str">
        <f>"00627770"</f>
        <v>00627770</v>
      </c>
      <c r="C369" t="s">
        <v>2306</v>
      </c>
      <c r="D369" t="s">
        <v>2307</v>
      </c>
      <c r="E369" t="s">
        <v>2308</v>
      </c>
      <c r="G369" t="s">
        <v>177</v>
      </c>
      <c r="H369" t="s">
        <v>178</v>
      </c>
      <c r="J369" t="s">
        <v>179</v>
      </c>
      <c r="L369" t="s">
        <v>138</v>
      </c>
      <c r="M369" t="s">
        <v>108</v>
      </c>
      <c r="R369" t="s">
        <v>2306</v>
      </c>
      <c r="W369" t="s">
        <v>2308</v>
      </c>
      <c r="X369" t="s">
        <v>180</v>
      </c>
      <c r="Y369" t="s">
        <v>181</v>
      </c>
      <c r="Z369" t="s">
        <v>182</v>
      </c>
      <c r="AA369" t="str">
        <f>"18840"</f>
        <v>18840</v>
      </c>
      <c r="AB369" t="s">
        <v>123</v>
      </c>
      <c r="AC369" t="s">
        <v>113</v>
      </c>
      <c r="AD369" t="s">
        <v>108</v>
      </c>
      <c r="AE369" t="s">
        <v>114</v>
      </c>
      <c r="AF369" t="s">
        <v>115</v>
      </c>
      <c r="AG369" t="s">
        <v>116</v>
      </c>
      <c r="AK369" t="str">
        <f t="shared" si="36"/>
        <v/>
      </c>
      <c r="AL369" t="s">
        <v>2307</v>
      </c>
      <c r="AM369">
        <v>1</v>
      </c>
      <c r="AN369">
        <v>1</v>
      </c>
      <c r="AO369">
        <v>0</v>
      </c>
      <c r="AP369">
        <v>0</v>
      </c>
      <c r="AQ369">
        <v>0</v>
      </c>
      <c r="AR369">
        <v>0</v>
      </c>
      <c r="AS369">
        <v>0</v>
      </c>
      <c r="AT369">
        <v>0</v>
      </c>
      <c r="AU369">
        <v>0</v>
      </c>
      <c r="AV369">
        <v>1</v>
      </c>
      <c r="AW369">
        <v>0</v>
      </c>
      <c r="AX369" s="24" t="str">
        <f t="shared" si="40"/>
        <v/>
      </c>
      <c r="AY369" s="24">
        <f t="shared" si="40"/>
        <v>1</v>
      </c>
      <c r="AZ369" s="24" t="str">
        <f t="shared" si="39"/>
        <v/>
      </c>
      <c r="BA369" s="24" t="str">
        <f t="shared" si="39"/>
        <v/>
      </c>
      <c r="BB369" s="24" t="str">
        <f t="shared" si="39"/>
        <v/>
      </c>
      <c r="BC369" s="24" t="str">
        <f t="shared" si="39"/>
        <v/>
      </c>
      <c r="BD369" s="24" t="str">
        <f t="shared" si="39"/>
        <v/>
      </c>
      <c r="BE369" s="24" t="str">
        <f t="shared" si="39"/>
        <v/>
      </c>
      <c r="BF369" s="24" t="str">
        <f t="shared" si="39"/>
        <v/>
      </c>
      <c r="BG369" s="24" t="str">
        <f t="shared" si="39"/>
        <v/>
      </c>
      <c r="BH369" s="24" t="str">
        <f t="shared" si="37"/>
        <v/>
      </c>
      <c r="BI369" s="24">
        <f t="shared" si="39"/>
        <v>1</v>
      </c>
      <c r="BJ369" s="24" t="str">
        <f t="shared" si="38"/>
        <v/>
      </c>
    </row>
    <row r="370" spans="1:62" ht="15" customHeight="1" x14ac:dyDescent="0.25">
      <c r="A370" t="str">
        <f>"1972597284"</f>
        <v>1972597284</v>
      </c>
      <c r="B370" t="str">
        <f>"00645547"</f>
        <v>00645547</v>
      </c>
      <c r="C370" t="s">
        <v>4586</v>
      </c>
      <c r="D370" t="s">
        <v>4587</v>
      </c>
      <c r="E370" t="s">
        <v>4588</v>
      </c>
      <c r="L370" t="s">
        <v>247</v>
      </c>
      <c r="M370" t="s">
        <v>108</v>
      </c>
      <c r="R370" t="s">
        <v>4586</v>
      </c>
      <c r="W370" t="s">
        <v>4588</v>
      </c>
      <c r="X370" t="s">
        <v>1237</v>
      </c>
      <c r="Y370" t="s">
        <v>129</v>
      </c>
      <c r="Z370" t="s">
        <v>111</v>
      </c>
      <c r="AA370" t="str">
        <f>"13790-2102"</f>
        <v>13790-2102</v>
      </c>
      <c r="AB370" t="s">
        <v>123</v>
      </c>
      <c r="AC370" t="s">
        <v>113</v>
      </c>
      <c r="AD370" t="s">
        <v>108</v>
      </c>
      <c r="AE370" t="s">
        <v>114</v>
      </c>
      <c r="AF370" t="s">
        <v>115</v>
      </c>
      <c r="AG370" t="s">
        <v>116</v>
      </c>
      <c r="AK370" t="str">
        <f t="shared" si="36"/>
        <v/>
      </c>
      <c r="AL370" t="s">
        <v>4587</v>
      </c>
      <c r="AM370">
        <v>1</v>
      </c>
      <c r="AN370">
        <v>1</v>
      </c>
      <c r="AO370">
        <v>0</v>
      </c>
      <c r="AP370">
        <v>1</v>
      </c>
      <c r="AQ370">
        <v>1</v>
      </c>
      <c r="AR370">
        <v>0</v>
      </c>
      <c r="AS370">
        <v>0</v>
      </c>
      <c r="AT370">
        <v>0</v>
      </c>
      <c r="AU370">
        <v>0</v>
      </c>
      <c r="AV370">
        <v>0</v>
      </c>
      <c r="AW370">
        <v>0</v>
      </c>
      <c r="AX370" s="24" t="str">
        <f t="shared" si="40"/>
        <v/>
      </c>
      <c r="AY370" s="24">
        <f t="shared" si="40"/>
        <v>1</v>
      </c>
      <c r="AZ370" s="24" t="str">
        <f t="shared" si="39"/>
        <v/>
      </c>
      <c r="BA370" s="24" t="str">
        <f t="shared" si="39"/>
        <v/>
      </c>
      <c r="BB370" s="24" t="str">
        <f t="shared" si="39"/>
        <v/>
      </c>
      <c r="BC370" s="24" t="str">
        <f t="shared" si="39"/>
        <v/>
      </c>
      <c r="BD370" s="24" t="str">
        <f t="shared" si="39"/>
        <v/>
      </c>
      <c r="BE370" s="24" t="str">
        <f t="shared" si="39"/>
        <v/>
      </c>
      <c r="BF370" s="24" t="str">
        <f t="shared" ref="AZ370:BI396" si="41">IF(ISERROR(FIND(BF$1,$L370,1)),"",1)</f>
        <v/>
      </c>
      <c r="BG370" s="24" t="str">
        <f t="shared" si="41"/>
        <v/>
      </c>
      <c r="BH370" s="24" t="str">
        <f t="shared" si="37"/>
        <v/>
      </c>
      <c r="BI370" s="24" t="str">
        <f t="shared" si="41"/>
        <v/>
      </c>
      <c r="BJ370" s="24" t="str">
        <f t="shared" si="38"/>
        <v/>
      </c>
    </row>
    <row r="371" spans="1:62" ht="15" customHeight="1" x14ac:dyDescent="0.25">
      <c r="A371" t="str">
        <f>"1730274937"</f>
        <v>1730274937</v>
      </c>
      <c r="B371" t="str">
        <f>"01432324"</f>
        <v>01432324</v>
      </c>
      <c r="C371" t="s">
        <v>5222</v>
      </c>
      <c r="D371" t="s">
        <v>5223</v>
      </c>
      <c r="E371" t="s">
        <v>5224</v>
      </c>
      <c r="G371" t="s">
        <v>5225</v>
      </c>
      <c r="H371" t="s">
        <v>5226</v>
      </c>
      <c r="J371" t="s">
        <v>5227</v>
      </c>
      <c r="L371" t="s">
        <v>15</v>
      </c>
      <c r="M371" t="s">
        <v>139</v>
      </c>
      <c r="R371" t="s">
        <v>5222</v>
      </c>
      <c r="W371" t="s">
        <v>5224</v>
      </c>
      <c r="X371" t="s">
        <v>5228</v>
      </c>
      <c r="Y371" t="s">
        <v>5229</v>
      </c>
      <c r="Z371" t="s">
        <v>111</v>
      </c>
      <c r="AA371" t="str">
        <f>"14588-0039"</f>
        <v>14588-0039</v>
      </c>
      <c r="AB371" t="s">
        <v>303</v>
      </c>
      <c r="AC371" t="s">
        <v>113</v>
      </c>
      <c r="AD371" t="s">
        <v>108</v>
      </c>
      <c r="AE371" t="s">
        <v>114</v>
      </c>
      <c r="AF371" t="s">
        <v>142</v>
      </c>
      <c r="AG371" t="s">
        <v>116</v>
      </c>
      <c r="AK371" t="str">
        <f t="shared" si="36"/>
        <v/>
      </c>
      <c r="AL371" t="s">
        <v>5223</v>
      </c>
      <c r="AM371">
        <v>0</v>
      </c>
      <c r="AN371">
        <v>0</v>
      </c>
      <c r="AO371">
        <v>0</v>
      </c>
      <c r="AP371">
        <v>0</v>
      </c>
      <c r="AQ371">
        <v>0</v>
      </c>
      <c r="AR371">
        <v>0</v>
      </c>
      <c r="AS371">
        <v>0</v>
      </c>
      <c r="AT371">
        <v>0</v>
      </c>
      <c r="AU371">
        <v>0</v>
      </c>
      <c r="AV371">
        <v>0</v>
      </c>
      <c r="AW371">
        <v>0</v>
      </c>
      <c r="AX371" s="24" t="str">
        <f t="shared" si="40"/>
        <v/>
      </c>
      <c r="AY371" s="24" t="str">
        <f t="shared" si="40"/>
        <v/>
      </c>
      <c r="AZ371" s="24" t="str">
        <f t="shared" si="41"/>
        <v/>
      </c>
      <c r="BA371" s="24" t="str">
        <f t="shared" si="41"/>
        <v/>
      </c>
      <c r="BB371" s="24" t="str">
        <f t="shared" si="41"/>
        <v/>
      </c>
      <c r="BC371" s="24" t="str">
        <f t="shared" si="41"/>
        <v/>
      </c>
      <c r="BD371" s="24">
        <f t="shared" si="41"/>
        <v>1</v>
      </c>
      <c r="BE371" s="24" t="str">
        <f t="shared" si="41"/>
        <v/>
      </c>
      <c r="BF371" s="24" t="str">
        <f t="shared" si="41"/>
        <v/>
      </c>
      <c r="BG371" s="24" t="str">
        <f t="shared" si="41"/>
        <v/>
      </c>
      <c r="BH371" s="24" t="str">
        <f t="shared" si="37"/>
        <v/>
      </c>
      <c r="BI371" s="24" t="str">
        <f t="shared" si="41"/>
        <v/>
      </c>
      <c r="BJ371" s="24" t="str">
        <f t="shared" si="38"/>
        <v/>
      </c>
    </row>
    <row r="372" spans="1:62" ht="15" customHeight="1" x14ac:dyDescent="0.25">
      <c r="A372" t="str">
        <f>"1841268166"</f>
        <v>1841268166</v>
      </c>
      <c r="B372" t="str">
        <f>"01665618"</f>
        <v>01665618</v>
      </c>
      <c r="C372" t="s">
        <v>5467</v>
      </c>
      <c r="D372" t="s">
        <v>5468</v>
      </c>
      <c r="E372" t="s">
        <v>5469</v>
      </c>
      <c r="G372" t="s">
        <v>5467</v>
      </c>
      <c r="H372" t="s">
        <v>403</v>
      </c>
      <c r="J372" t="s">
        <v>5470</v>
      </c>
      <c r="L372" t="s">
        <v>138</v>
      </c>
      <c r="M372" t="s">
        <v>108</v>
      </c>
      <c r="R372" t="s">
        <v>5469</v>
      </c>
      <c r="W372" t="s">
        <v>5469</v>
      </c>
      <c r="X372" t="s">
        <v>849</v>
      </c>
      <c r="Y372" t="s">
        <v>110</v>
      </c>
      <c r="Z372" t="s">
        <v>111</v>
      </c>
      <c r="AA372" t="str">
        <f>"13903"</f>
        <v>13903</v>
      </c>
      <c r="AB372" t="s">
        <v>123</v>
      </c>
      <c r="AC372" t="s">
        <v>113</v>
      </c>
      <c r="AD372" t="s">
        <v>108</v>
      </c>
      <c r="AE372" t="s">
        <v>114</v>
      </c>
      <c r="AF372" t="s">
        <v>115</v>
      </c>
      <c r="AG372" t="s">
        <v>116</v>
      </c>
      <c r="AK372" t="str">
        <f t="shared" si="36"/>
        <v/>
      </c>
      <c r="AL372" t="s">
        <v>5468</v>
      </c>
      <c r="AM372">
        <v>0</v>
      </c>
      <c r="AN372">
        <v>0</v>
      </c>
      <c r="AO372">
        <v>0</v>
      </c>
      <c r="AP372">
        <v>0</v>
      </c>
      <c r="AQ372">
        <v>0</v>
      </c>
      <c r="AR372">
        <v>0</v>
      </c>
      <c r="AS372">
        <v>0</v>
      </c>
      <c r="AT372">
        <v>0</v>
      </c>
      <c r="AU372">
        <v>0</v>
      </c>
      <c r="AV372">
        <v>0</v>
      </c>
      <c r="AW372">
        <v>0</v>
      </c>
      <c r="AX372" s="24" t="str">
        <f t="shared" si="40"/>
        <v/>
      </c>
      <c r="AY372" s="24">
        <f t="shared" si="40"/>
        <v>1</v>
      </c>
      <c r="AZ372" s="24" t="str">
        <f t="shared" si="41"/>
        <v/>
      </c>
      <c r="BA372" s="24" t="str">
        <f t="shared" si="41"/>
        <v/>
      </c>
      <c r="BB372" s="24" t="str">
        <f t="shared" si="41"/>
        <v/>
      </c>
      <c r="BC372" s="24" t="str">
        <f t="shared" si="41"/>
        <v/>
      </c>
      <c r="BD372" s="24" t="str">
        <f t="shared" si="41"/>
        <v/>
      </c>
      <c r="BE372" s="24" t="str">
        <f t="shared" si="41"/>
        <v/>
      </c>
      <c r="BF372" s="24" t="str">
        <f t="shared" si="41"/>
        <v/>
      </c>
      <c r="BG372" s="24" t="str">
        <f t="shared" si="41"/>
        <v/>
      </c>
      <c r="BH372" s="24" t="str">
        <f t="shared" si="37"/>
        <v/>
      </c>
      <c r="BI372" s="24">
        <f t="shared" si="41"/>
        <v>1</v>
      </c>
      <c r="BJ372" s="24" t="str">
        <f t="shared" si="38"/>
        <v/>
      </c>
    </row>
    <row r="373" spans="1:62" ht="15" customHeight="1" x14ac:dyDescent="0.25">
      <c r="A373" t="str">
        <f>"1699854208"</f>
        <v>1699854208</v>
      </c>
      <c r="B373" t="str">
        <f>"00722803"</f>
        <v>00722803</v>
      </c>
      <c r="C373" t="s">
        <v>3218</v>
      </c>
      <c r="D373" t="s">
        <v>3219</v>
      </c>
      <c r="E373" t="s">
        <v>3220</v>
      </c>
      <c r="G373" t="s">
        <v>3207</v>
      </c>
      <c r="H373" t="s">
        <v>3208</v>
      </c>
      <c r="J373" t="s">
        <v>3221</v>
      </c>
      <c r="L373" t="s">
        <v>138</v>
      </c>
      <c r="M373" t="s">
        <v>108</v>
      </c>
      <c r="R373" t="s">
        <v>3222</v>
      </c>
      <c r="W373" t="s">
        <v>3220</v>
      </c>
      <c r="X373" t="s">
        <v>3223</v>
      </c>
      <c r="Y373" t="s">
        <v>293</v>
      </c>
      <c r="Z373" t="s">
        <v>111</v>
      </c>
      <c r="AA373" t="str">
        <f>"14850-1345"</f>
        <v>14850-1345</v>
      </c>
      <c r="AB373" t="s">
        <v>123</v>
      </c>
      <c r="AC373" t="s">
        <v>113</v>
      </c>
      <c r="AD373" t="s">
        <v>108</v>
      </c>
      <c r="AE373" t="s">
        <v>114</v>
      </c>
      <c r="AF373" t="s">
        <v>142</v>
      </c>
      <c r="AG373" t="s">
        <v>116</v>
      </c>
      <c r="AK373" t="str">
        <f t="shared" si="36"/>
        <v/>
      </c>
      <c r="AL373" t="s">
        <v>3219</v>
      </c>
      <c r="AM373">
        <v>1</v>
      </c>
      <c r="AN373">
        <v>1</v>
      </c>
      <c r="AO373">
        <v>0</v>
      </c>
      <c r="AP373">
        <v>0</v>
      </c>
      <c r="AQ373">
        <v>0</v>
      </c>
      <c r="AR373">
        <v>0</v>
      </c>
      <c r="AS373">
        <v>0</v>
      </c>
      <c r="AT373">
        <v>0</v>
      </c>
      <c r="AU373">
        <v>0</v>
      </c>
      <c r="AV373">
        <v>0</v>
      </c>
      <c r="AW373">
        <v>0</v>
      </c>
      <c r="AX373" s="24" t="str">
        <f t="shared" si="40"/>
        <v/>
      </c>
      <c r="AY373" s="24">
        <f t="shared" si="40"/>
        <v>1</v>
      </c>
      <c r="AZ373" s="24" t="str">
        <f t="shared" si="41"/>
        <v/>
      </c>
      <c r="BA373" s="24" t="str">
        <f t="shared" si="41"/>
        <v/>
      </c>
      <c r="BB373" s="24" t="str">
        <f t="shared" si="41"/>
        <v/>
      </c>
      <c r="BC373" s="24" t="str">
        <f t="shared" si="41"/>
        <v/>
      </c>
      <c r="BD373" s="24" t="str">
        <f t="shared" si="41"/>
        <v/>
      </c>
      <c r="BE373" s="24" t="str">
        <f t="shared" si="41"/>
        <v/>
      </c>
      <c r="BF373" s="24" t="str">
        <f t="shared" si="41"/>
        <v/>
      </c>
      <c r="BG373" s="24" t="str">
        <f t="shared" si="41"/>
        <v/>
      </c>
      <c r="BH373" s="24" t="str">
        <f t="shared" si="37"/>
        <v/>
      </c>
      <c r="BI373" s="24">
        <f t="shared" si="41"/>
        <v>1</v>
      </c>
      <c r="BJ373" s="24" t="str">
        <f t="shared" si="38"/>
        <v/>
      </c>
    </row>
    <row r="374" spans="1:62" ht="15" customHeight="1" x14ac:dyDescent="0.25">
      <c r="A374" t="str">
        <f>"1043412976"</f>
        <v>1043412976</v>
      </c>
      <c r="B374" t="str">
        <f>"03433754"</f>
        <v>03433754</v>
      </c>
      <c r="C374" t="s">
        <v>4537</v>
      </c>
      <c r="D374" t="s">
        <v>4538</v>
      </c>
      <c r="E374" t="s">
        <v>4539</v>
      </c>
      <c r="G374" t="s">
        <v>1488</v>
      </c>
      <c r="H374" t="s">
        <v>787</v>
      </c>
      <c r="J374" t="s">
        <v>1489</v>
      </c>
      <c r="L374" t="s">
        <v>247</v>
      </c>
      <c r="M374" t="s">
        <v>139</v>
      </c>
      <c r="R374" t="s">
        <v>4540</v>
      </c>
      <c r="W374" t="s">
        <v>4537</v>
      </c>
      <c r="X374" t="s">
        <v>4388</v>
      </c>
      <c r="Y374" t="s">
        <v>1492</v>
      </c>
      <c r="Z374" t="s">
        <v>111</v>
      </c>
      <c r="AA374" t="str">
        <f>"13803-3208"</f>
        <v>13803-3208</v>
      </c>
      <c r="AB374" t="s">
        <v>123</v>
      </c>
      <c r="AC374" t="s">
        <v>113</v>
      </c>
      <c r="AD374" t="s">
        <v>108</v>
      </c>
      <c r="AE374" t="s">
        <v>114</v>
      </c>
      <c r="AF374" t="s">
        <v>142</v>
      </c>
      <c r="AG374" t="s">
        <v>116</v>
      </c>
      <c r="AK374" t="str">
        <f t="shared" si="36"/>
        <v/>
      </c>
      <c r="AL374" t="s">
        <v>4538</v>
      </c>
      <c r="AM374">
        <v>0</v>
      </c>
      <c r="AN374">
        <v>0</v>
      </c>
      <c r="AO374">
        <v>0</v>
      </c>
      <c r="AP374">
        <v>0</v>
      </c>
      <c r="AQ374">
        <v>0</v>
      </c>
      <c r="AR374">
        <v>0</v>
      </c>
      <c r="AS374">
        <v>0</v>
      </c>
      <c r="AT374">
        <v>0</v>
      </c>
      <c r="AU374">
        <v>0</v>
      </c>
      <c r="AV374">
        <v>0</v>
      </c>
      <c r="AW374">
        <v>0</v>
      </c>
      <c r="AX374" s="24" t="str">
        <f t="shared" si="40"/>
        <v/>
      </c>
      <c r="AY374" s="24">
        <f t="shared" si="40"/>
        <v>1</v>
      </c>
      <c r="AZ374" s="24" t="str">
        <f t="shared" si="41"/>
        <v/>
      </c>
      <c r="BA374" s="24" t="str">
        <f t="shared" si="41"/>
        <v/>
      </c>
      <c r="BB374" s="24" t="str">
        <f t="shared" si="41"/>
        <v/>
      </c>
      <c r="BC374" s="24" t="str">
        <f t="shared" si="41"/>
        <v/>
      </c>
      <c r="BD374" s="24" t="str">
        <f t="shared" si="41"/>
        <v/>
      </c>
      <c r="BE374" s="24" t="str">
        <f t="shared" si="41"/>
        <v/>
      </c>
      <c r="BF374" s="24" t="str">
        <f t="shared" si="41"/>
        <v/>
      </c>
      <c r="BG374" s="24" t="str">
        <f t="shared" si="41"/>
        <v/>
      </c>
      <c r="BH374" s="24" t="str">
        <f t="shared" si="37"/>
        <v/>
      </c>
      <c r="BI374" s="24" t="str">
        <f t="shared" si="41"/>
        <v/>
      </c>
      <c r="BJ374" s="24" t="str">
        <f t="shared" si="38"/>
        <v/>
      </c>
    </row>
    <row r="375" spans="1:62" ht="15" customHeight="1" x14ac:dyDescent="0.25">
      <c r="A375" t="str">
        <f>"1275786618"</f>
        <v>1275786618</v>
      </c>
      <c r="B375" t="str">
        <f>"03062613"</f>
        <v>03062613</v>
      </c>
      <c r="C375" t="s">
        <v>4130</v>
      </c>
      <c r="D375" t="s">
        <v>4131</v>
      </c>
      <c r="E375" t="s">
        <v>4132</v>
      </c>
      <c r="L375" t="s">
        <v>138</v>
      </c>
      <c r="M375" t="s">
        <v>108</v>
      </c>
      <c r="R375" t="s">
        <v>4130</v>
      </c>
      <c r="W375" t="s">
        <v>4133</v>
      </c>
      <c r="X375" t="s">
        <v>4134</v>
      </c>
      <c r="Y375" t="s">
        <v>129</v>
      </c>
      <c r="Z375" t="s">
        <v>111</v>
      </c>
      <c r="AA375" t="str">
        <f>"13790-2732"</f>
        <v>13790-2732</v>
      </c>
      <c r="AB375" t="s">
        <v>123</v>
      </c>
      <c r="AC375" t="s">
        <v>113</v>
      </c>
      <c r="AD375" t="s">
        <v>108</v>
      </c>
      <c r="AE375" t="s">
        <v>114</v>
      </c>
      <c r="AF375" t="s">
        <v>115</v>
      </c>
      <c r="AG375" t="s">
        <v>116</v>
      </c>
      <c r="AK375" t="str">
        <f t="shared" si="36"/>
        <v/>
      </c>
      <c r="AL375" t="s">
        <v>4131</v>
      </c>
      <c r="AM375">
        <v>0</v>
      </c>
      <c r="AN375">
        <v>0</v>
      </c>
      <c r="AO375">
        <v>0</v>
      </c>
      <c r="AP375">
        <v>0</v>
      </c>
      <c r="AQ375">
        <v>0</v>
      </c>
      <c r="AR375">
        <v>0</v>
      </c>
      <c r="AS375">
        <v>0</v>
      </c>
      <c r="AT375">
        <v>0</v>
      </c>
      <c r="AU375">
        <v>0</v>
      </c>
      <c r="AV375">
        <v>0</v>
      </c>
      <c r="AW375">
        <v>0</v>
      </c>
      <c r="AX375" s="24" t="str">
        <f t="shared" si="40"/>
        <v/>
      </c>
      <c r="AY375" s="24">
        <f t="shared" si="40"/>
        <v>1</v>
      </c>
      <c r="AZ375" s="24" t="str">
        <f t="shared" si="41"/>
        <v/>
      </c>
      <c r="BA375" s="24" t="str">
        <f t="shared" si="41"/>
        <v/>
      </c>
      <c r="BB375" s="24" t="str">
        <f t="shared" si="41"/>
        <v/>
      </c>
      <c r="BC375" s="24" t="str">
        <f t="shared" si="41"/>
        <v/>
      </c>
      <c r="BD375" s="24" t="str">
        <f t="shared" si="41"/>
        <v/>
      </c>
      <c r="BE375" s="24" t="str">
        <f t="shared" si="41"/>
        <v/>
      </c>
      <c r="BF375" s="24" t="str">
        <f t="shared" si="41"/>
        <v/>
      </c>
      <c r="BG375" s="24" t="str">
        <f t="shared" si="41"/>
        <v/>
      </c>
      <c r="BH375" s="24" t="str">
        <f t="shared" si="37"/>
        <v/>
      </c>
      <c r="BI375" s="24">
        <f t="shared" si="41"/>
        <v>1</v>
      </c>
      <c r="BJ375" s="24" t="str">
        <f t="shared" si="38"/>
        <v/>
      </c>
    </row>
    <row r="376" spans="1:62" ht="15" customHeight="1" x14ac:dyDescent="0.25">
      <c r="A376" t="str">
        <f>"1619947660"</f>
        <v>1619947660</v>
      </c>
      <c r="B376" t="str">
        <f>"00781517"</f>
        <v>00781517</v>
      </c>
      <c r="C376" t="s">
        <v>3093</v>
      </c>
      <c r="D376" t="s">
        <v>3094</v>
      </c>
      <c r="E376" t="s">
        <v>3095</v>
      </c>
      <c r="G376" t="s">
        <v>3096</v>
      </c>
      <c r="H376" t="s">
        <v>3097</v>
      </c>
      <c r="J376" t="s">
        <v>3098</v>
      </c>
      <c r="L376" t="s">
        <v>138</v>
      </c>
      <c r="M376" t="s">
        <v>108</v>
      </c>
      <c r="R376" t="s">
        <v>3099</v>
      </c>
      <c r="W376" t="s">
        <v>3095</v>
      </c>
      <c r="X376" t="s">
        <v>3100</v>
      </c>
      <c r="Y376" t="s">
        <v>293</v>
      </c>
      <c r="Z376" t="s">
        <v>111</v>
      </c>
      <c r="AA376" t="str">
        <f>"14850-1383"</f>
        <v>14850-1383</v>
      </c>
      <c r="AB376" t="s">
        <v>123</v>
      </c>
      <c r="AC376" t="s">
        <v>113</v>
      </c>
      <c r="AD376" t="s">
        <v>108</v>
      </c>
      <c r="AE376" t="s">
        <v>114</v>
      </c>
      <c r="AF376" t="s">
        <v>142</v>
      </c>
      <c r="AG376" t="s">
        <v>116</v>
      </c>
      <c r="AK376" t="str">
        <f t="shared" si="36"/>
        <v/>
      </c>
      <c r="AL376" t="s">
        <v>3094</v>
      </c>
      <c r="AM376">
        <v>1</v>
      </c>
      <c r="AN376">
        <v>1</v>
      </c>
      <c r="AO376">
        <v>0</v>
      </c>
      <c r="AP376">
        <v>0</v>
      </c>
      <c r="AQ376">
        <v>0</v>
      </c>
      <c r="AR376">
        <v>0</v>
      </c>
      <c r="AS376">
        <v>0</v>
      </c>
      <c r="AT376">
        <v>0</v>
      </c>
      <c r="AU376">
        <v>0</v>
      </c>
      <c r="AV376">
        <v>0</v>
      </c>
      <c r="AW376">
        <v>0</v>
      </c>
      <c r="AX376" s="24" t="str">
        <f t="shared" si="40"/>
        <v/>
      </c>
      <c r="AY376" s="24">
        <f t="shared" si="40"/>
        <v>1</v>
      </c>
      <c r="AZ376" s="24" t="str">
        <f t="shared" si="41"/>
        <v/>
      </c>
      <c r="BA376" s="24" t="str">
        <f t="shared" si="41"/>
        <v/>
      </c>
      <c r="BB376" s="24" t="str">
        <f t="shared" si="41"/>
        <v/>
      </c>
      <c r="BC376" s="24" t="str">
        <f t="shared" si="41"/>
        <v/>
      </c>
      <c r="BD376" s="24" t="str">
        <f t="shared" si="41"/>
        <v/>
      </c>
      <c r="BE376" s="24" t="str">
        <f t="shared" si="41"/>
        <v/>
      </c>
      <c r="BF376" s="24" t="str">
        <f t="shared" si="41"/>
        <v/>
      </c>
      <c r="BG376" s="24" t="str">
        <f t="shared" si="41"/>
        <v/>
      </c>
      <c r="BH376" s="24" t="str">
        <f t="shared" si="37"/>
        <v/>
      </c>
      <c r="BI376" s="24">
        <f t="shared" si="41"/>
        <v>1</v>
      </c>
      <c r="BJ376" s="24" t="str">
        <f t="shared" si="38"/>
        <v/>
      </c>
    </row>
    <row r="377" spans="1:62" ht="15" customHeight="1" x14ac:dyDescent="0.25">
      <c r="A377" t="str">
        <f>"1518102243"</f>
        <v>1518102243</v>
      </c>
      <c r="B377" t="str">
        <f>"03423916"</f>
        <v>03423916</v>
      </c>
      <c r="C377" t="s">
        <v>2409</v>
      </c>
      <c r="D377" t="s">
        <v>2410</v>
      </c>
      <c r="E377" t="s">
        <v>2411</v>
      </c>
      <c r="G377" t="s">
        <v>2412</v>
      </c>
      <c r="H377" t="s">
        <v>2413</v>
      </c>
      <c r="I377">
        <v>2359</v>
      </c>
      <c r="J377" t="s">
        <v>2414</v>
      </c>
      <c r="L377" t="s">
        <v>138</v>
      </c>
      <c r="M377" t="s">
        <v>108</v>
      </c>
      <c r="R377" t="s">
        <v>2415</v>
      </c>
      <c r="W377" t="s">
        <v>2411</v>
      </c>
      <c r="X377" t="s">
        <v>2416</v>
      </c>
      <c r="Y377" t="s">
        <v>1718</v>
      </c>
      <c r="Z377" t="s">
        <v>111</v>
      </c>
      <c r="AA377" t="str">
        <f>"14521-9701"</f>
        <v>14521-9701</v>
      </c>
      <c r="AB377" t="s">
        <v>123</v>
      </c>
      <c r="AC377" t="s">
        <v>113</v>
      </c>
      <c r="AD377" t="s">
        <v>108</v>
      </c>
      <c r="AE377" t="s">
        <v>114</v>
      </c>
      <c r="AF377" t="s">
        <v>142</v>
      </c>
      <c r="AG377" t="s">
        <v>116</v>
      </c>
      <c r="AK377" t="str">
        <f t="shared" si="36"/>
        <v/>
      </c>
      <c r="AL377" t="s">
        <v>2410</v>
      </c>
      <c r="AM377">
        <v>1</v>
      </c>
      <c r="AN377">
        <v>1</v>
      </c>
      <c r="AO377">
        <v>0</v>
      </c>
      <c r="AP377">
        <v>0</v>
      </c>
      <c r="AQ377">
        <v>0</v>
      </c>
      <c r="AR377">
        <v>0</v>
      </c>
      <c r="AS377">
        <v>0</v>
      </c>
      <c r="AT377">
        <v>0</v>
      </c>
      <c r="AU377">
        <v>0</v>
      </c>
      <c r="AV377">
        <v>0</v>
      </c>
      <c r="AW377">
        <v>0</v>
      </c>
      <c r="AX377" s="24" t="str">
        <f t="shared" si="40"/>
        <v/>
      </c>
      <c r="AY377" s="24">
        <f t="shared" si="40"/>
        <v>1</v>
      </c>
      <c r="AZ377" s="24" t="str">
        <f t="shared" si="41"/>
        <v/>
      </c>
      <c r="BA377" s="24" t="str">
        <f t="shared" si="41"/>
        <v/>
      </c>
      <c r="BB377" s="24" t="str">
        <f t="shared" si="41"/>
        <v/>
      </c>
      <c r="BC377" s="24" t="str">
        <f t="shared" si="41"/>
        <v/>
      </c>
      <c r="BD377" s="24" t="str">
        <f t="shared" si="41"/>
        <v/>
      </c>
      <c r="BE377" s="24" t="str">
        <f t="shared" si="41"/>
        <v/>
      </c>
      <c r="BF377" s="24" t="str">
        <f t="shared" si="41"/>
        <v/>
      </c>
      <c r="BG377" s="24" t="str">
        <f t="shared" si="41"/>
        <v/>
      </c>
      <c r="BH377" s="24" t="str">
        <f t="shared" si="37"/>
        <v/>
      </c>
      <c r="BI377" s="24">
        <f t="shared" si="41"/>
        <v>1</v>
      </c>
      <c r="BJ377" s="24" t="str">
        <f t="shared" si="38"/>
        <v/>
      </c>
    </row>
    <row r="378" spans="1:62" ht="15" customHeight="1" x14ac:dyDescent="0.25">
      <c r="A378" t="str">
        <f>"1942201496"</f>
        <v>1942201496</v>
      </c>
      <c r="B378" t="str">
        <f>"00966376"</f>
        <v>00966376</v>
      </c>
      <c r="C378" t="s">
        <v>3708</v>
      </c>
      <c r="D378" t="s">
        <v>3709</v>
      </c>
      <c r="E378" t="s">
        <v>3710</v>
      </c>
      <c r="G378" t="s">
        <v>3708</v>
      </c>
      <c r="H378" t="s">
        <v>3687</v>
      </c>
      <c r="J378" t="s">
        <v>3711</v>
      </c>
      <c r="L378" t="s">
        <v>120</v>
      </c>
      <c r="M378" t="s">
        <v>108</v>
      </c>
      <c r="R378" t="s">
        <v>3712</v>
      </c>
      <c r="W378" t="s">
        <v>3713</v>
      </c>
      <c r="Y378" t="s">
        <v>129</v>
      </c>
      <c r="Z378" t="s">
        <v>111</v>
      </c>
      <c r="AA378" t="str">
        <f>"13790-2597"</f>
        <v>13790-2597</v>
      </c>
      <c r="AB378" t="s">
        <v>123</v>
      </c>
      <c r="AC378" t="s">
        <v>113</v>
      </c>
      <c r="AD378" t="s">
        <v>108</v>
      </c>
      <c r="AE378" t="s">
        <v>114</v>
      </c>
      <c r="AF378" t="s">
        <v>115</v>
      </c>
      <c r="AG378" t="s">
        <v>116</v>
      </c>
      <c r="AK378" t="str">
        <f t="shared" si="36"/>
        <v/>
      </c>
      <c r="AL378" t="s">
        <v>3709</v>
      </c>
      <c r="AM378">
        <v>0</v>
      </c>
      <c r="AN378">
        <v>0</v>
      </c>
      <c r="AO378">
        <v>0</v>
      </c>
      <c r="AP378">
        <v>0</v>
      </c>
      <c r="AQ378">
        <v>0</v>
      </c>
      <c r="AR378">
        <v>0</v>
      </c>
      <c r="AS378">
        <v>0</v>
      </c>
      <c r="AT378">
        <v>0</v>
      </c>
      <c r="AU378">
        <v>0</v>
      </c>
      <c r="AV378">
        <v>0</v>
      </c>
      <c r="AW378">
        <v>0</v>
      </c>
      <c r="AX378" s="24">
        <f t="shared" si="40"/>
        <v>1</v>
      </c>
      <c r="AY378" s="24" t="str">
        <f t="shared" si="40"/>
        <v/>
      </c>
      <c r="AZ378" s="24" t="str">
        <f t="shared" si="41"/>
        <v/>
      </c>
      <c r="BA378" s="24" t="str">
        <f t="shared" si="41"/>
        <v/>
      </c>
      <c r="BB378" s="24" t="str">
        <f t="shared" si="41"/>
        <v/>
      </c>
      <c r="BC378" s="24" t="str">
        <f t="shared" si="41"/>
        <v/>
      </c>
      <c r="BD378" s="24" t="str">
        <f t="shared" si="41"/>
        <v/>
      </c>
      <c r="BE378" s="24" t="str">
        <f t="shared" si="41"/>
        <v/>
      </c>
      <c r="BF378" s="24" t="str">
        <f t="shared" si="41"/>
        <v/>
      </c>
      <c r="BG378" s="24" t="str">
        <f t="shared" si="41"/>
        <v/>
      </c>
      <c r="BH378" s="24" t="str">
        <f t="shared" si="37"/>
        <v/>
      </c>
      <c r="BI378" s="24">
        <f t="shared" si="41"/>
        <v>1</v>
      </c>
      <c r="BJ378" s="24" t="str">
        <f t="shared" si="38"/>
        <v/>
      </c>
    </row>
    <row r="379" spans="1:62" ht="15" customHeight="1" x14ac:dyDescent="0.25">
      <c r="A379" t="str">
        <f>"1336554997"</f>
        <v>1336554997</v>
      </c>
      <c r="B379" t="str">
        <f>"03951315"</f>
        <v>03951315</v>
      </c>
      <c r="C379" t="s">
        <v>3772</v>
      </c>
      <c r="D379" t="s">
        <v>3773</v>
      </c>
      <c r="E379" t="s">
        <v>3774</v>
      </c>
      <c r="G379" t="s">
        <v>3749</v>
      </c>
      <c r="H379" t="s">
        <v>3750</v>
      </c>
      <c r="J379" t="s">
        <v>3751</v>
      </c>
      <c r="L379" t="s">
        <v>120</v>
      </c>
      <c r="M379" t="s">
        <v>139</v>
      </c>
      <c r="R379" t="s">
        <v>3775</v>
      </c>
      <c r="W379" t="s">
        <v>3776</v>
      </c>
      <c r="X379" t="s">
        <v>3777</v>
      </c>
      <c r="Y379" t="s">
        <v>3107</v>
      </c>
      <c r="Z379" t="s">
        <v>111</v>
      </c>
      <c r="AA379" t="str">
        <f>"13088-3807"</f>
        <v>13088-3807</v>
      </c>
      <c r="AB379" t="s">
        <v>123</v>
      </c>
      <c r="AC379" t="s">
        <v>113</v>
      </c>
      <c r="AD379" t="s">
        <v>108</v>
      </c>
      <c r="AE379" t="s">
        <v>114</v>
      </c>
      <c r="AF379" t="s">
        <v>142</v>
      </c>
      <c r="AG379" t="s">
        <v>116</v>
      </c>
      <c r="AK379" t="str">
        <f t="shared" si="36"/>
        <v/>
      </c>
      <c r="AL379" t="s">
        <v>3773</v>
      </c>
      <c r="AM379">
        <v>0</v>
      </c>
      <c r="AN379">
        <v>0</v>
      </c>
      <c r="AO379">
        <v>0</v>
      </c>
      <c r="AP379">
        <v>0</v>
      </c>
      <c r="AQ379">
        <v>0</v>
      </c>
      <c r="AR379">
        <v>0</v>
      </c>
      <c r="AS379">
        <v>0</v>
      </c>
      <c r="AT379">
        <v>0</v>
      </c>
      <c r="AU379">
        <v>0</v>
      </c>
      <c r="AV379">
        <v>0</v>
      </c>
      <c r="AW379">
        <v>0</v>
      </c>
      <c r="AX379" s="24">
        <f t="shared" si="40"/>
        <v>1</v>
      </c>
      <c r="AY379" s="24" t="str">
        <f t="shared" si="40"/>
        <v/>
      </c>
      <c r="AZ379" s="24" t="str">
        <f t="shared" si="41"/>
        <v/>
      </c>
      <c r="BA379" s="24" t="str">
        <f t="shared" si="41"/>
        <v/>
      </c>
      <c r="BB379" s="24" t="str">
        <f t="shared" si="41"/>
        <v/>
      </c>
      <c r="BC379" s="24" t="str">
        <f t="shared" si="41"/>
        <v/>
      </c>
      <c r="BD379" s="24" t="str">
        <f t="shared" si="41"/>
        <v/>
      </c>
      <c r="BE379" s="24" t="str">
        <f t="shared" si="41"/>
        <v/>
      </c>
      <c r="BF379" s="24" t="str">
        <f t="shared" si="41"/>
        <v/>
      </c>
      <c r="BG379" s="24" t="str">
        <f t="shared" si="41"/>
        <v/>
      </c>
      <c r="BH379" s="24" t="str">
        <f t="shared" si="37"/>
        <v/>
      </c>
      <c r="BI379" s="24">
        <f t="shared" si="41"/>
        <v>1</v>
      </c>
      <c r="BJ379" s="24" t="str">
        <f t="shared" si="38"/>
        <v/>
      </c>
    </row>
    <row r="380" spans="1:62" ht="15" customHeight="1" x14ac:dyDescent="0.25">
      <c r="A380" t="str">
        <f>"1497740195"</f>
        <v>1497740195</v>
      </c>
      <c r="B380" t="str">
        <f>"01261256"</f>
        <v>01261256</v>
      </c>
      <c r="C380" t="s">
        <v>803</v>
      </c>
      <c r="D380" t="s">
        <v>804</v>
      </c>
      <c r="E380" t="s">
        <v>805</v>
      </c>
      <c r="L380" t="s">
        <v>247</v>
      </c>
      <c r="M380" t="s">
        <v>108</v>
      </c>
      <c r="R380" t="s">
        <v>803</v>
      </c>
      <c r="W380" t="s">
        <v>805</v>
      </c>
      <c r="X380" t="s">
        <v>121</v>
      </c>
      <c r="Y380" t="s">
        <v>122</v>
      </c>
      <c r="Z380" t="s">
        <v>111</v>
      </c>
      <c r="AA380" t="str">
        <f>"13815-1019"</f>
        <v>13815-1019</v>
      </c>
      <c r="AB380" t="s">
        <v>123</v>
      </c>
      <c r="AC380" t="s">
        <v>113</v>
      </c>
      <c r="AD380" t="s">
        <v>108</v>
      </c>
      <c r="AE380" t="s">
        <v>114</v>
      </c>
      <c r="AF380" t="s">
        <v>124</v>
      </c>
      <c r="AG380" t="s">
        <v>116</v>
      </c>
      <c r="AK380" t="str">
        <f t="shared" si="36"/>
        <v/>
      </c>
      <c r="AL380" t="s">
        <v>804</v>
      </c>
      <c r="AM380">
        <v>0</v>
      </c>
      <c r="AN380">
        <v>0</v>
      </c>
      <c r="AO380">
        <v>0</v>
      </c>
      <c r="AP380">
        <v>0</v>
      </c>
      <c r="AQ380">
        <v>0</v>
      </c>
      <c r="AR380">
        <v>0</v>
      </c>
      <c r="AS380">
        <v>0</v>
      </c>
      <c r="AT380">
        <v>0</v>
      </c>
      <c r="AU380">
        <v>0</v>
      </c>
      <c r="AV380">
        <v>0</v>
      </c>
      <c r="AW380">
        <v>0</v>
      </c>
      <c r="AX380" s="24" t="str">
        <f t="shared" si="40"/>
        <v/>
      </c>
      <c r="AY380" s="24">
        <f t="shared" si="40"/>
        <v>1</v>
      </c>
      <c r="AZ380" s="24" t="str">
        <f t="shared" si="41"/>
        <v/>
      </c>
      <c r="BA380" s="24" t="str">
        <f t="shared" si="41"/>
        <v/>
      </c>
      <c r="BB380" s="24" t="str">
        <f t="shared" si="41"/>
        <v/>
      </c>
      <c r="BC380" s="24" t="str">
        <f t="shared" si="41"/>
        <v/>
      </c>
      <c r="BD380" s="24" t="str">
        <f t="shared" si="41"/>
        <v/>
      </c>
      <c r="BE380" s="24" t="str">
        <f t="shared" si="41"/>
        <v/>
      </c>
      <c r="BF380" s="24" t="str">
        <f t="shared" si="41"/>
        <v/>
      </c>
      <c r="BG380" s="24" t="str">
        <f t="shared" si="41"/>
        <v/>
      </c>
      <c r="BH380" s="24" t="str">
        <f t="shared" si="37"/>
        <v/>
      </c>
      <c r="BI380" s="24" t="str">
        <f t="shared" si="41"/>
        <v/>
      </c>
      <c r="BJ380" s="24" t="str">
        <f t="shared" si="38"/>
        <v/>
      </c>
    </row>
    <row r="381" spans="1:62" ht="15" customHeight="1" x14ac:dyDescent="0.25">
      <c r="A381" t="str">
        <f>"1164497004"</f>
        <v>1164497004</v>
      </c>
      <c r="B381" t="str">
        <f>"02090417"</f>
        <v>02090417</v>
      </c>
      <c r="C381" t="s">
        <v>3999</v>
      </c>
      <c r="D381" t="s">
        <v>4000</v>
      </c>
      <c r="E381" t="s">
        <v>4001</v>
      </c>
      <c r="G381" t="s">
        <v>699</v>
      </c>
      <c r="H381" t="s">
        <v>700</v>
      </c>
      <c r="J381" t="s">
        <v>701</v>
      </c>
      <c r="L381" t="s">
        <v>120</v>
      </c>
      <c r="M381" t="s">
        <v>108</v>
      </c>
      <c r="R381" t="s">
        <v>4002</v>
      </c>
      <c r="W381" t="s">
        <v>4001</v>
      </c>
      <c r="Y381" t="s">
        <v>3992</v>
      </c>
      <c r="Z381" t="s">
        <v>182</v>
      </c>
      <c r="AA381" t="str">
        <f>"16901-1136"</f>
        <v>16901-1136</v>
      </c>
      <c r="AB381" t="s">
        <v>123</v>
      </c>
      <c r="AC381" t="s">
        <v>113</v>
      </c>
      <c r="AD381" t="s">
        <v>108</v>
      </c>
      <c r="AE381" t="s">
        <v>114</v>
      </c>
      <c r="AF381" t="s">
        <v>149</v>
      </c>
      <c r="AG381" t="s">
        <v>116</v>
      </c>
      <c r="AK381" t="str">
        <f t="shared" si="36"/>
        <v/>
      </c>
      <c r="AL381" t="s">
        <v>4000</v>
      </c>
      <c r="AM381">
        <v>1</v>
      </c>
      <c r="AN381">
        <v>1</v>
      </c>
      <c r="AO381">
        <v>0</v>
      </c>
      <c r="AP381">
        <v>0</v>
      </c>
      <c r="AQ381">
        <v>0</v>
      </c>
      <c r="AR381">
        <v>0</v>
      </c>
      <c r="AS381">
        <v>0</v>
      </c>
      <c r="AT381">
        <v>1</v>
      </c>
      <c r="AU381">
        <v>1</v>
      </c>
      <c r="AV381">
        <v>1</v>
      </c>
      <c r="AW381">
        <v>0</v>
      </c>
      <c r="AX381" s="24">
        <f t="shared" si="40"/>
        <v>1</v>
      </c>
      <c r="AY381" s="24" t="str">
        <f t="shared" si="40"/>
        <v/>
      </c>
      <c r="AZ381" s="24" t="str">
        <f t="shared" si="41"/>
        <v/>
      </c>
      <c r="BA381" s="24" t="str">
        <f t="shared" si="41"/>
        <v/>
      </c>
      <c r="BB381" s="24" t="str">
        <f t="shared" si="41"/>
        <v/>
      </c>
      <c r="BC381" s="24" t="str">
        <f t="shared" si="41"/>
        <v/>
      </c>
      <c r="BD381" s="24" t="str">
        <f t="shared" si="41"/>
        <v/>
      </c>
      <c r="BE381" s="24" t="str">
        <f t="shared" si="41"/>
        <v/>
      </c>
      <c r="BF381" s="24" t="str">
        <f t="shared" si="41"/>
        <v/>
      </c>
      <c r="BG381" s="24" t="str">
        <f t="shared" si="41"/>
        <v/>
      </c>
      <c r="BH381" s="24" t="str">
        <f t="shared" si="37"/>
        <v/>
      </c>
      <c r="BI381" s="24">
        <f t="shared" si="41"/>
        <v>1</v>
      </c>
      <c r="BJ381" s="24" t="str">
        <f t="shared" si="38"/>
        <v/>
      </c>
    </row>
    <row r="382" spans="1:62" ht="15" customHeight="1" x14ac:dyDescent="0.25">
      <c r="A382" t="str">
        <f>"1427129543"</f>
        <v>1427129543</v>
      </c>
      <c r="B382" t="str">
        <f>"03458362"</f>
        <v>03458362</v>
      </c>
      <c r="C382" t="s">
        <v>5264</v>
      </c>
      <c r="D382" t="s">
        <v>5265</v>
      </c>
      <c r="E382" t="s">
        <v>5266</v>
      </c>
      <c r="G382" t="s">
        <v>2755</v>
      </c>
      <c r="H382" t="s">
        <v>5267</v>
      </c>
      <c r="J382" t="s">
        <v>5268</v>
      </c>
      <c r="L382" t="s">
        <v>138</v>
      </c>
      <c r="M382" t="s">
        <v>108</v>
      </c>
      <c r="R382" t="s">
        <v>5269</v>
      </c>
      <c r="W382" t="s">
        <v>5266</v>
      </c>
      <c r="X382" t="s">
        <v>2759</v>
      </c>
      <c r="Y382" t="s">
        <v>293</v>
      </c>
      <c r="Z382" t="s">
        <v>111</v>
      </c>
      <c r="AA382" t="str">
        <f>"14850-1863"</f>
        <v>14850-1863</v>
      </c>
      <c r="AB382" t="s">
        <v>123</v>
      </c>
      <c r="AC382" t="s">
        <v>113</v>
      </c>
      <c r="AD382" t="s">
        <v>108</v>
      </c>
      <c r="AE382" t="s">
        <v>114</v>
      </c>
      <c r="AF382" t="s">
        <v>142</v>
      </c>
      <c r="AG382" t="s">
        <v>116</v>
      </c>
      <c r="AK382" t="str">
        <f t="shared" si="36"/>
        <v/>
      </c>
      <c r="AL382" t="s">
        <v>5265</v>
      </c>
      <c r="AM382">
        <v>1</v>
      </c>
      <c r="AN382">
        <v>1</v>
      </c>
      <c r="AO382">
        <v>0</v>
      </c>
      <c r="AP382">
        <v>0</v>
      </c>
      <c r="AQ382">
        <v>0</v>
      </c>
      <c r="AR382">
        <v>0</v>
      </c>
      <c r="AS382">
        <v>0</v>
      </c>
      <c r="AT382">
        <v>0</v>
      </c>
      <c r="AU382">
        <v>0</v>
      </c>
      <c r="AV382">
        <v>0</v>
      </c>
      <c r="AW382">
        <v>0</v>
      </c>
      <c r="AX382" s="24" t="str">
        <f t="shared" si="40"/>
        <v/>
      </c>
      <c r="AY382" s="24">
        <f t="shared" si="40"/>
        <v>1</v>
      </c>
      <c r="AZ382" s="24" t="str">
        <f t="shared" si="41"/>
        <v/>
      </c>
      <c r="BA382" s="24" t="str">
        <f t="shared" si="41"/>
        <v/>
      </c>
      <c r="BB382" s="24" t="str">
        <f t="shared" si="41"/>
        <v/>
      </c>
      <c r="BC382" s="24" t="str">
        <f t="shared" si="41"/>
        <v/>
      </c>
      <c r="BD382" s="24" t="str">
        <f t="shared" si="41"/>
        <v/>
      </c>
      <c r="BE382" s="24" t="str">
        <f t="shared" si="41"/>
        <v/>
      </c>
      <c r="BF382" s="24" t="str">
        <f t="shared" si="41"/>
        <v/>
      </c>
      <c r="BG382" s="24" t="str">
        <f t="shared" si="41"/>
        <v/>
      </c>
      <c r="BH382" s="24" t="str">
        <f t="shared" si="37"/>
        <v/>
      </c>
      <c r="BI382" s="24">
        <f t="shared" si="41"/>
        <v>1</v>
      </c>
      <c r="BJ382" s="24" t="str">
        <f t="shared" si="38"/>
        <v/>
      </c>
    </row>
    <row r="383" spans="1:62" ht="15" customHeight="1" x14ac:dyDescent="0.25">
      <c r="A383" t="str">
        <f>"1366436420"</f>
        <v>1366436420</v>
      </c>
      <c r="B383" t="str">
        <f>"03332221"</f>
        <v>03332221</v>
      </c>
      <c r="C383" t="s">
        <v>5414</v>
      </c>
      <c r="D383" t="s">
        <v>5415</v>
      </c>
      <c r="E383" t="s">
        <v>5416</v>
      </c>
      <c r="G383" t="s">
        <v>5414</v>
      </c>
      <c r="H383" t="s">
        <v>5417</v>
      </c>
      <c r="J383" t="s">
        <v>5418</v>
      </c>
      <c r="L383" t="s">
        <v>247</v>
      </c>
      <c r="M383" t="s">
        <v>108</v>
      </c>
      <c r="R383" t="s">
        <v>5419</v>
      </c>
      <c r="W383" t="s">
        <v>5420</v>
      </c>
      <c r="X383" t="s">
        <v>412</v>
      </c>
      <c r="Y383" t="s">
        <v>110</v>
      </c>
      <c r="Z383" t="s">
        <v>111</v>
      </c>
      <c r="AA383" t="str">
        <f>"13903-1651"</f>
        <v>13903-1651</v>
      </c>
      <c r="AB383" t="s">
        <v>5421</v>
      </c>
      <c r="AC383" t="s">
        <v>113</v>
      </c>
      <c r="AD383" t="s">
        <v>108</v>
      </c>
      <c r="AE383" t="s">
        <v>114</v>
      </c>
      <c r="AF383" t="s">
        <v>115</v>
      </c>
      <c r="AG383" t="s">
        <v>116</v>
      </c>
      <c r="AK383" t="str">
        <f t="shared" si="36"/>
        <v/>
      </c>
      <c r="AL383" t="s">
        <v>5415</v>
      </c>
      <c r="AM383">
        <v>0</v>
      </c>
      <c r="AN383">
        <v>0</v>
      </c>
      <c r="AO383">
        <v>0</v>
      </c>
      <c r="AP383">
        <v>0</v>
      </c>
      <c r="AQ383">
        <v>0</v>
      </c>
      <c r="AR383">
        <v>0</v>
      </c>
      <c r="AS383">
        <v>0</v>
      </c>
      <c r="AT383">
        <v>0</v>
      </c>
      <c r="AU383">
        <v>0</v>
      </c>
      <c r="AV383">
        <v>0</v>
      </c>
      <c r="AW383">
        <v>0</v>
      </c>
      <c r="AX383" s="24" t="str">
        <f t="shared" si="40"/>
        <v/>
      </c>
      <c r="AY383" s="24">
        <f t="shared" si="40"/>
        <v>1</v>
      </c>
      <c r="AZ383" s="24" t="str">
        <f t="shared" si="41"/>
        <v/>
      </c>
      <c r="BA383" s="24" t="str">
        <f t="shared" si="41"/>
        <v/>
      </c>
      <c r="BB383" s="24" t="str">
        <f t="shared" si="41"/>
        <v/>
      </c>
      <c r="BC383" s="24" t="str">
        <f t="shared" si="41"/>
        <v/>
      </c>
      <c r="BD383" s="24" t="str">
        <f t="shared" si="41"/>
        <v/>
      </c>
      <c r="BE383" s="24" t="str">
        <f t="shared" si="41"/>
        <v/>
      </c>
      <c r="BF383" s="24" t="str">
        <f t="shared" si="41"/>
        <v/>
      </c>
      <c r="BG383" s="24" t="str">
        <f t="shared" si="41"/>
        <v/>
      </c>
      <c r="BH383" s="24" t="str">
        <f t="shared" si="37"/>
        <v/>
      </c>
      <c r="BI383" s="24" t="str">
        <f t="shared" si="41"/>
        <v/>
      </c>
      <c r="BJ383" s="24" t="str">
        <f t="shared" si="38"/>
        <v/>
      </c>
    </row>
    <row r="384" spans="1:62" ht="15" customHeight="1" x14ac:dyDescent="0.25">
      <c r="A384" t="str">
        <f>"1043209885"</f>
        <v>1043209885</v>
      </c>
      <c r="B384" t="str">
        <f>"03486702"</f>
        <v>03486702</v>
      </c>
      <c r="C384" t="s">
        <v>1692</v>
      </c>
      <c r="D384" t="s">
        <v>1693</v>
      </c>
      <c r="E384" t="s">
        <v>1694</v>
      </c>
      <c r="G384" t="s">
        <v>1682</v>
      </c>
      <c r="H384" t="s">
        <v>1683</v>
      </c>
      <c r="J384" t="s">
        <v>1695</v>
      </c>
      <c r="L384" t="s">
        <v>6867</v>
      </c>
      <c r="M384" t="s">
        <v>139</v>
      </c>
      <c r="R384" t="s">
        <v>1696</v>
      </c>
      <c r="W384" t="s">
        <v>1694</v>
      </c>
      <c r="X384" t="s">
        <v>1697</v>
      </c>
      <c r="Y384" t="s">
        <v>1698</v>
      </c>
      <c r="Z384" t="s">
        <v>1699</v>
      </c>
      <c r="AA384" t="str">
        <f>"87072-0150"</f>
        <v>87072-0150</v>
      </c>
      <c r="AB384" t="s">
        <v>123</v>
      </c>
      <c r="AC384" t="s">
        <v>113</v>
      </c>
      <c r="AD384" t="s">
        <v>108</v>
      </c>
      <c r="AE384" t="s">
        <v>114</v>
      </c>
      <c r="AF384" t="s">
        <v>142</v>
      </c>
      <c r="AG384" t="s">
        <v>116</v>
      </c>
      <c r="AK384" t="str">
        <f t="shared" si="36"/>
        <v/>
      </c>
      <c r="AL384" t="s">
        <v>1693</v>
      </c>
      <c r="AM384">
        <v>0</v>
      </c>
      <c r="AN384">
        <v>0</v>
      </c>
      <c r="AO384">
        <v>0</v>
      </c>
      <c r="AP384">
        <v>0</v>
      </c>
      <c r="AQ384">
        <v>0</v>
      </c>
      <c r="AR384">
        <v>0</v>
      </c>
      <c r="AS384">
        <v>0</v>
      </c>
      <c r="AT384">
        <v>0</v>
      </c>
      <c r="AU384">
        <v>0</v>
      </c>
      <c r="AV384">
        <v>0</v>
      </c>
      <c r="AW384">
        <v>0</v>
      </c>
      <c r="AX384" s="24">
        <f t="shared" si="40"/>
        <v>1</v>
      </c>
      <c r="AY384" s="24">
        <f t="shared" si="40"/>
        <v>1</v>
      </c>
      <c r="AZ384" s="24" t="str">
        <f t="shared" si="41"/>
        <v/>
      </c>
      <c r="BA384" s="24" t="str">
        <f t="shared" si="41"/>
        <v/>
      </c>
      <c r="BB384" s="24" t="str">
        <f t="shared" si="41"/>
        <v/>
      </c>
      <c r="BC384" s="24" t="str">
        <f t="shared" si="41"/>
        <v/>
      </c>
      <c r="BD384" s="24" t="str">
        <f t="shared" si="41"/>
        <v/>
      </c>
      <c r="BE384" s="24" t="str">
        <f t="shared" si="41"/>
        <v/>
      </c>
      <c r="BF384" s="24" t="str">
        <f t="shared" si="41"/>
        <v/>
      </c>
      <c r="BG384" s="24" t="str">
        <f t="shared" si="41"/>
        <v/>
      </c>
      <c r="BH384" s="24" t="str">
        <f t="shared" si="37"/>
        <v/>
      </c>
      <c r="BI384" s="24">
        <f t="shared" si="41"/>
        <v>1</v>
      </c>
      <c r="BJ384" s="24" t="str">
        <f t="shared" si="38"/>
        <v/>
      </c>
    </row>
    <row r="385" spans="1:62" ht="15" customHeight="1" x14ac:dyDescent="0.25">
      <c r="A385" t="str">
        <f>"1407017734"</f>
        <v>1407017734</v>
      </c>
      <c r="B385" t="str">
        <f>"01746258"</f>
        <v>01746258</v>
      </c>
      <c r="C385" t="s">
        <v>5147</v>
      </c>
      <c r="D385" t="s">
        <v>5148</v>
      </c>
      <c r="E385" t="s">
        <v>5149</v>
      </c>
      <c r="L385" t="s">
        <v>133</v>
      </c>
      <c r="M385" t="s">
        <v>108</v>
      </c>
      <c r="R385" t="s">
        <v>5147</v>
      </c>
      <c r="W385" t="s">
        <v>5149</v>
      </c>
      <c r="X385" t="s">
        <v>2662</v>
      </c>
      <c r="Y385" t="s">
        <v>141</v>
      </c>
      <c r="Z385" t="s">
        <v>111</v>
      </c>
      <c r="AA385" t="str">
        <f>"13210-1687"</f>
        <v>13210-1687</v>
      </c>
      <c r="AB385" t="s">
        <v>123</v>
      </c>
      <c r="AC385" t="s">
        <v>113</v>
      </c>
      <c r="AD385" t="s">
        <v>108</v>
      </c>
      <c r="AE385" t="s">
        <v>114</v>
      </c>
      <c r="AF385" t="s">
        <v>142</v>
      </c>
      <c r="AG385" t="s">
        <v>116</v>
      </c>
      <c r="AK385" t="str">
        <f t="shared" si="36"/>
        <v>DOWD SHARON</v>
      </c>
      <c r="AL385" t="s">
        <v>5148</v>
      </c>
      <c r="AM385" t="s">
        <v>108</v>
      </c>
      <c r="AN385" t="s">
        <v>108</v>
      </c>
      <c r="AO385" t="s">
        <v>108</v>
      </c>
      <c r="AP385" t="s">
        <v>108</v>
      </c>
      <c r="AQ385" t="s">
        <v>108</v>
      </c>
      <c r="AR385" t="s">
        <v>108</v>
      </c>
      <c r="AS385" t="s">
        <v>108</v>
      </c>
      <c r="AT385" t="s">
        <v>108</v>
      </c>
      <c r="AU385">
        <v>0</v>
      </c>
      <c r="AV385" t="s">
        <v>108</v>
      </c>
      <c r="AW385" t="s">
        <v>108</v>
      </c>
      <c r="AX385" s="24" t="str">
        <f t="shared" si="40"/>
        <v/>
      </c>
      <c r="AY385" s="24" t="str">
        <f t="shared" si="40"/>
        <v/>
      </c>
      <c r="AZ385" s="24" t="str">
        <f t="shared" si="41"/>
        <v/>
      </c>
      <c r="BA385" s="24" t="str">
        <f t="shared" si="41"/>
        <v/>
      </c>
      <c r="BB385" s="24" t="str">
        <f t="shared" si="41"/>
        <v/>
      </c>
      <c r="BC385" s="24" t="str">
        <f t="shared" si="41"/>
        <v/>
      </c>
      <c r="BD385" s="24" t="str">
        <f t="shared" si="41"/>
        <v/>
      </c>
      <c r="BE385" s="24" t="str">
        <f t="shared" si="41"/>
        <v/>
      </c>
      <c r="BF385" s="24" t="str">
        <f t="shared" si="41"/>
        <v/>
      </c>
      <c r="BG385" s="24" t="str">
        <f t="shared" si="41"/>
        <v/>
      </c>
      <c r="BH385" s="24" t="str">
        <f t="shared" si="37"/>
        <v/>
      </c>
      <c r="BI385" s="24" t="str">
        <f t="shared" si="41"/>
        <v/>
      </c>
      <c r="BJ385" s="24">
        <f t="shared" si="38"/>
        <v>1</v>
      </c>
    </row>
    <row r="386" spans="1:62" ht="15" customHeight="1" x14ac:dyDescent="0.25">
      <c r="A386" t="str">
        <f>"1942279542"</f>
        <v>1942279542</v>
      </c>
      <c r="B386" t="str">
        <f>"02590027"</f>
        <v>02590027</v>
      </c>
      <c r="C386" t="s">
        <v>4474</v>
      </c>
      <c r="D386" t="s">
        <v>4475</v>
      </c>
      <c r="E386" t="s">
        <v>4476</v>
      </c>
      <c r="G386" t="s">
        <v>4447</v>
      </c>
      <c r="H386" t="s">
        <v>4448</v>
      </c>
      <c r="J386" t="s">
        <v>4449</v>
      </c>
      <c r="L386" t="s">
        <v>247</v>
      </c>
      <c r="M386" t="s">
        <v>108</v>
      </c>
      <c r="R386" t="s">
        <v>4474</v>
      </c>
      <c r="W386" t="s">
        <v>4477</v>
      </c>
      <c r="X386" t="s">
        <v>121</v>
      </c>
      <c r="Y386" t="s">
        <v>122</v>
      </c>
      <c r="Z386" t="s">
        <v>111</v>
      </c>
      <c r="AA386" t="str">
        <f>"13815-1019"</f>
        <v>13815-1019</v>
      </c>
      <c r="AB386" t="s">
        <v>123</v>
      </c>
      <c r="AC386" t="s">
        <v>113</v>
      </c>
      <c r="AD386" t="s">
        <v>108</v>
      </c>
      <c r="AE386" t="s">
        <v>114</v>
      </c>
      <c r="AF386" t="s">
        <v>124</v>
      </c>
      <c r="AG386" t="s">
        <v>116</v>
      </c>
      <c r="AK386" t="str">
        <f t="shared" ref="AK386:AK449" si="42">IF(AM386="No",C386,"")</f>
        <v/>
      </c>
      <c r="AL386" t="s">
        <v>4475</v>
      </c>
      <c r="AM386">
        <v>0</v>
      </c>
      <c r="AN386">
        <v>0</v>
      </c>
      <c r="AO386">
        <v>0</v>
      </c>
      <c r="AP386">
        <v>0</v>
      </c>
      <c r="AQ386">
        <v>0</v>
      </c>
      <c r="AR386">
        <v>0</v>
      </c>
      <c r="AS386">
        <v>0</v>
      </c>
      <c r="AT386">
        <v>0</v>
      </c>
      <c r="AU386">
        <v>0</v>
      </c>
      <c r="AV386">
        <v>0</v>
      </c>
      <c r="AW386">
        <v>0</v>
      </c>
      <c r="AX386" s="24" t="str">
        <f t="shared" si="40"/>
        <v/>
      </c>
      <c r="AY386" s="24">
        <f t="shared" si="40"/>
        <v>1</v>
      </c>
      <c r="AZ386" s="24" t="str">
        <f t="shared" si="41"/>
        <v/>
      </c>
      <c r="BA386" s="24" t="str">
        <f t="shared" si="41"/>
        <v/>
      </c>
      <c r="BB386" s="24" t="str">
        <f t="shared" si="41"/>
        <v/>
      </c>
      <c r="BC386" s="24" t="str">
        <f t="shared" si="41"/>
        <v/>
      </c>
      <c r="BD386" s="24" t="str">
        <f t="shared" si="41"/>
        <v/>
      </c>
      <c r="BE386" s="24" t="str">
        <f t="shared" si="41"/>
        <v/>
      </c>
      <c r="BF386" s="24" t="str">
        <f t="shared" si="41"/>
        <v/>
      </c>
      <c r="BG386" s="24" t="str">
        <f t="shared" si="41"/>
        <v/>
      </c>
      <c r="BH386" s="24" t="str">
        <f t="shared" si="37"/>
        <v/>
      </c>
      <c r="BI386" s="24" t="str">
        <f t="shared" si="41"/>
        <v/>
      </c>
      <c r="BJ386" s="24" t="str">
        <f t="shared" si="38"/>
        <v/>
      </c>
    </row>
    <row r="387" spans="1:62" ht="15" customHeight="1" x14ac:dyDescent="0.25">
      <c r="A387" t="str">
        <f>"1891731618"</f>
        <v>1891731618</v>
      </c>
      <c r="B387" t="str">
        <f>"03820371"</f>
        <v>03820371</v>
      </c>
      <c r="C387" t="s">
        <v>3858</v>
      </c>
      <c r="D387" t="s">
        <v>3859</v>
      </c>
      <c r="E387" t="s">
        <v>3860</v>
      </c>
      <c r="L387" t="s">
        <v>247</v>
      </c>
      <c r="M387" t="s">
        <v>108</v>
      </c>
      <c r="R387" t="s">
        <v>3858</v>
      </c>
      <c r="W387" t="s">
        <v>3860</v>
      </c>
      <c r="X387" t="s">
        <v>3529</v>
      </c>
      <c r="Y387" t="s">
        <v>2122</v>
      </c>
      <c r="Z387" t="s">
        <v>111</v>
      </c>
      <c r="AA387" t="str">
        <f>"13856-1457"</f>
        <v>13856-1457</v>
      </c>
      <c r="AB387" t="s">
        <v>123</v>
      </c>
      <c r="AC387" t="s">
        <v>113</v>
      </c>
      <c r="AD387" t="s">
        <v>108</v>
      </c>
      <c r="AE387" t="s">
        <v>114</v>
      </c>
      <c r="AF387" t="s">
        <v>124</v>
      </c>
      <c r="AG387" t="s">
        <v>116</v>
      </c>
      <c r="AK387" t="str">
        <f t="shared" si="42"/>
        <v/>
      </c>
      <c r="AL387" t="s">
        <v>3859</v>
      </c>
      <c r="AM387">
        <v>1</v>
      </c>
      <c r="AN387">
        <v>1</v>
      </c>
      <c r="AO387">
        <v>0</v>
      </c>
      <c r="AP387">
        <v>1</v>
      </c>
      <c r="AQ387">
        <v>1</v>
      </c>
      <c r="AR387">
        <v>0</v>
      </c>
      <c r="AS387">
        <v>0</v>
      </c>
      <c r="AT387">
        <v>0</v>
      </c>
      <c r="AU387">
        <v>0</v>
      </c>
      <c r="AV387">
        <v>0</v>
      </c>
      <c r="AW387">
        <v>0</v>
      </c>
      <c r="AX387" s="24" t="str">
        <f t="shared" si="40"/>
        <v/>
      </c>
      <c r="AY387" s="24">
        <f t="shared" si="40"/>
        <v>1</v>
      </c>
      <c r="AZ387" s="24" t="str">
        <f t="shared" si="41"/>
        <v/>
      </c>
      <c r="BA387" s="24" t="str">
        <f t="shared" si="41"/>
        <v/>
      </c>
      <c r="BB387" s="24" t="str">
        <f t="shared" si="41"/>
        <v/>
      </c>
      <c r="BC387" s="24" t="str">
        <f t="shared" si="41"/>
        <v/>
      </c>
      <c r="BD387" s="24" t="str">
        <f t="shared" si="41"/>
        <v/>
      </c>
      <c r="BE387" s="24" t="str">
        <f t="shared" si="41"/>
        <v/>
      </c>
      <c r="BF387" s="24" t="str">
        <f t="shared" si="41"/>
        <v/>
      </c>
      <c r="BG387" s="24" t="str">
        <f t="shared" si="41"/>
        <v/>
      </c>
      <c r="BH387" s="24" t="str">
        <f t="shared" ref="BH387:BH450" si="43">IF(ISERROR(FIND("CBO",$L387,1)),"",1)</f>
        <v/>
      </c>
      <c r="BI387" s="24" t="str">
        <f t="shared" si="41"/>
        <v/>
      </c>
      <c r="BJ387" s="24" t="str">
        <f t="shared" si="38"/>
        <v/>
      </c>
    </row>
    <row r="388" spans="1:62" ht="15" customHeight="1" x14ac:dyDescent="0.25">
      <c r="C388" t="s">
        <v>3841</v>
      </c>
      <c r="G388" t="s">
        <v>3842</v>
      </c>
      <c r="H388" t="s">
        <v>3843</v>
      </c>
      <c r="J388" t="s">
        <v>3844</v>
      </c>
      <c r="K388" t="s">
        <v>780</v>
      </c>
      <c r="L388" t="s">
        <v>781</v>
      </c>
      <c r="M388" t="s">
        <v>108</v>
      </c>
      <c r="N388" t="s">
        <v>3845</v>
      </c>
      <c r="O388" t="s">
        <v>1096</v>
      </c>
      <c r="P388" t="s">
        <v>111</v>
      </c>
      <c r="Q388" t="str">
        <f>"13904"</f>
        <v>13904</v>
      </c>
      <c r="AC388" t="s">
        <v>113</v>
      </c>
      <c r="AD388" t="s">
        <v>108</v>
      </c>
      <c r="AE388" t="s">
        <v>784</v>
      </c>
      <c r="AF388" t="s">
        <v>115</v>
      </c>
      <c r="AG388" t="s">
        <v>116</v>
      </c>
      <c r="AK388" t="str">
        <f t="shared" si="42"/>
        <v>Dr. Garabed A. Fattal Community Free Clinic</v>
      </c>
      <c r="AM388" t="s">
        <v>108</v>
      </c>
      <c r="AN388" t="s">
        <v>108</v>
      </c>
      <c r="AO388" t="s">
        <v>108</v>
      </c>
      <c r="AP388" t="s">
        <v>108</v>
      </c>
      <c r="AQ388" t="s">
        <v>108</v>
      </c>
      <c r="AR388" t="s">
        <v>108</v>
      </c>
      <c r="AS388" t="s">
        <v>108</v>
      </c>
      <c r="AT388" t="s">
        <v>108</v>
      </c>
      <c r="AU388">
        <v>0</v>
      </c>
      <c r="AV388" t="s">
        <v>108</v>
      </c>
      <c r="AW388" t="s">
        <v>108</v>
      </c>
      <c r="AX388" s="24" t="str">
        <f t="shared" si="40"/>
        <v/>
      </c>
      <c r="AY388" s="24" t="str">
        <f t="shared" si="40"/>
        <v/>
      </c>
      <c r="AZ388" s="24" t="str">
        <f t="shared" si="41"/>
        <v/>
      </c>
      <c r="BA388" s="24" t="str">
        <f t="shared" si="41"/>
        <v/>
      </c>
      <c r="BB388" s="24" t="str">
        <f t="shared" si="41"/>
        <v/>
      </c>
      <c r="BC388" s="24" t="str">
        <f t="shared" si="41"/>
        <v/>
      </c>
      <c r="BD388" s="24" t="str">
        <f t="shared" si="41"/>
        <v/>
      </c>
      <c r="BE388" s="24" t="str">
        <f t="shared" si="41"/>
        <v/>
      </c>
      <c r="BF388" s="24" t="str">
        <f t="shared" si="41"/>
        <v/>
      </c>
      <c r="BG388" s="24" t="str">
        <f t="shared" si="41"/>
        <v/>
      </c>
      <c r="BH388" s="24">
        <f t="shared" si="43"/>
        <v>1</v>
      </c>
      <c r="BI388" s="24" t="str">
        <f t="shared" si="41"/>
        <v/>
      </c>
      <c r="BJ388" s="24" t="str">
        <f t="shared" si="38"/>
        <v/>
      </c>
    </row>
    <row r="389" spans="1:62" ht="15" customHeight="1" x14ac:dyDescent="0.25">
      <c r="A389" t="str">
        <f>"1235242777"</f>
        <v>1235242777</v>
      </c>
      <c r="B389" t="str">
        <f>"02937915"</f>
        <v>02937915</v>
      </c>
      <c r="C389" t="s">
        <v>949</v>
      </c>
      <c r="D389" t="s">
        <v>950</v>
      </c>
      <c r="E389" t="s">
        <v>951</v>
      </c>
      <c r="G389" t="s">
        <v>638</v>
      </c>
      <c r="H389" t="s">
        <v>639</v>
      </c>
      <c r="J389" t="s">
        <v>952</v>
      </c>
      <c r="L389" t="s">
        <v>138</v>
      </c>
      <c r="M389" t="s">
        <v>108</v>
      </c>
      <c r="R389" t="s">
        <v>951</v>
      </c>
      <c r="W389" t="s">
        <v>953</v>
      </c>
      <c r="X389" t="s">
        <v>583</v>
      </c>
      <c r="Y389" t="s">
        <v>293</v>
      </c>
      <c r="Z389" t="s">
        <v>111</v>
      </c>
      <c r="AA389" t="str">
        <f>"14850-1857"</f>
        <v>14850-1857</v>
      </c>
      <c r="AB389" t="s">
        <v>123</v>
      </c>
      <c r="AC389" t="s">
        <v>113</v>
      </c>
      <c r="AD389" t="s">
        <v>108</v>
      </c>
      <c r="AE389" t="s">
        <v>114</v>
      </c>
      <c r="AF389" t="s">
        <v>142</v>
      </c>
      <c r="AG389" t="s">
        <v>116</v>
      </c>
      <c r="AK389" t="str">
        <f t="shared" si="42"/>
        <v/>
      </c>
      <c r="AL389" t="s">
        <v>950</v>
      </c>
      <c r="AM389">
        <v>1</v>
      </c>
      <c r="AN389">
        <v>1</v>
      </c>
      <c r="AO389">
        <v>0</v>
      </c>
      <c r="AP389">
        <v>0</v>
      </c>
      <c r="AQ389">
        <v>0</v>
      </c>
      <c r="AR389">
        <v>0</v>
      </c>
      <c r="AS389">
        <v>0</v>
      </c>
      <c r="AT389">
        <v>0</v>
      </c>
      <c r="AU389">
        <v>0</v>
      </c>
      <c r="AV389">
        <v>0</v>
      </c>
      <c r="AW389">
        <v>0</v>
      </c>
      <c r="AX389" s="24" t="str">
        <f t="shared" si="40"/>
        <v/>
      </c>
      <c r="AY389" s="24">
        <f t="shared" si="40"/>
        <v>1</v>
      </c>
      <c r="AZ389" s="24" t="str">
        <f t="shared" si="41"/>
        <v/>
      </c>
      <c r="BA389" s="24" t="str">
        <f t="shared" si="41"/>
        <v/>
      </c>
      <c r="BB389" s="24" t="str">
        <f t="shared" si="41"/>
        <v/>
      </c>
      <c r="BC389" s="24" t="str">
        <f t="shared" si="41"/>
        <v/>
      </c>
      <c r="BD389" s="24" t="str">
        <f t="shared" si="41"/>
        <v/>
      </c>
      <c r="BE389" s="24" t="str">
        <f t="shared" si="41"/>
        <v/>
      </c>
      <c r="BF389" s="24" t="str">
        <f t="shared" si="41"/>
        <v/>
      </c>
      <c r="BG389" s="24" t="str">
        <f t="shared" si="41"/>
        <v/>
      </c>
      <c r="BH389" s="24" t="str">
        <f t="shared" si="43"/>
        <v/>
      </c>
      <c r="BI389" s="24">
        <f t="shared" si="41"/>
        <v>1</v>
      </c>
      <c r="BJ389" s="24" t="str">
        <f t="shared" si="38"/>
        <v/>
      </c>
    </row>
    <row r="390" spans="1:62" ht="15" customHeight="1" x14ac:dyDescent="0.25">
      <c r="A390" t="str">
        <f>"1922391754"</f>
        <v>1922391754</v>
      </c>
      <c r="B390" t="str">
        <f>"03380518"</f>
        <v>03380518</v>
      </c>
      <c r="C390" t="s">
        <v>1789</v>
      </c>
      <c r="D390" t="s">
        <v>1790</v>
      </c>
      <c r="E390" t="s">
        <v>1791</v>
      </c>
      <c r="G390" t="s">
        <v>815</v>
      </c>
      <c r="H390" t="s">
        <v>816</v>
      </c>
      <c r="J390" t="s">
        <v>817</v>
      </c>
      <c r="L390" t="s">
        <v>120</v>
      </c>
      <c r="M390" t="s">
        <v>139</v>
      </c>
      <c r="R390" t="s">
        <v>1789</v>
      </c>
      <c r="W390" t="s">
        <v>1791</v>
      </c>
      <c r="X390" t="s">
        <v>1058</v>
      </c>
      <c r="Y390" t="s">
        <v>110</v>
      </c>
      <c r="Z390" t="s">
        <v>111</v>
      </c>
      <c r="AA390" t="str">
        <f>"13905-4178"</f>
        <v>13905-4178</v>
      </c>
      <c r="AB390" t="s">
        <v>123</v>
      </c>
      <c r="AC390" t="s">
        <v>113</v>
      </c>
      <c r="AD390" t="s">
        <v>108</v>
      </c>
      <c r="AE390" t="s">
        <v>114</v>
      </c>
      <c r="AF390" t="s">
        <v>115</v>
      </c>
      <c r="AG390" t="s">
        <v>116</v>
      </c>
      <c r="AK390" t="str">
        <f t="shared" si="42"/>
        <v/>
      </c>
      <c r="AL390" t="s">
        <v>1790</v>
      </c>
      <c r="AM390">
        <v>0</v>
      </c>
      <c r="AN390">
        <v>0</v>
      </c>
      <c r="AO390">
        <v>0</v>
      </c>
      <c r="AP390">
        <v>0</v>
      </c>
      <c r="AQ390">
        <v>0</v>
      </c>
      <c r="AR390">
        <v>0</v>
      </c>
      <c r="AS390">
        <v>0</v>
      </c>
      <c r="AT390">
        <v>0</v>
      </c>
      <c r="AU390">
        <v>0</v>
      </c>
      <c r="AV390">
        <v>0</v>
      </c>
      <c r="AW390">
        <v>0</v>
      </c>
      <c r="AX390" s="24">
        <f t="shared" si="40"/>
        <v>1</v>
      </c>
      <c r="AY390" s="24" t="str">
        <f t="shared" si="40"/>
        <v/>
      </c>
      <c r="AZ390" s="24" t="str">
        <f t="shared" si="41"/>
        <v/>
      </c>
      <c r="BA390" s="24" t="str">
        <f t="shared" si="41"/>
        <v/>
      </c>
      <c r="BB390" s="24" t="str">
        <f t="shared" si="41"/>
        <v/>
      </c>
      <c r="BC390" s="24" t="str">
        <f t="shared" si="41"/>
        <v/>
      </c>
      <c r="BD390" s="24" t="str">
        <f t="shared" si="41"/>
        <v/>
      </c>
      <c r="BE390" s="24" t="str">
        <f t="shared" si="41"/>
        <v/>
      </c>
      <c r="BF390" s="24" t="str">
        <f t="shared" si="41"/>
        <v/>
      </c>
      <c r="BG390" s="24" t="str">
        <f t="shared" si="41"/>
        <v/>
      </c>
      <c r="BH390" s="24" t="str">
        <f t="shared" si="43"/>
        <v/>
      </c>
      <c r="BI390" s="24">
        <f t="shared" si="41"/>
        <v>1</v>
      </c>
      <c r="BJ390" s="24" t="str">
        <f t="shared" si="38"/>
        <v/>
      </c>
    </row>
    <row r="391" spans="1:62" ht="15" customHeight="1" x14ac:dyDescent="0.25">
      <c r="A391" t="str">
        <f>"1518959204"</f>
        <v>1518959204</v>
      </c>
      <c r="B391" t="str">
        <f>"00491447"</f>
        <v>00491447</v>
      </c>
      <c r="C391" t="s">
        <v>840</v>
      </c>
      <c r="D391" t="s">
        <v>841</v>
      </c>
      <c r="E391" t="s">
        <v>842</v>
      </c>
      <c r="L391" t="s">
        <v>120</v>
      </c>
      <c r="M391" t="s">
        <v>108</v>
      </c>
      <c r="R391" t="s">
        <v>840</v>
      </c>
      <c r="W391" t="s">
        <v>843</v>
      </c>
      <c r="X391" t="s">
        <v>844</v>
      </c>
      <c r="Y391" t="s">
        <v>845</v>
      </c>
      <c r="Z391" t="s">
        <v>111</v>
      </c>
      <c r="AA391" t="str">
        <f>"13797-1403"</f>
        <v>13797-1403</v>
      </c>
      <c r="AB391" t="s">
        <v>123</v>
      </c>
      <c r="AC391" t="s">
        <v>113</v>
      </c>
      <c r="AD391" t="s">
        <v>108</v>
      </c>
      <c r="AE391" t="s">
        <v>114</v>
      </c>
      <c r="AF391" t="s">
        <v>115</v>
      </c>
      <c r="AG391" t="s">
        <v>116</v>
      </c>
      <c r="AK391" t="str">
        <f t="shared" si="42"/>
        <v/>
      </c>
      <c r="AL391" t="s">
        <v>841</v>
      </c>
      <c r="AM391">
        <v>0</v>
      </c>
      <c r="AN391">
        <v>0</v>
      </c>
      <c r="AO391">
        <v>0</v>
      </c>
      <c r="AP391">
        <v>0</v>
      </c>
      <c r="AQ391">
        <v>0</v>
      </c>
      <c r="AR391">
        <v>0</v>
      </c>
      <c r="AS391">
        <v>0</v>
      </c>
      <c r="AT391">
        <v>0</v>
      </c>
      <c r="AU391">
        <v>0</v>
      </c>
      <c r="AV391">
        <v>0</v>
      </c>
      <c r="AW391">
        <v>0</v>
      </c>
      <c r="AX391" s="24">
        <f t="shared" si="40"/>
        <v>1</v>
      </c>
      <c r="AY391" s="24" t="str">
        <f t="shared" si="40"/>
        <v/>
      </c>
      <c r="AZ391" s="24" t="str">
        <f t="shared" si="41"/>
        <v/>
      </c>
      <c r="BA391" s="24" t="str">
        <f t="shared" si="41"/>
        <v/>
      </c>
      <c r="BB391" s="24" t="str">
        <f t="shared" si="41"/>
        <v/>
      </c>
      <c r="BC391" s="24" t="str">
        <f t="shared" si="41"/>
        <v/>
      </c>
      <c r="BD391" s="24" t="str">
        <f t="shared" si="41"/>
        <v/>
      </c>
      <c r="BE391" s="24" t="str">
        <f t="shared" si="41"/>
        <v/>
      </c>
      <c r="BF391" s="24" t="str">
        <f t="shared" si="41"/>
        <v/>
      </c>
      <c r="BG391" s="24" t="str">
        <f t="shared" si="41"/>
        <v/>
      </c>
      <c r="BH391" s="24" t="str">
        <f t="shared" si="43"/>
        <v/>
      </c>
      <c r="BI391" s="24">
        <f t="shared" si="41"/>
        <v>1</v>
      </c>
      <c r="BJ391" s="24" t="str">
        <f t="shared" si="38"/>
        <v/>
      </c>
    </row>
    <row r="392" spans="1:62" ht="15" customHeight="1" x14ac:dyDescent="0.25">
      <c r="C392" t="s">
        <v>5853</v>
      </c>
      <c r="G392" t="s">
        <v>5854</v>
      </c>
      <c r="H392" t="s">
        <v>4281</v>
      </c>
      <c r="J392" t="s">
        <v>5855</v>
      </c>
      <c r="K392" t="s">
        <v>780</v>
      </c>
      <c r="L392" t="s">
        <v>781</v>
      </c>
      <c r="M392" t="s">
        <v>108</v>
      </c>
      <c r="N392" t="s">
        <v>5856</v>
      </c>
      <c r="O392" t="s">
        <v>5857</v>
      </c>
      <c r="P392" t="s">
        <v>111</v>
      </c>
      <c r="Q392" t="str">
        <f>"13053"</f>
        <v>13053</v>
      </c>
      <c r="AC392" t="s">
        <v>113</v>
      </c>
      <c r="AD392" t="s">
        <v>108</v>
      </c>
      <c r="AE392" t="s">
        <v>784</v>
      </c>
      <c r="AF392" t="s">
        <v>142</v>
      </c>
      <c r="AG392" t="s">
        <v>116</v>
      </c>
      <c r="AK392" t="str">
        <f t="shared" si="42"/>
        <v/>
      </c>
      <c r="AM392">
        <v>1</v>
      </c>
      <c r="AN392" t="s">
        <v>108</v>
      </c>
      <c r="AO392" t="s">
        <v>108</v>
      </c>
      <c r="AP392" t="s">
        <v>108</v>
      </c>
      <c r="AQ392" t="s">
        <v>108</v>
      </c>
      <c r="AR392" t="s">
        <v>108</v>
      </c>
      <c r="AS392" t="s">
        <v>108</v>
      </c>
      <c r="AT392" t="s">
        <v>108</v>
      </c>
      <c r="AU392">
        <v>0</v>
      </c>
      <c r="AV392" t="s">
        <v>108</v>
      </c>
      <c r="AW392" t="s">
        <v>108</v>
      </c>
      <c r="AX392" s="24" t="str">
        <f t="shared" si="40"/>
        <v/>
      </c>
      <c r="AY392" s="24" t="str">
        <f t="shared" si="40"/>
        <v/>
      </c>
      <c r="AZ392" s="24" t="str">
        <f t="shared" si="41"/>
        <v/>
      </c>
      <c r="BA392" s="24" t="str">
        <f t="shared" si="41"/>
        <v/>
      </c>
      <c r="BB392" s="24" t="str">
        <f t="shared" si="41"/>
        <v/>
      </c>
      <c r="BC392" s="24" t="str">
        <f t="shared" si="41"/>
        <v/>
      </c>
      <c r="BD392" s="24" t="str">
        <f t="shared" si="41"/>
        <v/>
      </c>
      <c r="BE392" s="24" t="str">
        <f t="shared" si="41"/>
        <v/>
      </c>
      <c r="BF392" s="24" t="str">
        <f t="shared" si="41"/>
        <v/>
      </c>
      <c r="BG392" s="24" t="str">
        <f t="shared" si="41"/>
        <v/>
      </c>
      <c r="BH392" s="24">
        <f t="shared" si="43"/>
        <v>1</v>
      </c>
      <c r="BI392" s="24" t="str">
        <f t="shared" si="41"/>
        <v/>
      </c>
      <c r="BJ392" s="24" t="str">
        <f t="shared" si="38"/>
        <v/>
      </c>
    </row>
    <row r="393" spans="1:62" ht="15" customHeight="1" x14ac:dyDescent="0.25">
      <c r="A393" t="str">
        <f>"1689626053"</f>
        <v>1689626053</v>
      </c>
      <c r="B393" t="str">
        <f>"03886197"</f>
        <v>03886197</v>
      </c>
      <c r="C393" t="s">
        <v>6273</v>
      </c>
      <c r="D393" t="s">
        <v>6274</v>
      </c>
      <c r="E393" t="s">
        <v>6275</v>
      </c>
      <c r="G393" t="s">
        <v>6276</v>
      </c>
      <c r="H393" t="s">
        <v>4281</v>
      </c>
      <c r="J393" t="s">
        <v>4288</v>
      </c>
      <c r="L393" t="s">
        <v>68</v>
      </c>
      <c r="M393" t="s">
        <v>108</v>
      </c>
      <c r="R393" t="s">
        <v>6273</v>
      </c>
      <c r="W393" t="s">
        <v>6273</v>
      </c>
      <c r="X393" t="s">
        <v>2048</v>
      </c>
      <c r="Y393" t="s">
        <v>262</v>
      </c>
      <c r="Z393" t="s">
        <v>111</v>
      </c>
      <c r="AA393" t="str">
        <f>"13053-0008"</f>
        <v>13053-0008</v>
      </c>
      <c r="AB393" t="s">
        <v>112</v>
      </c>
      <c r="AC393" t="s">
        <v>113</v>
      </c>
      <c r="AD393" t="s">
        <v>108</v>
      </c>
      <c r="AE393" t="s">
        <v>114</v>
      </c>
      <c r="AF393" t="s">
        <v>142</v>
      </c>
      <c r="AG393" t="s">
        <v>116</v>
      </c>
      <c r="AK393" t="str">
        <f t="shared" si="42"/>
        <v>DRYDEN FAMILY MEDICINE</v>
      </c>
      <c r="AL393" t="s">
        <v>6274</v>
      </c>
      <c r="AM393" t="s">
        <v>108</v>
      </c>
      <c r="AN393" t="s">
        <v>108</v>
      </c>
      <c r="AO393" t="s">
        <v>108</v>
      </c>
      <c r="AP393" t="s">
        <v>108</v>
      </c>
      <c r="AQ393" t="s">
        <v>108</v>
      </c>
      <c r="AR393" t="s">
        <v>108</v>
      </c>
      <c r="AS393" t="s">
        <v>108</v>
      </c>
      <c r="AT393" t="s">
        <v>108</v>
      </c>
      <c r="AU393">
        <v>0</v>
      </c>
      <c r="AV393" t="s">
        <v>108</v>
      </c>
      <c r="AW393" t="s">
        <v>108</v>
      </c>
      <c r="AX393" s="24" t="str">
        <f t="shared" si="40"/>
        <v/>
      </c>
      <c r="AY393" s="24" t="str">
        <f t="shared" si="40"/>
        <v/>
      </c>
      <c r="AZ393" s="24" t="str">
        <f t="shared" si="41"/>
        <v/>
      </c>
      <c r="BA393" s="24" t="str">
        <f t="shared" si="41"/>
        <v/>
      </c>
      <c r="BB393" s="24" t="str">
        <f t="shared" si="41"/>
        <v/>
      </c>
      <c r="BC393" s="24" t="str">
        <f t="shared" si="41"/>
        <v/>
      </c>
      <c r="BD393" s="24" t="str">
        <f t="shared" si="41"/>
        <v/>
      </c>
      <c r="BE393" s="24" t="str">
        <f t="shared" si="41"/>
        <v/>
      </c>
      <c r="BF393" s="24" t="str">
        <f t="shared" si="41"/>
        <v/>
      </c>
      <c r="BG393" s="24" t="str">
        <f t="shared" si="41"/>
        <v/>
      </c>
      <c r="BH393" s="24" t="str">
        <f t="shared" si="43"/>
        <v/>
      </c>
      <c r="BI393" s="24">
        <f t="shared" si="41"/>
        <v>1</v>
      </c>
      <c r="BJ393" s="24" t="str">
        <f t="shared" si="38"/>
        <v/>
      </c>
    </row>
    <row r="394" spans="1:62" ht="15" customHeight="1" x14ac:dyDescent="0.25">
      <c r="A394" t="str">
        <f>"1790072254"</f>
        <v>1790072254</v>
      </c>
      <c r="B394" t="str">
        <f>"03743708"</f>
        <v>03743708</v>
      </c>
      <c r="C394" t="s">
        <v>6863</v>
      </c>
      <c r="D394" t="s">
        <v>7159</v>
      </c>
      <c r="E394" t="s">
        <v>7019</v>
      </c>
      <c r="G394" t="s">
        <v>6330</v>
      </c>
      <c r="H394" t="s">
        <v>6331</v>
      </c>
      <c r="J394" t="s">
        <v>6332</v>
      </c>
      <c r="L394" t="s">
        <v>120</v>
      </c>
      <c r="M394" t="s">
        <v>108</v>
      </c>
      <c r="R394" t="s">
        <v>6863</v>
      </c>
      <c r="W394" t="s">
        <v>7019</v>
      </c>
      <c r="X394" t="s">
        <v>4040</v>
      </c>
      <c r="Y394" t="s">
        <v>966</v>
      </c>
      <c r="Z394" t="s">
        <v>111</v>
      </c>
      <c r="AA394" t="str">
        <f>"13850-3556"</f>
        <v>13850-3556</v>
      </c>
      <c r="AB394" t="s">
        <v>123</v>
      </c>
      <c r="AC394" t="s">
        <v>113</v>
      </c>
      <c r="AD394" t="s">
        <v>108</v>
      </c>
      <c r="AE394" t="s">
        <v>114</v>
      </c>
      <c r="AF394" t="s">
        <v>115</v>
      </c>
      <c r="AG394" t="s">
        <v>116</v>
      </c>
      <c r="AK394" t="str">
        <f t="shared" si="42"/>
        <v>DUDDEN ASHLEY MS.</v>
      </c>
      <c r="AL394" t="s">
        <v>7159</v>
      </c>
      <c r="AM394" t="s">
        <v>108</v>
      </c>
      <c r="AN394" t="s">
        <v>108</v>
      </c>
      <c r="AO394" t="s">
        <v>108</v>
      </c>
      <c r="AP394" t="s">
        <v>108</v>
      </c>
      <c r="AQ394" t="s">
        <v>108</v>
      </c>
      <c r="AR394" t="s">
        <v>108</v>
      </c>
      <c r="AS394" t="s">
        <v>108</v>
      </c>
      <c r="AT394" t="s">
        <v>108</v>
      </c>
      <c r="AU394">
        <v>1</v>
      </c>
      <c r="AV394" t="s">
        <v>108</v>
      </c>
      <c r="AW394" t="s">
        <v>108</v>
      </c>
      <c r="AX394" s="24">
        <f t="shared" si="40"/>
        <v>1</v>
      </c>
      <c r="AY394" s="24" t="str">
        <f t="shared" si="40"/>
        <v/>
      </c>
      <c r="AZ394" s="24" t="str">
        <f t="shared" si="41"/>
        <v/>
      </c>
      <c r="BA394" s="24" t="str">
        <f t="shared" si="41"/>
        <v/>
      </c>
      <c r="BB394" s="24" t="str">
        <f t="shared" si="41"/>
        <v/>
      </c>
      <c r="BC394" s="24" t="str">
        <f t="shared" si="41"/>
        <v/>
      </c>
      <c r="BD394" s="24" t="str">
        <f t="shared" si="41"/>
        <v/>
      </c>
      <c r="BE394" s="24" t="str">
        <f t="shared" si="41"/>
        <v/>
      </c>
      <c r="BF394" s="24" t="str">
        <f t="shared" si="41"/>
        <v/>
      </c>
      <c r="BG394" s="24" t="str">
        <f t="shared" si="41"/>
        <v/>
      </c>
      <c r="BH394" s="24" t="str">
        <f t="shared" si="43"/>
        <v/>
      </c>
      <c r="BI394" s="24">
        <f t="shared" si="41"/>
        <v>1</v>
      </c>
      <c r="BJ394" s="24" t="str">
        <f t="shared" si="38"/>
        <v/>
      </c>
    </row>
    <row r="395" spans="1:62" ht="15" customHeight="1" x14ac:dyDescent="0.25">
      <c r="A395" t="str">
        <f>"1174840656"</f>
        <v>1174840656</v>
      </c>
      <c r="B395" t="str">
        <f>"03435090"</f>
        <v>03435090</v>
      </c>
      <c r="C395" t="s">
        <v>4059</v>
      </c>
      <c r="D395" t="s">
        <v>4060</v>
      </c>
      <c r="E395" t="s">
        <v>4061</v>
      </c>
      <c r="L395" t="s">
        <v>138</v>
      </c>
      <c r="M395" t="s">
        <v>108</v>
      </c>
      <c r="R395" t="s">
        <v>4059</v>
      </c>
      <c r="W395" t="s">
        <v>4061</v>
      </c>
      <c r="X395" t="s">
        <v>881</v>
      </c>
      <c r="Y395" t="s">
        <v>321</v>
      </c>
      <c r="Z395" t="s">
        <v>111</v>
      </c>
      <c r="AA395" t="str">
        <f>"13760-5430"</f>
        <v>13760-5430</v>
      </c>
      <c r="AB395" t="s">
        <v>123</v>
      </c>
      <c r="AC395" t="s">
        <v>113</v>
      </c>
      <c r="AD395" t="s">
        <v>108</v>
      </c>
      <c r="AE395" t="s">
        <v>114</v>
      </c>
      <c r="AF395" t="s">
        <v>115</v>
      </c>
      <c r="AG395" t="s">
        <v>116</v>
      </c>
      <c r="AK395" t="str">
        <f t="shared" si="42"/>
        <v/>
      </c>
      <c r="AL395" t="s">
        <v>4060</v>
      </c>
      <c r="AM395">
        <v>0</v>
      </c>
      <c r="AN395">
        <v>0</v>
      </c>
      <c r="AO395">
        <v>0</v>
      </c>
      <c r="AP395">
        <v>0</v>
      </c>
      <c r="AQ395">
        <v>0</v>
      </c>
      <c r="AR395">
        <v>0</v>
      </c>
      <c r="AS395">
        <v>0</v>
      </c>
      <c r="AT395">
        <v>0</v>
      </c>
      <c r="AU395">
        <v>0</v>
      </c>
      <c r="AV395">
        <v>0</v>
      </c>
      <c r="AW395">
        <v>0</v>
      </c>
      <c r="AX395" s="24" t="str">
        <f t="shared" si="40"/>
        <v/>
      </c>
      <c r="AY395" s="24">
        <f t="shared" si="40"/>
        <v>1</v>
      </c>
      <c r="AZ395" s="24" t="str">
        <f t="shared" si="41"/>
        <v/>
      </c>
      <c r="BA395" s="24" t="str">
        <f t="shared" si="41"/>
        <v/>
      </c>
      <c r="BB395" s="24" t="str">
        <f t="shared" si="41"/>
        <v/>
      </c>
      <c r="BC395" s="24" t="str">
        <f t="shared" si="41"/>
        <v/>
      </c>
      <c r="BD395" s="24" t="str">
        <f t="shared" si="41"/>
        <v/>
      </c>
      <c r="BE395" s="24" t="str">
        <f t="shared" si="41"/>
        <v/>
      </c>
      <c r="BF395" s="24" t="str">
        <f t="shared" si="41"/>
        <v/>
      </c>
      <c r="BG395" s="24" t="str">
        <f t="shared" si="41"/>
        <v/>
      </c>
      <c r="BH395" s="24" t="str">
        <f t="shared" si="43"/>
        <v/>
      </c>
      <c r="BI395" s="24">
        <f t="shared" si="41"/>
        <v>1</v>
      </c>
      <c r="BJ395" s="24" t="str">
        <f t="shared" si="38"/>
        <v/>
      </c>
    </row>
    <row r="396" spans="1:62" ht="15" customHeight="1" x14ac:dyDescent="0.25">
      <c r="A396" t="str">
        <f>"1326039363"</f>
        <v>1326039363</v>
      </c>
      <c r="B396" t="str">
        <f>"01516370"</f>
        <v>01516370</v>
      </c>
      <c r="C396" t="s">
        <v>6830</v>
      </c>
      <c r="D396" t="s">
        <v>7116</v>
      </c>
      <c r="E396" t="s">
        <v>6975</v>
      </c>
      <c r="G396" t="s">
        <v>815</v>
      </c>
      <c r="H396" t="s">
        <v>816</v>
      </c>
      <c r="J396" t="s">
        <v>817</v>
      </c>
      <c r="L396" t="s">
        <v>138</v>
      </c>
      <c r="M396" t="s">
        <v>108</v>
      </c>
      <c r="R396" t="s">
        <v>6830</v>
      </c>
      <c r="W396" t="s">
        <v>6975</v>
      </c>
      <c r="X396" t="s">
        <v>1811</v>
      </c>
      <c r="Y396" t="s">
        <v>110</v>
      </c>
      <c r="Z396" t="s">
        <v>111</v>
      </c>
      <c r="AA396" t="str">
        <f>"13905-4197"</f>
        <v>13905-4197</v>
      </c>
      <c r="AB396" t="s">
        <v>123</v>
      </c>
      <c r="AC396" t="s">
        <v>113</v>
      </c>
      <c r="AD396" t="s">
        <v>108</v>
      </c>
      <c r="AE396" t="s">
        <v>114</v>
      </c>
      <c r="AF396" t="s">
        <v>115</v>
      </c>
      <c r="AG396" t="s">
        <v>116</v>
      </c>
      <c r="AK396" t="str">
        <f t="shared" si="42"/>
        <v>DURA PAUL</v>
      </c>
      <c r="AL396" t="s">
        <v>7116</v>
      </c>
      <c r="AM396" t="s">
        <v>108</v>
      </c>
      <c r="AN396" t="s">
        <v>108</v>
      </c>
      <c r="AO396" t="s">
        <v>108</v>
      </c>
      <c r="AP396" t="s">
        <v>108</v>
      </c>
      <c r="AQ396" t="s">
        <v>108</v>
      </c>
      <c r="AR396" t="s">
        <v>108</v>
      </c>
      <c r="AS396" t="s">
        <v>108</v>
      </c>
      <c r="AT396" t="s">
        <v>108</v>
      </c>
      <c r="AU396">
        <v>0</v>
      </c>
      <c r="AV396" t="s">
        <v>108</v>
      </c>
      <c r="AW396" t="s">
        <v>108</v>
      </c>
      <c r="AX396" s="24" t="str">
        <f t="shared" si="40"/>
        <v/>
      </c>
      <c r="AY396" s="24">
        <f t="shared" si="40"/>
        <v>1</v>
      </c>
      <c r="AZ396" s="24" t="str">
        <f t="shared" si="41"/>
        <v/>
      </c>
      <c r="BA396" s="24" t="str">
        <f t="shared" ref="AZ396:BI421" si="44">IF(ISERROR(FIND(BA$1,$L396,1)),"",1)</f>
        <v/>
      </c>
      <c r="BB396" s="24" t="str">
        <f t="shared" si="44"/>
        <v/>
      </c>
      <c r="BC396" s="24" t="str">
        <f t="shared" si="44"/>
        <v/>
      </c>
      <c r="BD396" s="24" t="str">
        <f t="shared" si="44"/>
        <v/>
      </c>
      <c r="BE396" s="24" t="str">
        <f t="shared" si="44"/>
        <v/>
      </c>
      <c r="BF396" s="24" t="str">
        <f t="shared" si="44"/>
        <v/>
      </c>
      <c r="BG396" s="24" t="str">
        <f t="shared" si="44"/>
        <v/>
      </c>
      <c r="BH396" s="24" t="str">
        <f t="shared" si="43"/>
        <v/>
      </c>
      <c r="BI396" s="24">
        <f t="shared" si="44"/>
        <v>1</v>
      </c>
      <c r="BJ396" s="24" t="str">
        <f t="shared" si="38"/>
        <v/>
      </c>
    </row>
    <row r="397" spans="1:62" ht="15" customHeight="1" x14ac:dyDescent="0.25">
      <c r="A397" t="str">
        <f>"1376613836"</f>
        <v>1376613836</v>
      </c>
      <c r="B397" t="str">
        <f>"02150663"</f>
        <v>02150663</v>
      </c>
      <c r="C397" t="s">
        <v>3191</v>
      </c>
      <c r="D397" t="s">
        <v>3192</v>
      </c>
      <c r="E397" t="s">
        <v>3193</v>
      </c>
      <c r="G397" t="s">
        <v>3174</v>
      </c>
      <c r="H397" t="s">
        <v>3175</v>
      </c>
      <c r="J397" t="s">
        <v>3194</v>
      </c>
      <c r="L397" t="s">
        <v>138</v>
      </c>
      <c r="M397" t="s">
        <v>108</v>
      </c>
      <c r="R397" t="s">
        <v>3195</v>
      </c>
      <c r="W397" t="s">
        <v>3196</v>
      </c>
      <c r="X397" t="s">
        <v>3197</v>
      </c>
      <c r="Y397" t="s">
        <v>3198</v>
      </c>
      <c r="Z397" t="s">
        <v>111</v>
      </c>
      <c r="AA397" t="str">
        <f>"11040-1402"</f>
        <v>11040-1402</v>
      </c>
      <c r="AB397" t="s">
        <v>123</v>
      </c>
      <c r="AC397" t="s">
        <v>113</v>
      </c>
      <c r="AD397" t="s">
        <v>108</v>
      </c>
      <c r="AE397" t="s">
        <v>114</v>
      </c>
      <c r="AF397" t="s">
        <v>142</v>
      </c>
      <c r="AG397" t="s">
        <v>116</v>
      </c>
      <c r="AK397" t="str">
        <f t="shared" si="42"/>
        <v/>
      </c>
      <c r="AL397" t="s">
        <v>3192</v>
      </c>
      <c r="AM397">
        <v>1</v>
      </c>
      <c r="AN397">
        <v>1</v>
      </c>
      <c r="AO397">
        <v>0</v>
      </c>
      <c r="AP397">
        <v>0</v>
      </c>
      <c r="AQ397">
        <v>0</v>
      </c>
      <c r="AR397">
        <v>0</v>
      </c>
      <c r="AS397">
        <v>0</v>
      </c>
      <c r="AT397">
        <v>0</v>
      </c>
      <c r="AU397">
        <v>0</v>
      </c>
      <c r="AV397">
        <v>0</v>
      </c>
      <c r="AW397">
        <v>0</v>
      </c>
      <c r="AX397" s="24" t="str">
        <f t="shared" si="40"/>
        <v/>
      </c>
      <c r="AY397" s="24">
        <f t="shared" si="40"/>
        <v>1</v>
      </c>
      <c r="AZ397" s="24" t="str">
        <f t="shared" si="44"/>
        <v/>
      </c>
      <c r="BA397" s="24" t="str">
        <f t="shared" si="44"/>
        <v/>
      </c>
      <c r="BB397" s="24" t="str">
        <f t="shared" si="44"/>
        <v/>
      </c>
      <c r="BC397" s="24" t="str">
        <f t="shared" si="44"/>
        <v/>
      </c>
      <c r="BD397" s="24" t="str">
        <f t="shared" si="44"/>
        <v/>
      </c>
      <c r="BE397" s="24" t="str">
        <f t="shared" si="44"/>
        <v/>
      </c>
      <c r="BF397" s="24" t="str">
        <f t="shared" si="44"/>
        <v/>
      </c>
      <c r="BG397" s="24" t="str">
        <f t="shared" si="44"/>
        <v/>
      </c>
      <c r="BH397" s="24" t="str">
        <f t="shared" si="43"/>
        <v/>
      </c>
      <c r="BI397" s="24">
        <f t="shared" si="44"/>
        <v>1</v>
      </c>
      <c r="BJ397" s="24" t="str">
        <f t="shared" si="38"/>
        <v/>
      </c>
    </row>
    <row r="398" spans="1:62" ht="15" customHeight="1" x14ac:dyDescent="0.25">
      <c r="A398" t="str">
        <f>"1609022664"</f>
        <v>1609022664</v>
      </c>
      <c r="B398" t="str">
        <f>"03360607"</f>
        <v>03360607</v>
      </c>
      <c r="C398" t="s">
        <v>1876</v>
      </c>
      <c r="D398" t="s">
        <v>1877</v>
      </c>
      <c r="E398" t="s">
        <v>1876</v>
      </c>
      <c r="L398" t="s">
        <v>442</v>
      </c>
      <c r="M398" t="s">
        <v>108</v>
      </c>
      <c r="R398" t="s">
        <v>1876</v>
      </c>
      <c r="W398" t="s">
        <v>1876</v>
      </c>
      <c r="X398" t="s">
        <v>121</v>
      </c>
      <c r="Y398" t="s">
        <v>122</v>
      </c>
      <c r="Z398" t="s">
        <v>111</v>
      </c>
      <c r="AA398" t="str">
        <f>"13815-1019"</f>
        <v>13815-1019</v>
      </c>
      <c r="AB398" t="s">
        <v>123</v>
      </c>
      <c r="AC398" t="s">
        <v>113</v>
      </c>
      <c r="AD398" t="s">
        <v>108</v>
      </c>
      <c r="AE398" t="s">
        <v>114</v>
      </c>
      <c r="AF398" t="s">
        <v>124</v>
      </c>
      <c r="AG398" t="s">
        <v>116</v>
      </c>
      <c r="AK398" t="str">
        <f t="shared" si="42"/>
        <v/>
      </c>
      <c r="AL398" t="s">
        <v>1877</v>
      </c>
      <c r="AM398">
        <v>0</v>
      </c>
      <c r="AN398">
        <v>0</v>
      </c>
      <c r="AO398">
        <v>0</v>
      </c>
      <c r="AP398">
        <v>0</v>
      </c>
      <c r="AQ398">
        <v>0</v>
      </c>
      <c r="AR398">
        <v>0</v>
      </c>
      <c r="AS398">
        <v>0</v>
      </c>
      <c r="AT398">
        <v>0</v>
      </c>
      <c r="AU398">
        <v>0</v>
      </c>
      <c r="AV398">
        <v>0</v>
      </c>
      <c r="AW398">
        <v>0</v>
      </c>
      <c r="AX398" s="24">
        <f t="shared" si="40"/>
        <v>1</v>
      </c>
      <c r="AY398" s="24" t="str">
        <f t="shared" si="40"/>
        <v/>
      </c>
      <c r="AZ398" s="24" t="str">
        <f t="shared" si="44"/>
        <v/>
      </c>
      <c r="BA398" s="24" t="str">
        <f t="shared" si="44"/>
        <v/>
      </c>
      <c r="BB398" s="24" t="str">
        <f t="shared" si="44"/>
        <v/>
      </c>
      <c r="BC398" s="24" t="str">
        <f t="shared" si="44"/>
        <v/>
      </c>
      <c r="BD398" s="24" t="str">
        <f t="shared" si="44"/>
        <v/>
      </c>
      <c r="BE398" s="24" t="str">
        <f t="shared" si="44"/>
        <v/>
      </c>
      <c r="BF398" s="24" t="str">
        <f t="shared" si="44"/>
        <v/>
      </c>
      <c r="BG398" s="24" t="str">
        <f t="shared" si="44"/>
        <v/>
      </c>
      <c r="BH398" s="24" t="str">
        <f t="shared" si="43"/>
        <v/>
      </c>
      <c r="BI398" s="24" t="str">
        <f t="shared" si="44"/>
        <v/>
      </c>
      <c r="BJ398" s="24" t="str">
        <f t="shared" si="38"/>
        <v/>
      </c>
    </row>
    <row r="399" spans="1:62" ht="15" customHeight="1" x14ac:dyDescent="0.25">
      <c r="A399" t="str">
        <f>"1528069077"</f>
        <v>1528069077</v>
      </c>
      <c r="B399" t="str">
        <f>"01593439"</f>
        <v>01593439</v>
      </c>
      <c r="C399" t="s">
        <v>846</v>
      </c>
      <c r="D399" t="s">
        <v>847</v>
      </c>
      <c r="E399" t="s">
        <v>848</v>
      </c>
      <c r="G399" t="s">
        <v>6330</v>
      </c>
      <c r="H399" t="s">
        <v>6331</v>
      </c>
      <c r="J399" t="s">
        <v>6332</v>
      </c>
      <c r="L399" t="s">
        <v>120</v>
      </c>
      <c r="M399" t="s">
        <v>108</v>
      </c>
      <c r="R399" t="s">
        <v>846</v>
      </c>
      <c r="W399" t="s">
        <v>848</v>
      </c>
      <c r="X399" t="s">
        <v>849</v>
      </c>
      <c r="Y399" t="s">
        <v>110</v>
      </c>
      <c r="Z399" t="s">
        <v>111</v>
      </c>
      <c r="AA399" t="str">
        <f>"13903"</f>
        <v>13903</v>
      </c>
      <c r="AB399" t="s">
        <v>123</v>
      </c>
      <c r="AC399" t="s">
        <v>113</v>
      </c>
      <c r="AD399" t="s">
        <v>108</v>
      </c>
      <c r="AE399" t="s">
        <v>114</v>
      </c>
      <c r="AF399" t="s">
        <v>115</v>
      </c>
      <c r="AG399" t="s">
        <v>116</v>
      </c>
      <c r="AK399" t="str">
        <f t="shared" si="42"/>
        <v/>
      </c>
      <c r="AL399" t="s">
        <v>847</v>
      </c>
      <c r="AM399">
        <v>1</v>
      </c>
      <c r="AN399">
        <v>1</v>
      </c>
      <c r="AO399">
        <v>0</v>
      </c>
      <c r="AP399">
        <v>1</v>
      </c>
      <c r="AQ399">
        <v>1</v>
      </c>
      <c r="AR399">
        <v>0</v>
      </c>
      <c r="AS399">
        <v>0</v>
      </c>
      <c r="AT399">
        <v>0</v>
      </c>
      <c r="AU399">
        <v>1</v>
      </c>
      <c r="AV399">
        <v>0</v>
      </c>
      <c r="AW399">
        <v>0</v>
      </c>
      <c r="AX399" s="24">
        <f t="shared" si="40"/>
        <v>1</v>
      </c>
      <c r="AY399" s="24" t="str">
        <f t="shared" si="40"/>
        <v/>
      </c>
      <c r="AZ399" s="24" t="str">
        <f t="shared" si="44"/>
        <v/>
      </c>
      <c r="BA399" s="24" t="str">
        <f t="shared" si="44"/>
        <v/>
      </c>
      <c r="BB399" s="24" t="str">
        <f t="shared" si="44"/>
        <v/>
      </c>
      <c r="BC399" s="24" t="str">
        <f t="shared" si="44"/>
        <v/>
      </c>
      <c r="BD399" s="24" t="str">
        <f t="shared" si="44"/>
        <v/>
      </c>
      <c r="BE399" s="24" t="str">
        <f t="shared" si="44"/>
        <v/>
      </c>
      <c r="BF399" s="24" t="str">
        <f t="shared" si="44"/>
        <v/>
      </c>
      <c r="BG399" s="24" t="str">
        <f t="shared" si="44"/>
        <v/>
      </c>
      <c r="BH399" s="24" t="str">
        <f t="shared" si="43"/>
        <v/>
      </c>
      <c r="BI399" s="24">
        <f t="shared" si="44"/>
        <v>1</v>
      </c>
      <c r="BJ399" s="24" t="str">
        <f t="shared" si="38"/>
        <v/>
      </c>
    </row>
    <row r="400" spans="1:62" ht="15" customHeight="1" x14ac:dyDescent="0.25">
      <c r="A400" t="str">
        <f>"1518122993"</f>
        <v>1518122993</v>
      </c>
      <c r="B400" t="str">
        <f>"03258326"</f>
        <v>03258326</v>
      </c>
      <c r="C400" t="s">
        <v>3314</v>
      </c>
      <c r="D400" t="s">
        <v>3315</v>
      </c>
      <c r="E400" t="s">
        <v>3316</v>
      </c>
      <c r="G400" t="s">
        <v>786</v>
      </c>
      <c r="H400" t="s">
        <v>787</v>
      </c>
      <c r="J400" t="s">
        <v>788</v>
      </c>
      <c r="L400" t="s">
        <v>6867</v>
      </c>
      <c r="M400" t="s">
        <v>108</v>
      </c>
      <c r="R400" t="s">
        <v>3314</v>
      </c>
      <c r="W400" t="s">
        <v>3316</v>
      </c>
      <c r="X400" t="s">
        <v>3317</v>
      </c>
      <c r="Y400" t="s">
        <v>239</v>
      </c>
      <c r="Z400" t="s">
        <v>111</v>
      </c>
      <c r="AA400" t="str">
        <f>"13045-1150"</f>
        <v>13045-1150</v>
      </c>
      <c r="AB400" t="s">
        <v>123</v>
      </c>
      <c r="AC400" t="s">
        <v>113</v>
      </c>
      <c r="AD400" t="s">
        <v>108</v>
      </c>
      <c r="AE400" t="s">
        <v>114</v>
      </c>
      <c r="AF400" t="s">
        <v>142</v>
      </c>
      <c r="AG400" t="s">
        <v>116</v>
      </c>
      <c r="AK400" t="str">
        <f t="shared" si="42"/>
        <v/>
      </c>
      <c r="AL400" t="s">
        <v>3315</v>
      </c>
      <c r="AM400">
        <v>0</v>
      </c>
      <c r="AN400">
        <v>0</v>
      </c>
      <c r="AO400">
        <v>0</v>
      </c>
      <c r="AP400">
        <v>0</v>
      </c>
      <c r="AQ400">
        <v>0</v>
      </c>
      <c r="AR400">
        <v>0</v>
      </c>
      <c r="AS400">
        <v>0</v>
      </c>
      <c r="AT400">
        <v>0</v>
      </c>
      <c r="AU400">
        <v>0</v>
      </c>
      <c r="AV400">
        <v>0</v>
      </c>
      <c r="AW400">
        <v>0</v>
      </c>
      <c r="AX400" s="24">
        <f t="shared" si="40"/>
        <v>1</v>
      </c>
      <c r="AY400" s="24">
        <f t="shared" si="40"/>
        <v>1</v>
      </c>
      <c r="AZ400" s="24" t="str">
        <f t="shared" si="44"/>
        <v/>
      </c>
      <c r="BA400" s="24" t="str">
        <f t="shared" si="44"/>
        <v/>
      </c>
      <c r="BB400" s="24" t="str">
        <f t="shared" si="44"/>
        <v/>
      </c>
      <c r="BC400" s="24" t="str">
        <f t="shared" si="44"/>
        <v/>
      </c>
      <c r="BD400" s="24" t="str">
        <f t="shared" si="44"/>
        <v/>
      </c>
      <c r="BE400" s="24" t="str">
        <f t="shared" si="44"/>
        <v/>
      </c>
      <c r="BF400" s="24" t="str">
        <f t="shared" si="44"/>
        <v/>
      </c>
      <c r="BG400" s="24" t="str">
        <f t="shared" si="44"/>
        <v/>
      </c>
      <c r="BH400" s="24" t="str">
        <f t="shared" si="43"/>
        <v/>
      </c>
      <c r="BI400" s="24">
        <f t="shared" si="44"/>
        <v>1</v>
      </c>
      <c r="BJ400" s="24" t="str">
        <f t="shared" si="38"/>
        <v/>
      </c>
    </row>
    <row r="401" spans="1:62" ht="15" customHeight="1" x14ac:dyDescent="0.25">
      <c r="A401" t="str">
        <f>"1083869374"</f>
        <v>1083869374</v>
      </c>
      <c r="B401" t="str">
        <f>"03127882"</f>
        <v>03127882</v>
      </c>
      <c r="C401" t="s">
        <v>2901</v>
      </c>
      <c r="D401" t="s">
        <v>2902</v>
      </c>
      <c r="E401" t="s">
        <v>2901</v>
      </c>
      <c r="L401" t="s">
        <v>247</v>
      </c>
      <c r="M401" t="s">
        <v>108</v>
      </c>
      <c r="R401" t="s">
        <v>2901</v>
      </c>
      <c r="W401" t="s">
        <v>2901</v>
      </c>
      <c r="X401" t="s">
        <v>1009</v>
      </c>
      <c r="Y401" t="s">
        <v>110</v>
      </c>
      <c r="Z401" t="s">
        <v>111</v>
      </c>
      <c r="AA401" t="str">
        <f>"13903-1617"</f>
        <v>13903-1617</v>
      </c>
      <c r="AB401" t="s">
        <v>811</v>
      </c>
      <c r="AC401" t="s">
        <v>113</v>
      </c>
      <c r="AD401" t="s">
        <v>108</v>
      </c>
      <c r="AE401" t="s">
        <v>114</v>
      </c>
      <c r="AF401" t="s">
        <v>115</v>
      </c>
      <c r="AG401" t="s">
        <v>116</v>
      </c>
      <c r="AK401" t="str">
        <f t="shared" si="42"/>
        <v/>
      </c>
      <c r="AL401" t="s">
        <v>2902</v>
      </c>
      <c r="AM401">
        <v>0</v>
      </c>
      <c r="AN401">
        <v>0</v>
      </c>
      <c r="AO401">
        <v>0</v>
      </c>
      <c r="AP401">
        <v>0</v>
      </c>
      <c r="AQ401">
        <v>0</v>
      </c>
      <c r="AR401">
        <v>0</v>
      </c>
      <c r="AS401">
        <v>0</v>
      </c>
      <c r="AT401">
        <v>0</v>
      </c>
      <c r="AU401">
        <v>0</v>
      </c>
      <c r="AV401">
        <v>0</v>
      </c>
      <c r="AW401">
        <v>0</v>
      </c>
      <c r="AX401" s="24" t="str">
        <f t="shared" si="40"/>
        <v/>
      </c>
      <c r="AY401" s="24">
        <f t="shared" si="40"/>
        <v>1</v>
      </c>
      <c r="AZ401" s="24" t="str">
        <f t="shared" si="44"/>
        <v/>
      </c>
      <c r="BA401" s="24" t="str">
        <f t="shared" si="44"/>
        <v/>
      </c>
      <c r="BB401" s="24" t="str">
        <f t="shared" si="44"/>
        <v/>
      </c>
      <c r="BC401" s="24" t="str">
        <f t="shared" si="44"/>
        <v/>
      </c>
      <c r="BD401" s="24" t="str">
        <f t="shared" si="44"/>
        <v/>
      </c>
      <c r="BE401" s="24" t="str">
        <f t="shared" si="44"/>
        <v/>
      </c>
      <c r="BF401" s="24" t="str">
        <f t="shared" si="44"/>
        <v/>
      </c>
      <c r="BG401" s="24" t="str">
        <f t="shared" si="44"/>
        <v/>
      </c>
      <c r="BH401" s="24" t="str">
        <f t="shared" si="43"/>
        <v/>
      </c>
      <c r="BI401" s="24" t="str">
        <f t="shared" si="44"/>
        <v/>
      </c>
      <c r="BJ401" s="24" t="str">
        <f t="shared" si="38"/>
        <v/>
      </c>
    </row>
    <row r="402" spans="1:62" ht="15" customHeight="1" x14ac:dyDescent="0.25">
      <c r="A402" t="str">
        <f>"1417248113"</f>
        <v>1417248113</v>
      </c>
      <c r="B402" t="str">
        <f>"04109766"</f>
        <v>04109766</v>
      </c>
      <c r="C402" t="s">
        <v>6802</v>
      </c>
      <c r="D402" t="s">
        <v>7080</v>
      </c>
      <c r="E402" t="s">
        <v>6942</v>
      </c>
      <c r="G402" t="s">
        <v>6330</v>
      </c>
      <c r="H402" t="s">
        <v>6331</v>
      </c>
      <c r="J402" t="s">
        <v>6332</v>
      </c>
      <c r="L402" t="s">
        <v>247</v>
      </c>
      <c r="M402" t="s">
        <v>108</v>
      </c>
      <c r="R402" t="s">
        <v>6802</v>
      </c>
      <c r="W402" t="s">
        <v>6942</v>
      </c>
      <c r="X402" t="s">
        <v>6943</v>
      </c>
      <c r="Y402" t="s">
        <v>129</v>
      </c>
      <c r="Z402" t="s">
        <v>111</v>
      </c>
      <c r="AA402" t="str">
        <f>"13790-1810"</f>
        <v>13790-1810</v>
      </c>
      <c r="AB402" t="s">
        <v>123</v>
      </c>
      <c r="AC402" t="s">
        <v>113</v>
      </c>
      <c r="AD402" t="s">
        <v>108</v>
      </c>
      <c r="AE402" t="s">
        <v>114</v>
      </c>
      <c r="AF402" t="s">
        <v>115</v>
      </c>
      <c r="AG402" t="s">
        <v>116</v>
      </c>
      <c r="AK402" t="str">
        <f t="shared" si="42"/>
        <v>EISENBERG SPENCER</v>
      </c>
      <c r="AL402" t="s">
        <v>7080</v>
      </c>
      <c r="AM402" t="s">
        <v>108</v>
      </c>
      <c r="AN402" t="s">
        <v>108</v>
      </c>
      <c r="AO402" t="s">
        <v>108</v>
      </c>
      <c r="AP402" t="s">
        <v>108</v>
      </c>
      <c r="AQ402" t="s">
        <v>108</v>
      </c>
      <c r="AR402" t="s">
        <v>108</v>
      </c>
      <c r="AS402" t="s">
        <v>108</v>
      </c>
      <c r="AT402" t="s">
        <v>108</v>
      </c>
      <c r="AU402">
        <v>0</v>
      </c>
      <c r="AV402" t="s">
        <v>108</v>
      </c>
      <c r="AW402" t="s">
        <v>108</v>
      </c>
      <c r="AX402" s="24" t="str">
        <f t="shared" si="40"/>
        <v/>
      </c>
      <c r="AY402" s="24">
        <f t="shared" si="40"/>
        <v>1</v>
      </c>
      <c r="AZ402" s="24" t="str">
        <f t="shared" si="44"/>
        <v/>
      </c>
      <c r="BA402" s="24" t="str">
        <f t="shared" si="44"/>
        <v/>
      </c>
      <c r="BB402" s="24" t="str">
        <f t="shared" si="44"/>
        <v/>
      </c>
      <c r="BC402" s="24" t="str">
        <f t="shared" si="44"/>
        <v/>
      </c>
      <c r="BD402" s="24" t="str">
        <f t="shared" si="44"/>
        <v/>
      </c>
      <c r="BE402" s="24" t="str">
        <f t="shared" si="44"/>
        <v/>
      </c>
      <c r="BF402" s="24" t="str">
        <f t="shared" si="44"/>
        <v/>
      </c>
      <c r="BG402" s="24" t="str">
        <f t="shared" si="44"/>
        <v/>
      </c>
      <c r="BH402" s="24" t="str">
        <f t="shared" si="43"/>
        <v/>
      </c>
      <c r="BI402" s="24" t="str">
        <f t="shared" si="44"/>
        <v/>
      </c>
      <c r="BJ402" s="24" t="str">
        <f t="shared" ref="BJ402:BJ465" si="45">IF(ISERROR(FIND(BJ$1,$L402,1)),"",1)</f>
        <v/>
      </c>
    </row>
    <row r="403" spans="1:62" ht="15" customHeight="1" x14ac:dyDescent="0.25">
      <c r="A403" t="str">
        <f>"1134382369"</f>
        <v>1134382369</v>
      </c>
      <c r="B403" t="str">
        <f>"03280366"</f>
        <v>03280366</v>
      </c>
      <c r="C403" t="s">
        <v>6006</v>
      </c>
      <c r="D403" t="s">
        <v>6007</v>
      </c>
      <c r="E403" t="s">
        <v>6008</v>
      </c>
      <c r="G403" t="s">
        <v>815</v>
      </c>
      <c r="H403" t="s">
        <v>816</v>
      </c>
      <c r="J403" t="s">
        <v>817</v>
      </c>
      <c r="L403" t="s">
        <v>247</v>
      </c>
      <c r="M403" t="s">
        <v>108</v>
      </c>
      <c r="R403" t="s">
        <v>6009</v>
      </c>
      <c r="W403" t="s">
        <v>6008</v>
      </c>
      <c r="X403" t="s">
        <v>1314</v>
      </c>
      <c r="Y403" t="s">
        <v>141</v>
      </c>
      <c r="Z403" t="s">
        <v>111</v>
      </c>
      <c r="AA403" t="str">
        <f>"13215-2265"</f>
        <v>13215-2265</v>
      </c>
      <c r="AB403" t="s">
        <v>123</v>
      </c>
      <c r="AC403" t="s">
        <v>113</v>
      </c>
      <c r="AD403" t="s">
        <v>108</v>
      </c>
      <c r="AE403" t="s">
        <v>114</v>
      </c>
      <c r="AF403" t="s">
        <v>115</v>
      </c>
      <c r="AG403" t="s">
        <v>116</v>
      </c>
      <c r="AK403" t="str">
        <f t="shared" si="42"/>
        <v>Elaine Reeves, FNP-C</v>
      </c>
      <c r="AL403" t="s">
        <v>6007</v>
      </c>
      <c r="AM403" t="s">
        <v>108</v>
      </c>
      <c r="AN403" t="s">
        <v>108</v>
      </c>
      <c r="AO403" t="s">
        <v>108</v>
      </c>
      <c r="AP403" t="s">
        <v>108</v>
      </c>
      <c r="AQ403" t="s">
        <v>108</v>
      </c>
      <c r="AR403" t="s">
        <v>108</v>
      </c>
      <c r="AS403" t="s">
        <v>108</v>
      </c>
      <c r="AT403" t="s">
        <v>108</v>
      </c>
      <c r="AU403">
        <v>0</v>
      </c>
      <c r="AV403" t="s">
        <v>108</v>
      </c>
      <c r="AW403" t="s">
        <v>108</v>
      </c>
      <c r="AX403" s="24" t="str">
        <f t="shared" si="40"/>
        <v/>
      </c>
      <c r="AY403" s="24">
        <f t="shared" si="40"/>
        <v>1</v>
      </c>
      <c r="AZ403" s="24" t="str">
        <f t="shared" si="44"/>
        <v/>
      </c>
      <c r="BA403" s="24" t="str">
        <f t="shared" si="44"/>
        <v/>
      </c>
      <c r="BB403" s="24" t="str">
        <f t="shared" si="44"/>
        <v/>
      </c>
      <c r="BC403" s="24" t="str">
        <f t="shared" si="44"/>
        <v/>
      </c>
      <c r="BD403" s="24" t="str">
        <f t="shared" si="44"/>
        <v/>
      </c>
      <c r="BE403" s="24" t="str">
        <f t="shared" si="44"/>
        <v/>
      </c>
      <c r="BF403" s="24" t="str">
        <f t="shared" si="44"/>
        <v/>
      </c>
      <c r="BG403" s="24" t="str">
        <f t="shared" si="44"/>
        <v/>
      </c>
      <c r="BH403" s="24" t="str">
        <f t="shared" si="43"/>
        <v/>
      </c>
      <c r="BI403" s="24" t="str">
        <f t="shared" si="44"/>
        <v/>
      </c>
      <c r="BJ403" s="24" t="str">
        <f t="shared" si="45"/>
        <v/>
      </c>
    </row>
    <row r="404" spans="1:62" ht="15" customHeight="1" x14ac:dyDescent="0.25">
      <c r="A404" t="str">
        <f>"1851559041"</f>
        <v>1851559041</v>
      </c>
      <c r="B404" t="str">
        <f>"03786321"</f>
        <v>03786321</v>
      </c>
      <c r="C404" t="s">
        <v>5905</v>
      </c>
      <c r="D404" t="s">
        <v>5906</v>
      </c>
      <c r="E404" t="s">
        <v>5907</v>
      </c>
      <c r="G404" t="s">
        <v>815</v>
      </c>
      <c r="H404" t="s">
        <v>816</v>
      </c>
      <c r="J404" t="s">
        <v>817</v>
      </c>
      <c r="L404" t="s">
        <v>138</v>
      </c>
      <c r="M404" t="s">
        <v>108</v>
      </c>
      <c r="R404" t="s">
        <v>5908</v>
      </c>
      <c r="W404" t="s">
        <v>5907</v>
      </c>
      <c r="X404" t="s">
        <v>5899</v>
      </c>
      <c r="Y404" t="s">
        <v>110</v>
      </c>
      <c r="Z404" t="s">
        <v>111</v>
      </c>
      <c r="AA404" t="str">
        <f>"13905-4178"</f>
        <v>13905-4178</v>
      </c>
      <c r="AB404" t="s">
        <v>123</v>
      </c>
      <c r="AC404" t="s">
        <v>113</v>
      </c>
      <c r="AD404" t="s">
        <v>108</v>
      </c>
      <c r="AE404" t="s">
        <v>114</v>
      </c>
      <c r="AF404" t="s">
        <v>115</v>
      </c>
      <c r="AG404" t="s">
        <v>116</v>
      </c>
      <c r="AK404" t="str">
        <f t="shared" si="42"/>
        <v>Eldad U. Einav, MD</v>
      </c>
      <c r="AL404" t="s">
        <v>5906</v>
      </c>
      <c r="AM404" t="s">
        <v>108</v>
      </c>
      <c r="AN404" t="s">
        <v>108</v>
      </c>
      <c r="AO404" t="s">
        <v>108</v>
      </c>
      <c r="AP404" t="s">
        <v>108</v>
      </c>
      <c r="AQ404" t="s">
        <v>108</v>
      </c>
      <c r="AR404" t="s">
        <v>108</v>
      </c>
      <c r="AS404" t="s">
        <v>108</v>
      </c>
      <c r="AT404" t="s">
        <v>108</v>
      </c>
      <c r="AU404">
        <v>0</v>
      </c>
      <c r="AV404" t="s">
        <v>108</v>
      </c>
      <c r="AW404" t="s">
        <v>108</v>
      </c>
      <c r="AX404" s="24" t="str">
        <f t="shared" si="40"/>
        <v/>
      </c>
      <c r="AY404" s="24">
        <f t="shared" si="40"/>
        <v>1</v>
      </c>
      <c r="AZ404" s="24" t="str">
        <f t="shared" si="44"/>
        <v/>
      </c>
      <c r="BA404" s="24" t="str">
        <f t="shared" si="44"/>
        <v/>
      </c>
      <c r="BB404" s="24" t="str">
        <f t="shared" si="44"/>
        <v/>
      </c>
      <c r="BC404" s="24" t="str">
        <f t="shared" si="44"/>
        <v/>
      </c>
      <c r="BD404" s="24" t="str">
        <f t="shared" si="44"/>
        <v/>
      </c>
      <c r="BE404" s="24" t="str">
        <f t="shared" si="44"/>
        <v/>
      </c>
      <c r="BF404" s="24" t="str">
        <f t="shared" si="44"/>
        <v/>
      </c>
      <c r="BG404" s="24" t="str">
        <f t="shared" si="44"/>
        <v/>
      </c>
      <c r="BH404" s="24" t="str">
        <f t="shared" si="43"/>
        <v/>
      </c>
      <c r="BI404" s="24">
        <f t="shared" si="44"/>
        <v>1</v>
      </c>
      <c r="BJ404" s="24" t="str">
        <f t="shared" si="45"/>
        <v/>
      </c>
    </row>
    <row r="405" spans="1:62" ht="15" customHeight="1" x14ac:dyDescent="0.25">
      <c r="B405" t="str">
        <f>"03314550"</f>
        <v>03314550</v>
      </c>
      <c r="C405" t="s">
        <v>1268</v>
      </c>
      <c r="D405" t="s">
        <v>1269</v>
      </c>
      <c r="E405" t="s">
        <v>1270</v>
      </c>
      <c r="G405" t="s">
        <v>1263</v>
      </c>
      <c r="H405" t="s">
        <v>1264</v>
      </c>
      <c r="I405">
        <v>317</v>
      </c>
      <c r="J405" t="s">
        <v>1265</v>
      </c>
      <c r="L405" t="s">
        <v>68</v>
      </c>
      <c r="M405" t="s">
        <v>139</v>
      </c>
      <c r="W405" t="s">
        <v>1268</v>
      </c>
      <c r="X405" t="s">
        <v>1271</v>
      </c>
      <c r="Y405" t="s">
        <v>1272</v>
      </c>
      <c r="Z405" t="s">
        <v>111</v>
      </c>
      <c r="AA405" t="str">
        <f>"13021-1135"</f>
        <v>13021-1135</v>
      </c>
      <c r="AB405" t="s">
        <v>165</v>
      </c>
      <c r="AC405" t="s">
        <v>113</v>
      </c>
      <c r="AD405" t="s">
        <v>108</v>
      </c>
      <c r="AE405" t="s">
        <v>114</v>
      </c>
      <c r="AF405" t="s">
        <v>142</v>
      </c>
      <c r="AG405" t="s">
        <v>116</v>
      </c>
      <c r="AK405" t="str">
        <f t="shared" si="42"/>
        <v/>
      </c>
      <c r="AL405" t="s">
        <v>1269</v>
      </c>
      <c r="AM405">
        <v>1</v>
      </c>
      <c r="AN405">
        <v>1</v>
      </c>
      <c r="AO405">
        <v>0</v>
      </c>
      <c r="AP405">
        <v>0</v>
      </c>
      <c r="AQ405">
        <v>1</v>
      </c>
      <c r="AR405">
        <v>0</v>
      </c>
      <c r="AS405">
        <v>0</v>
      </c>
      <c r="AT405">
        <v>0</v>
      </c>
      <c r="AU405">
        <v>0</v>
      </c>
      <c r="AV405">
        <v>0</v>
      </c>
      <c r="AW405">
        <v>0</v>
      </c>
      <c r="AX405" s="24" t="str">
        <f t="shared" si="40"/>
        <v/>
      </c>
      <c r="AY405" s="24" t="str">
        <f t="shared" si="40"/>
        <v/>
      </c>
      <c r="AZ405" s="24" t="str">
        <f t="shared" si="44"/>
        <v/>
      </c>
      <c r="BA405" s="24" t="str">
        <f t="shared" si="44"/>
        <v/>
      </c>
      <c r="BB405" s="24" t="str">
        <f t="shared" si="44"/>
        <v/>
      </c>
      <c r="BC405" s="24" t="str">
        <f t="shared" si="44"/>
        <v/>
      </c>
      <c r="BD405" s="24" t="str">
        <f t="shared" si="44"/>
        <v/>
      </c>
      <c r="BE405" s="24" t="str">
        <f t="shared" si="44"/>
        <v/>
      </c>
      <c r="BF405" s="24" t="str">
        <f t="shared" si="44"/>
        <v/>
      </c>
      <c r="BG405" s="24" t="str">
        <f t="shared" si="44"/>
        <v/>
      </c>
      <c r="BH405" s="24" t="str">
        <f t="shared" si="43"/>
        <v/>
      </c>
      <c r="BI405" s="24">
        <f t="shared" si="44"/>
        <v>1</v>
      </c>
      <c r="BJ405" s="24" t="str">
        <f t="shared" si="45"/>
        <v/>
      </c>
    </row>
    <row r="406" spans="1:62" ht="15" customHeight="1" x14ac:dyDescent="0.25">
      <c r="B406" t="str">
        <f>"01892828"</f>
        <v>01892828</v>
      </c>
      <c r="C406" t="s">
        <v>1261</v>
      </c>
      <c r="D406" t="s">
        <v>1262</v>
      </c>
      <c r="E406" t="s">
        <v>1261</v>
      </c>
      <c r="G406" t="s">
        <v>1263</v>
      </c>
      <c r="H406" t="s">
        <v>1264</v>
      </c>
      <c r="I406">
        <v>317</v>
      </c>
      <c r="J406" t="s">
        <v>1265</v>
      </c>
      <c r="L406" t="s">
        <v>68</v>
      </c>
      <c r="M406" t="s">
        <v>108</v>
      </c>
      <c r="W406" t="s">
        <v>1261</v>
      </c>
      <c r="X406" t="s">
        <v>1266</v>
      </c>
      <c r="Y406" t="s">
        <v>1267</v>
      </c>
      <c r="Z406" t="s">
        <v>111</v>
      </c>
      <c r="AA406" t="str">
        <f>"13060-9518"</f>
        <v>13060-9518</v>
      </c>
      <c r="AB406" t="s">
        <v>165</v>
      </c>
      <c r="AC406" t="s">
        <v>113</v>
      </c>
      <c r="AD406" t="s">
        <v>108</v>
      </c>
      <c r="AE406" t="s">
        <v>114</v>
      </c>
      <c r="AF406" t="s">
        <v>142</v>
      </c>
      <c r="AG406" t="s">
        <v>116</v>
      </c>
      <c r="AK406" t="str">
        <f t="shared" si="42"/>
        <v/>
      </c>
      <c r="AL406" t="s">
        <v>1262</v>
      </c>
      <c r="AM406">
        <v>1</v>
      </c>
      <c r="AN406">
        <v>1</v>
      </c>
      <c r="AO406">
        <v>0</v>
      </c>
      <c r="AP406">
        <v>0</v>
      </c>
      <c r="AQ406">
        <v>1</v>
      </c>
      <c r="AR406">
        <v>0</v>
      </c>
      <c r="AS406">
        <v>0</v>
      </c>
      <c r="AT406">
        <v>0</v>
      </c>
      <c r="AU406">
        <v>0</v>
      </c>
      <c r="AV406">
        <v>0</v>
      </c>
      <c r="AW406">
        <v>0</v>
      </c>
      <c r="AX406" s="24" t="str">
        <f t="shared" si="40"/>
        <v/>
      </c>
      <c r="AY406" s="24" t="str">
        <f t="shared" si="40"/>
        <v/>
      </c>
      <c r="AZ406" s="24" t="str">
        <f t="shared" si="44"/>
        <v/>
      </c>
      <c r="BA406" s="24" t="str">
        <f t="shared" si="44"/>
        <v/>
      </c>
      <c r="BB406" s="24" t="str">
        <f t="shared" si="44"/>
        <v/>
      </c>
      <c r="BC406" s="24" t="str">
        <f t="shared" si="44"/>
        <v/>
      </c>
      <c r="BD406" s="24" t="str">
        <f t="shared" si="44"/>
        <v/>
      </c>
      <c r="BE406" s="24" t="str">
        <f t="shared" si="44"/>
        <v/>
      </c>
      <c r="BF406" s="24" t="str">
        <f t="shared" si="44"/>
        <v/>
      </c>
      <c r="BG406" s="24" t="str">
        <f t="shared" si="44"/>
        <v/>
      </c>
      <c r="BH406" s="24" t="str">
        <f t="shared" si="43"/>
        <v/>
      </c>
      <c r="BI406" s="24">
        <f t="shared" si="44"/>
        <v>1</v>
      </c>
      <c r="BJ406" s="24" t="str">
        <f t="shared" si="45"/>
        <v/>
      </c>
    </row>
    <row r="407" spans="1:62" ht="15" customHeight="1" x14ac:dyDescent="0.25">
      <c r="A407" t="str">
        <f>"1902165194"</f>
        <v>1902165194</v>
      </c>
      <c r="C407" t="s">
        <v>1273</v>
      </c>
      <c r="D407" t="s">
        <v>1269</v>
      </c>
      <c r="G407" t="s">
        <v>1263</v>
      </c>
      <c r="H407" t="s">
        <v>1264</v>
      </c>
      <c r="I407">
        <v>317</v>
      </c>
      <c r="J407" t="s">
        <v>1265</v>
      </c>
      <c r="K407" t="s">
        <v>1274</v>
      </c>
      <c r="L407" t="s">
        <v>133</v>
      </c>
      <c r="M407" t="s">
        <v>108</v>
      </c>
      <c r="R407" t="s">
        <v>1273</v>
      </c>
      <c r="S407" t="s">
        <v>1275</v>
      </c>
      <c r="T407" t="s">
        <v>1267</v>
      </c>
      <c r="U407" t="s">
        <v>111</v>
      </c>
      <c r="V407" t="str">
        <f>"13060"</f>
        <v>13060</v>
      </c>
      <c r="AC407" t="s">
        <v>113</v>
      </c>
      <c r="AD407" t="s">
        <v>108</v>
      </c>
      <c r="AE407" t="s">
        <v>775</v>
      </c>
      <c r="AF407" t="s">
        <v>142</v>
      </c>
      <c r="AG407" t="s">
        <v>116</v>
      </c>
      <c r="AK407" t="str">
        <f t="shared" si="42"/>
        <v/>
      </c>
      <c r="AL407" t="s">
        <v>1269</v>
      </c>
      <c r="AM407">
        <v>1</v>
      </c>
      <c r="AN407">
        <v>1</v>
      </c>
      <c r="AQ407">
        <v>1</v>
      </c>
      <c r="AR407" t="s">
        <v>108</v>
      </c>
      <c r="AS407" t="s">
        <v>108</v>
      </c>
      <c r="AT407" t="s">
        <v>108</v>
      </c>
      <c r="AU407">
        <v>0</v>
      </c>
      <c r="AV407" t="s">
        <v>108</v>
      </c>
      <c r="AW407" t="s">
        <v>108</v>
      </c>
      <c r="AX407" s="24" t="str">
        <f t="shared" si="40"/>
        <v/>
      </c>
      <c r="AY407" s="24" t="str">
        <f t="shared" si="40"/>
        <v/>
      </c>
      <c r="AZ407" s="24" t="str">
        <f t="shared" si="44"/>
        <v/>
      </c>
      <c r="BA407" s="24" t="str">
        <f t="shared" si="44"/>
        <v/>
      </c>
      <c r="BB407" s="24" t="str">
        <f t="shared" si="44"/>
        <v/>
      </c>
      <c r="BC407" s="24" t="str">
        <f t="shared" si="44"/>
        <v/>
      </c>
      <c r="BD407" s="24" t="str">
        <f t="shared" si="44"/>
        <v/>
      </c>
      <c r="BE407" s="24" t="str">
        <f t="shared" si="44"/>
        <v/>
      </c>
      <c r="BF407" s="24" t="str">
        <f t="shared" si="44"/>
        <v/>
      </c>
      <c r="BG407" s="24" t="str">
        <f t="shared" si="44"/>
        <v/>
      </c>
      <c r="BH407" s="24" t="str">
        <f t="shared" si="43"/>
        <v/>
      </c>
      <c r="BI407" s="24" t="str">
        <f t="shared" si="44"/>
        <v/>
      </c>
      <c r="BJ407" s="24">
        <f t="shared" si="45"/>
        <v>1</v>
      </c>
    </row>
    <row r="408" spans="1:62" ht="15" customHeight="1" x14ac:dyDescent="0.25">
      <c r="A408" t="str">
        <f>"1891068565"</f>
        <v>1891068565</v>
      </c>
      <c r="B408" t="str">
        <f>"00362689"</f>
        <v>00362689</v>
      </c>
      <c r="C408" t="s">
        <v>4788</v>
      </c>
      <c r="D408" t="s">
        <v>4789</v>
      </c>
      <c r="E408" t="s">
        <v>4790</v>
      </c>
      <c r="G408" t="s">
        <v>1952</v>
      </c>
      <c r="H408" t="s">
        <v>4791</v>
      </c>
      <c r="J408" t="s">
        <v>4792</v>
      </c>
      <c r="L408" t="s">
        <v>68</v>
      </c>
      <c r="M408" t="s">
        <v>139</v>
      </c>
      <c r="R408" t="s">
        <v>4793</v>
      </c>
      <c r="W408" t="s">
        <v>4790</v>
      </c>
      <c r="X408" t="s">
        <v>1955</v>
      </c>
      <c r="Y408" t="s">
        <v>1956</v>
      </c>
      <c r="Z408" t="s">
        <v>111</v>
      </c>
      <c r="AA408" t="str">
        <f>"14892-1211"</f>
        <v>14892-1211</v>
      </c>
      <c r="AB408" t="s">
        <v>303</v>
      </c>
      <c r="AC408" t="s">
        <v>113</v>
      </c>
      <c r="AD408" t="s">
        <v>108</v>
      </c>
      <c r="AE408" t="s">
        <v>114</v>
      </c>
      <c r="AF408" t="s">
        <v>115</v>
      </c>
      <c r="AG408" t="s">
        <v>116</v>
      </c>
      <c r="AK408" t="str">
        <f t="shared" si="42"/>
        <v/>
      </c>
      <c r="AL408" t="s">
        <v>4789</v>
      </c>
      <c r="AM408">
        <v>1</v>
      </c>
      <c r="AN408">
        <v>0</v>
      </c>
      <c r="AO408">
        <v>1</v>
      </c>
      <c r="AP408">
        <v>0</v>
      </c>
      <c r="AQ408">
        <v>0</v>
      </c>
      <c r="AR408">
        <v>0</v>
      </c>
      <c r="AS408">
        <v>0</v>
      </c>
      <c r="AT408">
        <v>0</v>
      </c>
      <c r="AU408">
        <v>0</v>
      </c>
      <c r="AV408">
        <v>0</v>
      </c>
      <c r="AW408">
        <v>0</v>
      </c>
      <c r="AX408" s="24" t="str">
        <f t="shared" si="40"/>
        <v/>
      </c>
      <c r="AY408" s="24" t="str">
        <f t="shared" si="40"/>
        <v/>
      </c>
      <c r="AZ408" s="24" t="str">
        <f t="shared" si="44"/>
        <v/>
      </c>
      <c r="BA408" s="24" t="str">
        <f t="shared" si="44"/>
        <v/>
      </c>
      <c r="BB408" s="24" t="str">
        <f t="shared" si="44"/>
        <v/>
      </c>
      <c r="BC408" s="24" t="str">
        <f t="shared" si="44"/>
        <v/>
      </c>
      <c r="BD408" s="24" t="str">
        <f t="shared" si="44"/>
        <v/>
      </c>
      <c r="BE408" s="24" t="str">
        <f t="shared" si="44"/>
        <v/>
      </c>
      <c r="BF408" s="24" t="str">
        <f t="shared" si="44"/>
        <v/>
      </c>
      <c r="BG408" s="24" t="str">
        <f t="shared" si="44"/>
        <v/>
      </c>
      <c r="BH408" s="24" t="str">
        <f t="shared" si="43"/>
        <v/>
      </c>
      <c r="BI408" s="24">
        <f t="shared" si="44"/>
        <v>1</v>
      </c>
      <c r="BJ408" s="24" t="str">
        <f t="shared" si="45"/>
        <v/>
      </c>
    </row>
    <row r="409" spans="1:62" ht="15" customHeight="1" x14ac:dyDescent="0.25">
      <c r="A409" t="str">
        <f>"1386641199"</f>
        <v>1386641199</v>
      </c>
      <c r="C409" t="s">
        <v>1951</v>
      </c>
      <c r="G409" t="s">
        <v>1952</v>
      </c>
      <c r="H409" t="s">
        <v>1953</v>
      </c>
      <c r="K409" t="s">
        <v>1597</v>
      </c>
      <c r="L409" t="s">
        <v>133</v>
      </c>
      <c r="M409" t="s">
        <v>108</v>
      </c>
      <c r="R409" t="s">
        <v>1954</v>
      </c>
      <c r="S409" t="s">
        <v>1955</v>
      </c>
      <c r="T409" t="s">
        <v>1956</v>
      </c>
      <c r="U409" t="s">
        <v>111</v>
      </c>
      <c r="V409" t="str">
        <f>"148921211"</f>
        <v>148921211</v>
      </c>
      <c r="AC409" t="s">
        <v>113</v>
      </c>
      <c r="AD409" t="s">
        <v>108</v>
      </c>
      <c r="AE409" t="s">
        <v>775</v>
      </c>
      <c r="AF409" t="s">
        <v>115</v>
      </c>
      <c r="AG409" t="s">
        <v>116</v>
      </c>
      <c r="AK409" t="str">
        <f t="shared" si="42"/>
        <v>ELDERWOOD HEALTH CARE AT TIOGA</v>
      </c>
      <c r="AM409" t="s">
        <v>108</v>
      </c>
      <c r="AN409" t="s">
        <v>108</v>
      </c>
      <c r="AO409" t="s">
        <v>108</v>
      </c>
      <c r="AP409" t="s">
        <v>108</v>
      </c>
      <c r="AQ409" t="s">
        <v>108</v>
      </c>
      <c r="AR409" t="s">
        <v>108</v>
      </c>
      <c r="AS409" t="s">
        <v>108</v>
      </c>
      <c r="AT409" t="s">
        <v>108</v>
      </c>
      <c r="AU409">
        <v>0</v>
      </c>
      <c r="AV409" t="s">
        <v>108</v>
      </c>
      <c r="AW409" t="s">
        <v>108</v>
      </c>
      <c r="AX409" s="24" t="str">
        <f t="shared" si="40"/>
        <v/>
      </c>
      <c r="AY409" s="24" t="str">
        <f t="shared" si="40"/>
        <v/>
      </c>
      <c r="AZ409" s="24" t="str">
        <f t="shared" si="44"/>
        <v/>
      </c>
      <c r="BA409" s="24" t="str">
        <f t="shared" si="44"/>
        <v/>
      </c>
      <c r="BB409" s="24" t="str">
        <f t="shared" si="44"/>
        <v/>
      </c>
      <c r="BC409" s="24" t="str">
        <f t="shared" si="44"/>
        <v/>
      </c>
      <c r="BD409" s="24" t="str">
        <f t="shared" si="44"/>
        <v/>
      </c>
      <c r="BE409" s="24" t="str">
        <f t="shared" si="44"/>
        <v/>
      </c>
      <c r="BF409" s="24" t="str">
        <f t="shared" si="44"/>
        <v/>
      </c>
      <c r="BG409" s="24" t="str">
        <f t="shared" si="44"/>
        <v/>
      </c>
      <c r="BH409" s="24" t="str">
        <f t="shared" si="43"/>
        <v/>
      </c>
      <c r="BI409" s="24" t="str">
        <f t="shared" si="44"/>
        <v/>
      </c>
      <c r="BJ409" s="24">
        <f t="shared" si="45"/>
        <v>1</v>
      </c>
    </row>
    <row r="410" spans="1:62" ht="15" customHeight="1" x14ac:dyDescent="0.25">
      <c r="A410" t="str">
        <f>"1720049919"</f>
        <v>1720049919</v>
      </c>
      <c r="B410" t="str">
        <f>"03140549"</f>
        <v>03140549</v>
      </c>
      <c r="C410" t="s">
        <v>2752</v>
      </c>
      <c r="D410" t="s">
        <v>2753</v>
      </c>
      <c r="E410" t="s">
        <v>2754</v>
      </c>
      <c r="G410" t="s">
        <v>2755</v>
      </c>
      <c r="H410" t="s">
        <v>2756</v>
      </c>
      <c r="J410" t="s">
        <v>2757</v>
      </c>
      <c r="L410" t="s">
        <v>120</v>
      </c>
      <c r="M410" t="s">
        <v>108</v>
      </c>
      <c r="R410" t="s">
        <v>2758</v>
      </c>
      <c r="W410" t="s">
        <v>2754</v>
      </c>
      <c r="X410" t="s">
        <v>2759</v>
      </c>
      <c r="Y410" t="s">
        <v>293</v>
      </c>
      <c r="Z410" t="s">
        <v>111</v>
      </c>
      <c r="AA410" t="str">
        <f>"14850-1863"</f>
        <v>14850-1863</v>
      </c>
      <c r="AB410" t="s">
        <v>123</v>
      </c>
      <c r="AC410" t="s">
        <v>113</v>
      </c>
      <c r="AD410" t="s">
        <v>108</v>
      </c>
      <c r="AE410" t="s">
        <v>114</v>
      </c>
      <c r="AF410" t="s">
        <v>142</v>
      </c>
      <c r="AG410" t="s">
        <v>116</v>
      </c>
      <c r="AK410" t="str">
        <f t="shared" si="42"/>
        <v/>
      </c>
      <c r="AL410" t="s">
        <v>2753</v>
      </c>
      <c r="AM410">
        <v>1</v>
      </c>
      <c r="AN410">
        <v>1</v>
      </c>
      <c r="AO410">
        <v>0</v>
      </c>
      <c r="AP410">
        <v>0</v>
      </c>
      <c r="AQ410">
        <v>0</v>
      </c>
      <c r="AR410">
        <v>0</v>
      </c>
      <c r="AS410">
        <v>0</v>
      </c>
      <c r="AT410">
        <v>0</v>
      </c>
      <c r="AU410">
        <v>1</v>
      </c>
      <c r="AV410">
        <v>0</v>
      </c>
      <c r="AW410">
        <v>0</v>
      </c>
      <c r="AX410" s="24">
        <f t="shared" si="40"/>
        <v>1</v>
      </c>
      <c r="AY410" s="24" t="str">
        <f t="shared" si="40"/>
        <v/>
      </c>
      <c r="AZ410" s="24" t="str">
        <f t="shared" si="44"/>
        <v/>
      </c>
      <c r="BA410" s="24" t="str">
        <f t="shared" si="44"/>
        <v/>
      </c>
      <c r="BB410" s="24" t="str">
        <f t="shared" si="44"/>
        <v/>
      </c>
      <c r="BC410" s="24" t="str">
        <f t="shared" si="44"/>
        <v/>
      </c>
      <c r="BD410" s="24" t="str">
        <f t="shared" si="44"/>
        <v/>
      </c>
      <c r="BE410" s="24" t="str">
        <f t="shared" si="44"/>
        <v/>
      </c>
      <c r="BF410" s="24" t="str">
        <f t="shared" si="44"/>
        <v/>
      </c>
      <c r="BG410" s="24" t="str">
        <f t="shared" si="44"/>
        <v/>
      </c>
      <c r="BH410" s="24" t="str">
        <f t="shared" si="43"/>
        <v/>
      </c>
      <c r="BI410" s="24">
        <f t="shared" si="44"/>
        <v>1</v>
      </c>
      <c r="BJ410" s="24" t="str">
        <f t="shared" si="45"/>
        <v/>
      </c>
    </row>
    <row r="411" spans="1:62" ht="15" customHeight="1" x14ac:dyDescent="0.25">
      <c r="A411" t="str">
        <f>"1174073662"</f>
        <v>1174073662</v>
      </c>
      <c r="B411" t="str">
        <f>"04624168"</f>
        <v>04624168</v>
      </c>
      <c r="C411" t="s">
        <v>6609</v>
      </c>
      <c r="D411" t="s">
        <v>6610</v>
      </c>
      <c r="E411" t="s">
        <v>6611</v>
      </c>
      <c r="G411" t="s">
        <v>3781</v>
      </c>
      <c r="H411" t="s">
        <v>2413</v>
      </c>
      <c r="J411" t="s">
        <v>3782</v>
      </c>
      <c r="L411" t="s">
        <v>247</v>
      </c>
      <c r="M411" t="s">
        <v>108</v>
      </c>
      <c r="R411" t="s">
        <v>6612</v>
      </c>
      <c r="W411" t="s">
        <v>6611</v>
      </c>
      <c r="AB411" t="s">
        <v>123</v>
      </c>
      <c r="AC411" t="s">
        <v>113</v>
      </c>
      <c r="AD411" t="s">
        <v>108</v>
      </c>
      <c r="AE411" t="s">
        <v>114</v>
      </c>
      <c r="AF411" t="s">
        <v>142</v>
      </c>
      <c r="AG411" t="s">
        <v>116</v>
      </c>
      <c r="AK411" t="str">
        <f t="shared" si="42"/>
        <v>Elizabeth Dorothy</v>
      </c>
      <c r="AL411" t="s">
        <v>6610</v>
      </c>
      <c r="AM411" t="s">
        <v>108</v>
      </c>
      <c r="AN411" t="s">
        <v>108</v>
      </c>
      <c r="AO411" t="s">
        <v>108</v>
      </c>
      <c r="AP411" t="s">
        <v>108</v>
      </c>
      <c r="AQ411" t="s">
        <v>108</v>
      </c>
      <c r="AR411" t="s">
        <v>108</v>
      </c>
      <c r="AS411" t="s">
        <v>108</v>
      </c>
      <c r="AT411" t="s">
        <v>108</v>
      </c>
      <c r="AU411">
        <v>0</v>
      </c>
      <c r="AV411" t="s">
        <v>108</v>
      </c>
      <c r="AW411" t="s">
        <v>108</v>
      </c>
      <c r="AX411" s="24" t="str">
        <f t="shared" si="40"/>
        <v/>
      </c>
      <c r="AY411" s="24">
        <f t="shared" si="40"/>
        <v>1</v>
      </c>
      <c r="AZ411" s="24" t="str">
        <f t="shared" si="44"/>
        <v/>
      </c>
      <c r="BA411" s="24" t="str">
        <f t="shared" si="44"/>
        <v/>
      </c>
      <c r="BB411" s="24" t="str">
        <f t="shared" si="44"/>
        <v/>
      </c>
      <c r="BC411" s="24" t="str">
        <f t="shared" si="44"/>
        <v/>
      </c>
      <c r="BD411" s="24" t="str">
        <f t="shared" si="44"/>
        <v/>
      </c>
      <c r="BE411" s="24" t="str">
        <f t="shared" si="44"/>
        <v/>
      </c>
      <c r="BF411" s="24" t="str">
        <f t="shared" si="44"/>
        <v/>
      </c>
      <c r="BG411" s="24" t="str">
        <f t="shared" si="44"/>
        <v/>
      </c>
      <c r="BH411" s="24" t="str">
        <f t="shared" si="43"/>
        <v/>
      </c>
      <c r="BI411" s="24" t="str">
        <f t="shared" si="44"/>
        <v/>
      </c>
      <c r="BJ411" s="24" t="str">
        <f t="shared" si="45"/>
        <v/>
      </c>
    </row>
    <row r="412" spans="1:62" ht="15" customHeight="1" x14ac:dyDescent="0.25">
      <c r="A412" t="str">
        <f>"1215185384"</f>
        <v>1215185384</v>
      </c>
      <c r="B412" t="str">
        <f>"03575519"</f>
        <v>03575519</v>
      </c>
      <c r="C412" t="s">
        <v>3247</v>
      </c>
      <c r="D412" t="s">
        <v>3248</v>
      </c>
      <c r="E412" t="s">
        <v>3249</v>
      </c>
      <c r="G412" t="s">
        <v>3250</v>
      </c>
      <c r="H412" t="s">
        <v>3251</v>
      </c>
      <c r="J412" t="s">
        <v>3252</v>
      </c>
      <c r="L412" t="s">
        <v>138</v>
      </c>
      <c r="M412" t="s">
        <v>108</v>
      </c>
      <c r="R412" t="s">
        <v>3253</v>
      </c>
      <c r="W412" t="s">
        <v>3249</v>
      </c>
      <c r="X412" t="s">
        <v>302</v>
      </c>
      <c r="Y412" t="s">
        <v>293</v>
      </c>
      <c r="Z412" t="s">
        <v>111</v>
      </c>
      <c r="AA412" t="str">
        <f>"14850-1342"</f>
        <v>14850-1342</v>
      </c>
      <c r="AB412" t="s">
        <v>123</v>
      </c>
      <c r="AC412" t="s">
        <v>113</v>
      </c>
      <c r="AD412" t="s">
        <v>108</v>
      </c>
      <c r="AE412" t="s">
        <v>114</v>
      </c>
      <c r="AF412" t="s">
        <v>142</v>
      </c>
      <c r="AG412" t="s">
        <v>116</v>
      </c>
      <c r="AK412" t="str">
        <f t="shared" si="42"/>
        <v/>
      </c>
      <c r="AL412" t="s">
        <v>3248</v>
      </c>
      <c r="AM412">
        <v>1</v>
      </c>
      <c r="AN412">
        <v>1</v>
      </c>
      <c r="AO412">
        <v>0</v>
      </c>
      <c r="AP412">
        <v>0</v>
      </c>
      <c r="AQ412">
        <v>0</v>
      </c>
      <c r="AR412">
        <v>0</v>
      </c>
      <c r="AS412">
        <v>0</v>
      </c>
      <c r="AT412">
        <v>0</v>
      </c>
      <c r="AU412">
        <v>0</v>
      </c>
      <c r="AV412">
        <v>0</v>
      </c>
      <c r="AW412">
        <v>0</v>
      </c>
      <c r="AX412" s="24" t="str">
        <f t="shared" si="40"/>
        <v/>
      </c>
      <c r="AY412" s="24">
        <f t="shared" si="40"/>
        <v>1</v>
      </c>
      <c r="AZ412" s="24" t="str">
        <f t="shared" si="44"/>
        <v/>
      </c>
      <c r="BA412" s="24" t="str">
        <f t="shared" si="44"/>
        <v/>
      </c>
      <c r="BB412" s="24" t="str">
        <f t="shared" si="44"/>
        <v/>
      </c>
      <c r="BC412" s="24" t="str">
        <f t="shared" si="44"/>
        <v/>
      </c>
      <c r="BD412" s="24" t="str">
        <f t="shared" si="44"/>
        <v/>
      </c>
      <c r="BE412" s="24" t="str">
        <f t="shared" si="44"/>
        <v/>
      </c>
      <c r="BF412" s="24" t="str">
        <f t="shared" si="44"/>
        <v/>
      </c>
      <c r="BG412" s="24" t="str">
        <f t="shared" si="44"/>
        <v/>
      </c>
      <c r="BH412" s="24" t="str">
        <f t="shared" si="43"/>
        <v/>
      </c>
      <c r="BI412" s="24">
        <f t="shared" si="44"/>
        <v>1</v>
      </c>
      <c r="BJ412" s="24" t="str">
        <f t="shared" si="45"/>
        <v/>
      </c>
    </row>
    <row r="413" spans="1:62" ht="15" customHeight="1" x14ac:dyDescent="0.25">
      <c r="A413" t="str">
        <f>"1083723043"</f>
        <v>1083723043</v>
      </c>
      <c r="B413" t="str">
        <f>"02828568"</f>
        <v>02828568</v>
      </c>
      <c r="C413" t="s">
        <v>2893</v>
      </c>
      <c r="D413" t="s">
        <v>2894</v>
      </c>
      <c r="E413" t="s">
        <v>2895</v>
      </c>
      <c r="L413" t="s">
        <v>138</v>
      </c>
      <c r="M413" t="s">
        <v>108</v>
      </c>
      <c r="R413" t="s">
        <v>2893</v>
      </c>
      <c r="W413" t="s">
        <v>2896</v>
      </c>
      <c r="X413" t="s">
        <v>406</v>
      </c>
      <c r="Y413" t="s">
        <v>129</v>
      </c>
      <c r="Z413" t="s">
        <v>111</v>
      </c>
      <c r="AA413" t="str">
        <f>"13790-2107"</f>
        <v>13790-2107</v>
      </c>
      <c r="AB413" t="s">
        <v>123</v>
      </c>
      <c r="AC413" t="s">
        <v>113</v>
      </c>
      <c r="AD413" t="s">
        <v>108</v>
      </c>
      <c r="AE413" t="s">
        <v>114</v>
      </c>
      <c r="AF413" t="s">
        <v>115</v>
      </c>
      <c r="AG413" t="s">
        <v>116</v>
      </c>
      <c r="AK413" t="str">
        <f t="shared" si="42"/>
        <v/>
      </c>
      <c r="AL413" t="s">
        <v>2894</v>
      </c>
      <c r="AM413">
        <v>1</v>
      </c>
      <c r="AN413">
        <v>1</v>
      </c>
      <c r="AO413">
        <v>0</v>
      </c>
      <c r="AP413">
        <v>1</v>
      </c>
      <c r="AQ413">
        <v>1</v>
      </c>
      <c r="AR413">
        <v>0</v>
      </c>
      <c r="AS413">
        <v>0</v>
      </c>
      <c r="AT413">
        <v>0</v>
      </c>
      <c r="AU413">
        <v>0</v>
      </c>
      <c r="AV413">
        <v>0</v>
      </c>
      <c r="AW413">
        <v>0</v>
      </c>
      <c r="AX413" s="24" t="str">
        <f t="shared" si="40"/>
        <v/>
      </c>
      <c r="AY413" s="24">
        <f t="shared" si="40"/>
        <v>1</v>
      </c>
      <c r="AZ413" s="24" t="str">
        <f t="shared" si="44"/>
        <v/>
      </c>
      <c r="BA413" s="24" t="str">
        <f t="shared" si="44"/>
        <v/>
      </c>
      <c r="BB413" s="24" t="str">
        <f t="shared" si="44"/>
        <v/>
      </c>
      <c r="BC413" s="24" t="str">
        <f t="shared" si="44"/>
        <v/>
      </c>
      <c r="BD413" s="24" t="str">
        <f t="shared" si="44"/>
        <v/>
      </c>
      <c r="BE413" s="24" t="str">
        <f t="shared" si="44"/>
        <v/>
      </c>
      <c r="BF413" s="24" t="str">
        <f t="shared" si="44"/>
        <v/>
      </c>
      <c r="BG413" s="24" t="str">
        <f t="shared" si="44"/>
        <v/>
      </c>
      <c r="BH413" s="24" t="str">
        <f t="shared" si="43"/>
        <v/>
      </c>
      <c r="BI413" s="24">
        <f t="shared" si="44"/>
        <v>1</v>
      </c>
      <c r="BJ413" s="24" t="str">
        <f t="shared" si="45"/>
        <v/>
      </c>
    </row>
    <row r="414" spans="1:62" ht="15" customHeight="1" x14ac:dyDescent="0.25">
      <c r="A414" t="str">
        <f>"1598867814"</f>
        <v>1598867814</v>
      </c>
      <c r="B414" t="str">
        <f>"00554449"</f>
        <v>00554449</v>
      </c>
      <c r="C414" t="s">
        <v>3062</v>
      </c>
      <c r="D414" t="s">
        <v>3063</v>
      </c>
      <c r="E414" t="s">
        <v>3064</v>
      </c>
      <c r="G414" t="s">
        <v>3037</v>
      </c>
      <c r="H414" t="s">
        <v>3038</v>
      </c>
      <c r="J414" t="s">
        <v>3065</v>
      </c>
      <c r="L414" t="s">
        <v>138</v>
      </c>
      <c r="M414" t="s">
        <v>108</v>
      </c>
      <c r="R414" t="s">
        <v>3066</v>
      </c>
      <c r="W414" t="s">
        <v>3067</v>
      </c>
      <c r="X414" t="s">
        <v>3041</v>
      </c>
      <c r="Y414" t="s">
        <v>293</v>
      </c>
      <c r="Z414" t="s">
        <v>111</v>
      </c>
      <c r="AA414" t="str">
        <f>"14850-1589"</f>
        <v>14850-1589</v>
      </c>
      <c r="AB414" t="s">
        <v>123</v>
      </c>
      <c r="AC414" t="s">
        <v>113</v>
      </c>
      <c r="AD414" t="s">
        <v>108</v>
      </c>
      <c r="AE414" t="s">
        <v>114</v>
      </c>
      <c r="AF414" t="s">
        <v>142</v>
      </c>
      <c r="AG414" t="s">
        <v>116</v>
      </c>
      <c r="AK414" t="str">
        <f t="shared" si="42"/>
        <v/>
      </c>
      <c r="AL414" t="s">
        <v>3063</v>
      </c>
      <c r="AM414">
        <v>1</v>
      </c>
      <c r="AN414">
        <v>1</v>
      </c>
      <c r="AO414">
        <v>0</v>
      </c>
      <c r="AP414">
        <v>0</v>
      </c>
      <c r="AQ414">
        <v>0</v>
      </c>
      <c r="AR414">
        <v>0</v>
      </c>
      <c r="AS414">
        <v>0</v>
      </c>
      <c r="AT414">
        <v>0</v>
      </c>
      <c r="AU414">
        <v>0</v>
      </c>
      <c r="AV414">
        <v>0</v>
      </c>
      <c r="AW414">
        <v>0</v>
      </c>
      <c r="AX414" s="24" t="str">
        <f t="shared" si="40"/>
        <v/>
      </c>
      <c r="AY414" s="24">
        <f t="shared" si="40"/>
        <v>1</v>
      </c>
      <c r="AZ414" s="24" t="str">
        <f t="shared" si="44"/>
        <v/>
      </c>
      <c r="BA414" s="24" t="str">
        <f t="shared" si="44"/>
        <v/>
      </c>
      <c r="BB414" s="24" t="str">
        <f t="shared" si="44"/>
        <v/>
      </c>
      <c r="BC414" s="24" t="str">
        <f t="shared" si="44"/>
        <v/>
      </c>
      <c r="BD414" s="24" t="str">
        <f t="shared" si="44"/>
        <v/>
      </c>
      <c r="BE414" s="24" t="str">
        <f t="shared" si="44"/>
        <v/>
      </c>
      <c r="BF414" s="24" t="str">
        <f t="shared" si="44"/>
        <v/>
      </c>
      <c r="BG414" s="24" t="str">
        <f t="shared" si="44"/>
        <v/>
      </c>
      <c r="BH414" s="24" t="str">
        <f t="shared" si="43"/>
        <v/>
      </c>
      <c r="BI414" s="24">
        <f t="shared" si="44"/>
        <v>1</v>
      </c>
      <c r="BJ414" s="24" t="str">
        <f t="shared" si="45"/>
        <v/>
      </c>
    </row>
    <row r="415" spans="1:62" ht="15" customHeight="1" x14ac:dyDescent="0.25">
      <c r="A415" t="str">
        <f>"1508849175"</f>
        <v>1508849175</v>
      </c>
      <c r="B415" t="str">
        <f>"01410351"</f>
        <v>01410351</v>
      </c>
      <c r="C415" t="s">
        <v>504</v>
      </c>
      <c r="D415" t="s">
        <v>505</v>
      </c>
      <c r="E415" t="s">
        <v>506</v>
      </c>
      <c r="G415" t="s">
        <v>177</v>
      </c>
      <c r="H415" t="s">
        <v>178</v>
      </c>
      <c r="J415" t="s">
        <v>179</v>
      </c>
      <c r="L415" t="s">
        <v>247</v>
      </c>
      <c r="M415" t="s">
        <v>108</v>
      </c>
      <c r="R415" t="s">
        <v>504</v>
      </c>
      <c r="W415" t="s">
        <v>507</v>
      </c>
      <c r="X415" t="s">
        <v>508</v>
      </c>
      <c r="Y415" t="s">
        <v>181</v>
      </c>
      <c r="Z415" t="s">
        <v>182</v>
      </c>
      <c r="AA415" t="str">
        <f>"18840-1698"</f>
        <v>18840-1698</v>
      </c>
      <c r="AB415" t="s">
        <v>123</v>
      </c>
      <c r="AC415" t="s">
        <v>113</v>
      </c>
      <c r="AD415" t="s">
        <v>108</v>
      </c>
      <c r="AE415" t="s">
        <v>114</v>
      </c>
      <c r="AF415" t="s">
        <v>115</v>
      </c>
      <c r="AG415" t="s">
        <v>116</v>
      </c>
      <c r="AK415" t="str">
        <f t="shared" si="42"/>
        <v/>
      </c>
      <c r="AL415" t="s">
        <v>505</v>
      </c>
      <c r="AM415">
        <v>1</v>
      </c>
      <c r="AN415">
        <v>1</v>
      </c>
      <c r="AO415">
        <v>0</v>
      </c>
      <c r="AP415">
        <v>0</v>
      </c>
      <c r="AQ415">
        <v>0</v>
      </c>
      <c r="AR415">
        <v>0</v>
      </c>
      <c r="AS415">
        <v>0</v>
      </c>
      <c r="AT415">
        <v>0</v>
      </c>
      <c r="AU415">
        <v>0</v>
      </c>
      <c r="AV415">
        <v>1</v>
      </c>
      <c r="AW415">
        <v>0</v>
      </c>
      <c r="AX415" s="24" t="str">
        <f t="shared" si="40"/>
        <v/>
      </c>
      <c r="AY415" s="24">
        <f t="shared" si="40"/>
        <v>1</v>
      </c>
      <c r="AZ415" s="24" t="str">
        <f t="shared" si="44"/>
        <v/>
      </c>
      <c r="BA415" s="24" t="str">
        <f t="shared" si="44"/>
        <v/>
      </c>
      <c r="BB415" s="24" t="str">
        <f t="shared" si="44"/>
        <v/>
      </c>
      <c r="BC415" s="24" t="str">
        <f t="shared" si="44"/>
        <v/>
      </c>
      <c r="BD415" s="24" t="str">
        <f t="shared" si="44"/>
        <v/>
      </c>
      <c r="BE415" s="24" t="str">
        <f t="shared" si="44"/>
        <v/>
      </c>
      <c r="BF415" s="24" t="str">
        <f t="shared" si="44"/>
        <v/>
      </c>
      <c r="BG415" s="24" t="str">
        <f t="shared" si="44"/>
        <v/>
      </c>
      <c r="BH415" s="24" t="str">
        <f t="shared" si="43"/>
        <v/>
      </c>
      <c r="BI415" s="24" t="str">
        <f t="shared" si="44"/>
        <v/>
      </c>
      <c r="BJ415" s="24" t="str">
        <f t="shared" si="45"/>
        <v/>
      </c>
    </row>
    <row r="416" spans="1:62" ht="15" customHeight="1" x14ac:dyDescent="0.25">
      <c r="A416" t="str">
        <f>"1063487296"</f>
        <v>1063487296</v>
      </c>
      <c r="B416" t="str">
        <f>"02351022"</f>
        <v>02351022</v>
      </c>
      <c r="C416" t="s">
        <v>4003</v>
      </c>
      <c r="D416" t="s">
        <v>4004</v>
      </c>
      <c r="E416" t="s">
        <v>4003</v>
      </c>
      <c r="G416" t="s">
        <v>699</v>
      </c>
      <c r="H416" t="s">
        <v>700</v>
      </c>
      <c r="J416" t="s">
        <v>701</v>
      </c>
      <c r="L416" t="s">
        <v>120</v>
      </c>
      <c r="M416" t="s">
        <v>108</v>
      </c>
      <c r="R416" t="s">
        <v>4005</v>
      </c>
      <c r="W416" t="s">
        <v>4003</v>
      </c>
      <c r="X416" t="s">
        <v>740</v>
      </c>
      <c r="Y416" t="s">
        <v>148</v>
      </c>
      <c r="Z416" t="s">
        <v>111</v>
      </c>
      <c r="AA416" t="str">
        <f>"14845"</f>
        <v>14845</v>
      </c>
      <c r="AB416" t="s">
        <v>123</v>
      </c>
      <c r="AC416" t="s">
        <v>113</v>
      </c>
      <c r="AD416" t="s">
        <v>108</v>
      </c>
      <c r="AE416" t="s">
        <v>114</v>
      </c>
      <c r="AF416" t="s">
        <v>149</v>
      </c>
      <c r="AG416" t="s">
        <v>116</v>
      </c>
      <c r="AK416" t="str">
        <f t="shared" si="42"/>
        <v/>
      </c>
      <c r="AL416" t="s">
        <v>4004</v>
      </c>
      <c r="AM416">
        <v>1</v>
      </c>
      <c r="AN416">
        <v>1</v>
      </c>
      <c r="AO416">
        <v>0</v>
      </c>
      <c r="AP416">
        <v>0</v>
      </c>
      <c r="AQ416">
        <v>0</v>
      </c>
      <c r="AR416">
        <v>0</v>
      </c>
      <c r="AS416">
        <v>0</v>
      </c>
      <c r="AT416">
        <v>1</v>
      </c>
      <c r="AU416">
        <v>1</v>
      </c>
      <c r="AV416">
        <v>1</v>
      </c>
      <c r="AW416">
        <v>0</v>
      </c>
      <c r="AX416" s="24">
        <f t="shared" si="40"/>
        <v>1</v>
      </c>
      <c r="AY416" s="24" t="str">
        <f t="shared" si="40"/>
        <v/>
      </c>
      <c r="AZ416" s="24" t="str">
        <f t="shared" si="44"/>
        <v/>
      </c>
      <c r="BA416" s="24" t="str">
        <f t="shared" si="44"/>
        <v/>
      </c>
      <c r="BB416" s="24" t="str">
        <f t="shared" si="44"/>
        <v/>
      </c>
      <c r="BC416" s="24" t="str">
        <f t="shared" si="44"/>
        <v/>
      </c>
      <c r="BD416" s="24" t="str">
        <f t="shared" si="44"/>
        <v/>
      </c>
      <c r="BE416" s="24" t="str">
        <f t="shared" si="44"/>
        <v/>
      </c>
      <c r="BF416" s="24" t="str">
        <f t="shared" si="44"/>
        <v/>
      </c>
      <c r="BG416" s="24" t="str">
        <f t="shared" si="44"/>
        <v/>
      </c>
      <c r="BH416" s="24" t="str">
        <f t="shared" si="43"/>
        <v/>
      </c>
      <c r="BI416" s="24">
        <f t="shared" si="44"/>
        <v>1</v>
      </c>
      <c r="BJ416" s="24" t="str">
        <f t="shared" si="45"/>
        <v/>
      </c>
    </row>
    <row r="417" spans="1:62" ht="15" customHeight="1" x14ac:dyDescent="0.25">
      <c r="A417" t="str">
        <f>"1215331632"</f>
        <v>1215331632</v>
      </c>
      <c r="B417" t="str">
        <f>"04561400"</f>
        <v>04561400</v>
      </c>
      <c r="C417" t="s">
        <v>6202</v>
      </c>
      <c r="D417" t="s">
        <v>6203</v>
      </c>
      <c r="E417" t="s">
        <v>6204</v>
      </c>
      <c r="G417" t="s">
        <v>815</v>
      </c>
      <c r="H417" t="s">
        <v>816</v>
      </c>
      <c r="J417" t="s">
        <v>817</v>
      </c>
      <c r="L417" t="s">
        <v>247</v>
      </c>
      <c r="M417" t="s">
        <v>108</v>
      </c>
      <c r="R417" t="s">
        <v>6205</v>
      </c>
      <c r="W417" t="s">
        <v>6204</v>
      </c>
      <c r="AB417" t="s">
        <v>123</v>
      </c>
      <c r="AC417" t="s">
        <v>113</v>
      </c>
      <c r="AD417" t="s">
        <v>108</v>
      </c>
      <c r="AE417" t="s">
        <v>114</v>
      </c>
      <c r="AF417" t="s">
        <v>115</v>
      </c>
      <c r="AG417" t="s">
        <v>116</v>
      </c>
      <c r="AK417" t="str">
        <f t="shared" si="42"/>
        <v>Emily A. Crouse, NP</v>
      </c>
      <c r="AL417" t="s">
        <v>6203</v>
      </c>
      <c r="AM417" t="s">
        <v>108</v>
      </c>
      <c r="AN417" t="s">
        <v>108</v>
      </c>
      <c r="AO417" t="s">
        <v>108</v>
      </c>
      <c r="AP417" t="s">
        <v>108</v>
      </c>
      <c r="AQ417" t="s">
        <v>108</v>
      </c>
      <c r="AR417" t="s">
        <v>108</v>
      </c>
      <c r="AS417" t="s">
        <v>108</v>
      </c>
      <c r="AT417" t="s">
        <v>108</v>
      </c>
      <c r="AU417">
        <v>0</v>
      </c>
      <c r="AV417" t="s">
        <v>108</v>
      </c>
      <c r="AW417" t="s">
        <v>108</v>
      </c>
      <c r="AX417" s="24" t="str">
        <f t="shared" si="40"/>
        <v/>
      </c>
      <c r="AY417" s="24">
        <f t="shared" si="40"/>
        <v>1</v>
      </c>
      <c r="AZ417" s="24" t="str">
        <f t="shared" si="44"/>
        <v/>
      </c>
      <c r="BA417" s="24" t="str">
        <f t="shared" si="44"/>
        <v/>
      </c>
      <c r="BB417" s="24" t="str">
        <f t="shared" si="44"/>
        <v/>
      </c>
      <c r="BC417" s="24" t="str">
        <f t="shared" si="44"/>
        <v/>
      </c>
      <c r="BD417" s="24" t="str">
        <f t="shared" si="44"/>
        <v/>
      </c>
      <c r="BE417" s="24" t="str">
        <f t="shared" si="44"/>
        <v/>
      </c>
      <c r="BF417" s="24" t="str">
        <f t="shared" si="44"/>
        <v/>
      </c>
      <c r="BG417" s="24" t="str">
        <f t="shared" si="44"/>
        <v/>
      </c>
      <c r="BH417" s="24" t="str">
        <f t="shared" si="43"/>
        <v/>
      </c>
      <c r="BI417" s="24" t="str">
        <f t="shared" si="44"/>
        <v/>
      </c>
      <c r="BJ417" s="24" t="str">
        <f t="shared" si="45"/>
        <v/>
      </c>
    </row>
    <row r="418" spans="1:62" ht="15" customHeight="1" x14ac:dyDescent="0.25">
      <c r="A418" t="str">
        <f>"1942294194"</f>
        <v>1942294194</v>
      </c>
      <c r="B418" t="str">
        <f>"01881369"</f>
        <v>01881369</v>
      </c>
      <c r="C418" t="s">
        <v>1117</v>
      </c>
      <c r="D418" t="s">
        <v>1118</v>
      </c>
      <c r="E418" t="s">
        <v>1119</v>
      </c>
      <c r="G418" t="s">
        <v>1117</v>
      </c>
      <c r="H418" t="s">
        <v>403</v>
      </c>
      <c r="J418" t="s">
        <v>1120</v>
      </c>
      <c r="L418" t="s">
        <v>120</v>
      </c>
      <c r="M418" t="s">
        <v>108</v>
      </c>
      <c r="R418" t="s">
        <v>1121</v>
      </c>
      <c r="W418" t="s">
        <v>1119</v>
      </c>
      <c r="X418" t="s">
        <v>1122</v>
      </c>
      <c r="Y418" t="s">
        <v>110</v>
      </c>
      <c r="Z418" t="s">
        <v>111</v>
      </c>
      <c r="AA418" t="str">
        <f>"13903-1617"</f>
        <v>13903-1617</v>
      </c>
      <c r="AB418" t="s">
        <v>123</v>
      </c>
      <c r="AC418" t="s">
        <v>113</v>
      </c>
      <c r="AD418" t="s">
        <v>108</v>
      </c>
      <c r="AE418" t="s">
        <v>114</v>
      </c>
      <c r="AF418" t="s">
        <v>115</v>
      </c>
      <c r="AG418" t="s">
        <v>116</v>
      </c>
      <c r="AK418" t="str">
        <f t="shared" si="42"/>
        <v/>
      </c>
      <c r="AL418" t="s">
        <v>1118</v>
      </c>
      <c r="AM418">
        <v>1</v>
      </c>
      <c r="AN418">
        <v>1</v>
      </c>
      <c r="AO418">
        <v>0</v>
      </c>
      <c r="AP418">
        <v>1</v>
      </c>
      <c r="AQ418">
        <v>1</v>
      </c>
      <c r="AR418">
        <v>0</v>
      </c>
      <c r="AS418">
        <v>0</v>
      </c>
      <c r="AT418">
        <v>0</v>
      </c>
      <c r="AU418">
        <v>0</v>
      </c>
      <c r="AV418">
        <v>0</v>
      </c>
      <c r="AW418">
        <v>0</v>
      </c>
      <c r="AX418" s="24">
        <f t="shared" si="40"/>
        <v>1</v>
      </c>
      <c r="AY418" s="24" t="str">
        <f t="shared" si="40"/>
        <v/>
      </c>
      <c r="AZ418" s="24" t="str">
        <f t="shared" si="44"/>
        <v/>
      </c>
      <c r="BA418" s="24" t="str">
        <f t="shared" si="44"/>
        <v/>
      </c>
      <c r="BB418" s="24" t="str">
        <f t="shared" si="44"/>
        <v/>
      </c>
      <c r="BC418" s="24" t="str">
        <f t="shared" si="44"/>
        <v/>
      </c>
      <c r="BD418" s="24" t="str">
        <f t="shared" si="44"/>
        <v/>
      </c>
      <c r="BE418" s="24" t="str">
        <f t="shared" si="44"/>
        <v/>
      </c>
      <c r="BF418" s="24" t="str">
        <f t="shared" si="44"/>
        <v/>
      </c>
      <c r="BG418" s="24" t="str">
        <f t="shared" si="44"/>
        <v/>
      </c>
      <c r="BH418" s="24" t="str">
        <f t="shared" si="43"/>
        <v/>
      </c>
      <c r="BI418" s="24">
        <f t="shared" si="44"/>
        <v>1</v>
      </c>
      <c r="BJ418" s="24" t="str">
        <f t="shared" si="45"/>
        <v/>
      </c>
    </row>
    <row r="419" spans="1:62" ht="15" customHeight="1" x14ac:dyDescent="0.25">
      <c r="A419" t="str">
        <f>"1609846732"</f>
        <v>1609846732</v>
      </c>
      <c r="B419" t="str">
        <f>"00771664"</f>
        <v>00771664</v>
      </c>
      <c r="C419" t="s">
        <v>4006</v>
      </c>
      <c r="D419" t="s">
        <v>4007</v>
      </c>
      <c r="E419" t="s">
        <v>4006</v>
      </c>
      <c r="G419" t="s">
        <v>699</v>
      </c>
      <c r="H419" t="s">
        <v>700</v>
      </c>
      <c r="J419" t="s">
        <v>701</v>
      </c>
      <c r="L419" t="s">
        <v>120</v>
      </c>
      <c r="M419" t="s">
        <v>108</v>
      </c>
      <c r="R419" t="s">
        <v>4008</v>
      </c>
      <c r="W419" t="s">
        <v>4009</v>
      </c>
      <c r="X419" t="s">
        <v>4010</v>
      </c>
      <c r="Y419" t="s">
        <v>157</v>
      </c>
      <c r="Z419" t="s">
        <v>111</v>
      </c>
      <c r="AA419" t="str">
        <f>"14830-3342"</f>
        <v>14830-3342</v>
      </c>
      <c r="AB419" t="s">
        <v>123</v>
      </c>
      <c r="AC419" t="s">
        <v>113</v>
      </c>
      <c r="AD419" t="s">
        <v>108</v>
      </c>
      <c r="AE419" t="s">
        <v>114</v>
      </c>
      <c r="AF419" t="s">
        <v>149</v>
      </c>
      <c r="AG419" t="s">
        <v>116</v>
      </c>
      <c r="AK419" t="str">
        <f t="shared" si="42"/>
        <v/>
      </c>
      <c r="AL419" t="s">
        <v>4007</v>
      </c>
      <c r="AM419">
        <v>1</v>
      </c>
      <c r="AN419">
        <v>1</v>
      </c>
      <c r="AO419">
        <v>0</v>
      </c>
      <c r="AP419">
        <v>0</v>
      </c>
      <c r="AQ419">
        <v>0</v>
      </c>
      <c r="AR419">
        <v>0</v>
      </c>
      <c r="AS419">
        <v>0</v>
      </c>
      <c r="AT419">
        <v>1</v>
      </c>
      <c r="AU419">
        <v>1</v>
      </c>
      <c r="AV419">
        <v>1</v>
      </c>
      <c r="AW419">
        <v>0</v>
      </c>
      <c r="AX419" s="24">
        <f t="shared" si="40"/>
        <v>1</v>
      </c>
      <c r="AY419" s="24" t="str">
        <f t="shared" si="40"/>
        <v/>
      </c>
      <c r="AZ419" s="24" t="str">
        <f t="shared" si="44"/>
        <v/>
      </c>
      <c r="BA419" s="24" t="str">
        <f t="shared" si="44"/>
        <v/>
      </c>
      <c r="BB419" s="24" t="str">
        <f t="shared" si="44"/>
        <v/>
      </c>
      <c r="BC419" s="24" t="str">
        <f t="shared" si="44"/>
        <v/>
      </c>
      <c r="BD419" s="24" t="str">
        <f t="shared" si="44"/>
        <v/>
      </c>
      <c r="BE419" s="24" t="str">
        <f t="shared" si="44"/>
        <v/>
      </c>
      <c r="BF419" s="24" t="str">
        <f t="shared" si="44"/>
        <v/>
      </c>
      <c r="BG419" s="24" t="str">
        <f t="shared" si="44"/>
        <v/>
      </c>
      <c r="BH419" s="24" t="str">
        <f t="shared" si="43"/>
        <v/>
      </c>
      <c r="BI419" s="24">
        <f t="shared" si="44"/>
        <v>1</v>
      </c>
      <c r="BJ419" s="24" t="str">
        <f t="shared" si="45"/>
        <v/>
      </c>
    </row>
    <row r="420" spans="1:62" ht="15" customHeight="1" x14ac:dyDescent="0.25">
      <c r="A420" t="str">
        <f>"1871512947"</f>
        <v>1871512947</v>
      </c>
      <c r="B420" t="str">
        <f>"00557575"</f>
        <v>00557575</v>
      </c>
      <c r="C420" t="s">
        <v>2375</v>
      </c>
      <c r="D420" t="s">
        <v>2376</v>
      </c>
      <c r="E420" t="s">
        <v>2377</v>
      </c>
      <c r="G420" t="s">
        <v>2378</v>
      </c>
      <c r="H420" t="s">
        <v>2379</v>
      </c>
      <c r="J420" t="s">
        <v>2380</v>
      </c>
      <c r="L420" t="s">
        <v>68</v>
      </c>
      <c r="M420" t="s">
        <v>108</v>
      </c>
      <c r="R420" t="s">
        <v>2381</v>
      </c>
      <c r="W420" t="s">
        <v>2381</v>
      </c>
      <c r="X420" t="s">
        <v>2382</v>
      </c>
      <c r="Y420" t="s">
        <v>979</v>
      </c>
      <c r="Z420" t="s">
        <v>111</v>
      </c>
      <c r="AA420" t="str">
        <f>"13760-3646"</f>
        <v>13760-3646</v>
      </c>
      <c r="AB420" t="s">
        <v>112</v>
      </c>
      <c r="AC420" t="s">
        <v>113</v>
      </c>
      <c r="AD420" t="s">
        <v>108</v>
      </c>
      <c r="AE420" t="s">
        <v>114</v>
      </c>
      <c r="AF420" t="s">
        <v>115</v>
      </c>
      <c r="AG420" t="s">
        <v>116</v>
      </c>
      <c r="AK420" t="str">
        <f t="shared" si="42"/>
        <v/>
      </c>
      <c r="AL420" t="s">
        <v>2376</v>
      </c>
      <c r="AM420">
        <v>1</v>
      </c>
      <c r="AN420">
        <v>0</v>
      </c>
      <c r="AO420">
        <v>0</v>
      </c>
      <c r="AP420">
        <v>0</v>
      </c>
      <c r="AQ420">
        <v>0</v>
      </c>
      <c r="AR420">
        <v>0</v>
      </c>
      <c r="AS420">
        <v>0</v>
      </c>
      <c r="AT420">
        <v>0</v>
      </c>
      <c r="AU420">
        <v>0</v>
      </c>
      <c r="AV420">
        <v>0</v>
      </c>
      <c r="AW420">
        <v>0</v>
      </c>
      <c r="AX420" s="24" t="str">
        <f t="shared" si="40"/>
        <v/>
      </c>
      <c r="AY420" s="24" t="str">
        <f t="shared" si="40"/>
        <v/>
      </c>
      <c r="AZ420" s="24" t="str">
        <f t="shared" si="44"/>
        <v/>
      </c>
      <c r="BA420" s="24" t="str">
        <f t="shared" si="44"/>
        <v/>
      </c>
      <c r="BB420" s="24" t="str">
        <f t="shared" si="44"/>
        <v/>
      </c>
      <c r="BC420" s="24" t="str">
        <f t="shared" si="44"/>
        <v/>
      </c>
      <c r="BD420" s="24" t="str">
        <f t="shared" si="44"/>
        <v/>
      </c>
      <c r="BE420" s="24" t="str">
        <f t="shared" si="44"/>
        <v/>
      </c>
      <c r="BF420" s="24" t="str">
        <f t="shared" si="44"/>
        <v/>
      </c>
      <c r="BG420" s="24" t="str">
        <f t="shared" si="44"/>
        <v/>
      </c>
      <c r="BH420" s="24" t="str">
        <f t="shared" si="43"/>
        <v/>
      </c>
      <c r="BI420" s="24">
        <f t="shared" si="44"/>
        <v>1</v>
      </c>
      <c r="BJ420" s="24" t="str">
        <f t="shared" si="45"/>
        <v/>
      </c>
    </row>
    <row r="421" spans="1:62" ht="15" customHeight="1" x14ac:dyDescent="0.25">
      <c r="A421" t="str">
        <f>"1376638189"</f>
        <v>1376638189</v>
      </c>
      <c r="B421" t="str">
        <f>"03131399"</f>
        <v>03131399</v>
      </c>
      <c r="C421" t="s">
        <v>5297</v>
      </c>
      <c r="D421" t="s">
        <v>5298</v>
      </c>
      <c r="E421" t="s">
        <v>5299</v>
      </c>
      <c r="G421" t="s">
        <v>5294</v>
      </c>
      <c r="H421" t="s">
        <v>2626</v>
      </c>
      <c r="J421" t="s">
        <v>5300</v>
      </c>
      <c r="L421" t="s">
        <v>247</v>
      </c>
      <c r="M421" t="s">
        <v>108</v>
      </c>
      <c r="R421" t="s">
        <v>5301</v>
      </c>
      <c r="W421" t="s">
        <v>5299</v>
      </c>
      <c r="X421" t="s">
        <v>302</v>
      </c>
      <c r="Y421" t="s">
        <v>293</v>
      </c>
      <c r="Z421" t="s">
        <v>111</v>
      </c>
      <c r="AA421" t="str">
        <f>"14850-1342"</f>
        <v>14850-1342</v>
      </c>
      <c r="AB421" t="s">
        <v>123</v>
      </c>
      <c r="AC421" t="s">
        <v>113</v>
      </c>
      <c r="AD421" t="s">
        <v>108</v>
      </c>
      <c r="AE421" t="s">
        <v>114</v>
      </c>
      <c r="AF421" t="s">
        <v>142</v>
      </c>
      <c r="AG421" t="s">
        <v>116</v>
      </c>
      <c r="AK421" t="str">
        <f t="shared" si="42"/>
        <v/>
      </c>
      <c r="AL421" t="s">
        <v>5298</v>
      </c>
      <c r="AM421">
        <v>1</v>
      </c>
      <c r="AN421">
        <v>1</v>
      </c>
      <c r="AO421">
        <v>0</v>
      </c>
      <c r="AP421">
        <v>0</v>
      </c>
      <c r="AQ421">
        <v>0</v>
      </c>
      <c r="AR421">
        <v>0</v>
      </c>
      <c r="AS421">
        <v>0</v>
      </c>
      <c r="AT421">
        <v>0</v>
      </c>
      <c r="AU421">
        <v>0</v>
      </c>
      <c r="AV421">
        <v>0</v>
      </c>
      <c r="AW421">
        <v>0</v>
      </c>
      <c r="AX421" s="24" t="str">
        <f t="shared" si="40"/>
        <v/>
      </c>
      <c r="AY421" s="24">
        <f t="shared" si="40"/>
        <v>1</v>
      </c>
      <c r="AZ421" s="24" t="str">
        <f t="shared" si="44"/>
        <v/>
      </c>
      <c r="BA421" s="24" t="str">
        <f t="shared" si="44"/>
        <v/>
      </c>
      <c r="BB421" s="24" t="str">
        <f t="shared" si="44"/>
        <v/>
      </c>
      <c r="BC421" s="24" t="str">
        <f t="shared" si="44"/>
        <v/>
      </c>
      <c r="BD421" s="24" t="str">
        <f t="shared" si="44"/>
        <v/>
      </c>
      <c r="BE421" s="24" t="str">
        <f t="shared" si="44"/>
        <v/>
      </c>
      <c r="BF421" s="24" t="str">
        <f t="shared" ref="AZ421:BI447" si="46">IF(ISERROR(FIND(BF$1,$L421,1)),"",1)</f>
        <v/>
      </c>
      <c r="BG421" s="24" t="str">
        <f t="shared" si="46"/>
        <v/>
      </c>
      <c r="BH421" s="24" t="str">
        <f t="shared" si="43"/>
        <v/>
      </c>
      <c r="BI421" s="24" t="str">
        <f t="shared" si="46"/>
        <v/>
      </c>
      <c r="BJ421" s="24" t="str">
        <f t="shared" si="45"/>
        <v/>
      </c>
    </row>
    <row r="422" spans="1:62" ht="15" customHeight="1" x14ac:dyDescent="0.25">
      <c r="A422" t="str">
        <f>"1366430787"</f>
        <v>1366430787</v>
      </c>
      <c r="B422" t="str">
        <f>"00429378"</f>
        <v>00429378</v>
      </c>
      <c r="C422" t="s">
        <v>5285</v>
      </c>
      <c r="D422" t="s">
        <v>5286</v>
      </c>
      <c r="E422" t="s">
        <v>5287</v>
      </c>
      <c r="G422" t="s">
        <v>5285</v>
      </c>
      <c r="H422" t="s">
        <v>5288</v>
      </c>
      <c r="J422" t="s">
        <v>5289</v>
      </c>
      <c r="L422" t="s">
        <v>6868</v>
      </c>
      <c r="M422" t="s">
        <v>108</v>
      </c>
      <c r="R422" t="s">
        <v>5290</v>
      </c>
      <c r="W422" t="s">
        <v>5287</v>
      </c>
      <c r="X422" t="s">
        <v>2367</v>
      </c>
      <c r="Y422" t="s">
        <v>2368</v>
      </c>
      <c r="Z422" t="s">
        <v>111</v>
      </c>
      <c r="AA422" t="str">
        <f>"14886-9201"</f>
        <v>14886-9201</v>
      </c>
      <c r="AB422" t="s">
        <v>123</v>
      </c>
      <c r="AC422" t="s">
        <v>113</v>
      </c>
      <c r="AD422" t="s">
        <v>108</v>
      </c>
      <c r="AE422" t="s">
        <v>114</v>
      </c>
      <c r="AF422" t="s">
        <v>142</v>
      </c>
      <c r="AG422" t="s">
        <v>116</v>
      </c>
      <c r="AK422" t="str">
        <f t="shared" si="42"/>
        <v/>
      </c>
      <c r="AL422" t="s">
        <v>5286</v>
      </c>
      <c r="AM422">
        <v>0</v>
      </c>
      <c r="AN422">
        <v>0</v>
      </c>
      <c r="AO422">
        <v>0</v>
      </c>
      <c r="AP422">
        <v>0</v>
      </c>
      <c r="AQ422">
        <v>0</v>
      </c>
      <c r="AR422">
        <v>0</v>
      </c>
      <c r="AS422">
        <v>0</v>
      </c>
      <c r="AT422">
        <v>0</v>
      </c>
      <c r="AU422">
        <v>0</v>
      </c>
      <c r="AV422">
        <v>0</v>
      </c>
      <c r="AW422">
        <v>0</v>
      </c>
      <c r="AX422" s="24">
        <f t="shared" si="40"/>
        <v>1</v>
      </c>
      <c r="AY422" s="24">
        <f t="shared" si="40"/>
        <v>1</v>
      </c>
      <c r="AZ422" s="24" t="str">
        <f t="shared" si="46"/>
        <v/>
      </c>
      <c r="BA422" s="24" t="str">
        <f t="shared" si="46"/>
        <v/>
      </c>
      <c r="BB422" s="24" t="str">
        <f t="shared" si="46"/>
        <v/>
      </c>
      <c r="BC422" s="24" t="str">
        <f t="shared" si="46"/>
        <v/>
      </c>
      <c r="BD422" s="24" t="str">
        <f t="shared" si="46"/>
        <v/>
      </c>
      <c r="BE422" s="24" t="str">
        <f t="shared" si="46"/>
        <v/>
      </c>
      <c r="BF422" s="24" t="str">
        <f t="shared" si="46"/>
        <v/>
      </c>
      <c r="BG422" s="24" t="str">
        <f t="shared" si="46"/>
        <v/>
      </c>
      <c r="BH422" s="24" t="str">
        <f t="shared" si="43"/>
        <v/>
      </c>
      <c r="BI422" s="24" t="str">
        <f t="shared" si="46"/>
        <v/>
      </c>
      <c r="BJ422" s="24" t="str">
        <f t="shared" si="45"/>
        <v/>
      </c>
    </row>
    <row r="423" spans="1:62" ht="15" customHeight="1" x14ac:dyDescent="0.25">
      <c r="A423" t="str">
        <f>"1306212311"</f>
        <v>1306212311</v>
      </c>
      <c r="B423" t="str">
        <f>"04293629"</f>
        <v>04293629</v>
      </c>
      <c r="C423" t="s">
        <v>6407</v>
      </c>
      <c r="D423" t="s">
        <v>6408</v>
      </c>
      <c r="E423" t="s">
        <v>6409</v>
      </c>
      <c r="G423" t="s">
        <v>6330</v>
      </c>
      <c r="H423" t="s">
        <v>6331</v>
      </c>
      <c r="J423" t="s">
        <v>6332</v>
      </c>
      <c r="L423" t="s">
        <v>809</v>
      </c>
      <c r="M423" t="s">
        <v>108</v>
      </c>
      <c r="R423" t="s">
        <v>6410</v>
      </c>
      <c r="W423" t="s">
        <v>6411</v>
      </c>
      <c r="X423" t="s">
        <v>1920</v>
      </c>
      <c r="Y423" t="s">
        <v>110</v>
      </c>
      <c r="Z423" t="s">
        <v>111</v>
      </c>
      <c r="AA423" t="str">
        <f>"13903-1642"</f>
        <v>13903-1642</v>
      </c>
      <c r="AB423" t="s">
        <v>123</v>
      </c>
      <c r="AC423" t="s">
        <v>113</v>
      </c>
      <c r="AD423" t="s">
        <v>108</v>
      </c>
      <c r="AE423" t="s">
        <v>114</v>
      </c>
      <c r="AF423" t="s">
        <v>115</v>
      </c>
      <c r="AG423" t="s">
        <v>116</v>
      </c>
      <c r="AK423" t="str">
        <f t="shared" si="42"/>
        <v>Erica Hill, PA</v>
      </c>
      <c r="AL423" t="s">
        <v>6408</v>
      </c>
      <c r="AM423" t="s">
        <v>108</v>
      </c>
      <c r="AN423" t="s">
        <v>108</v>
      </c>
      <c r="AO423" t="s">
        <v>108</v>
      </c>
      <c r="AP423" t="s">
        <v>108</v>
      </c>
      <c r="AQ423" t="s">
        <v>108</v>
      </c>
      <c r="AR423" t="s">
        <v>108</v>
      </c>
      <c r="AS423" t="s">
        <v>108</v>
      </c>
      <c r="AT423" t="s">
        <v>108</v>
      </c>
      <c r="AU423">
        <v>0</v>
      </c>
      <c r="AV423" t="s">
        <v>108</v>
      </c>
      <c r="AW423" t="s">
        <v>108</v>
      </c>
      <c r="AX423" s="24" t="str">
        <f t="shared" si="40"/>
        <v/>
      </c>
      <c r="AY423" s="24">
        <f t="shared" si="40"/>
        <v>1</v>
      </c>
      <c r="AZ423" s="24" t="str">
        <f t="shared" si="46"/>
        <v/>
      </c>
      <c r="BA423" s="24" t="str">
        <f t="shared" si="46"/>
        <v/>
      </c>
      <c r="BB423" s="24" t="str">
        <f t="shared" si="46"/>
        <v/>
      </c>
      <c r="BC423" s="24">
        <f t="shared" si="46"/>
        <v>1</v>
      </c>
      <c r="BD423" s="24" t="str">
        <f t="shared" si="46"/>
        <v/>
      </c>
      <c r="BE423" s="24" t="str">
        <f t="shared" si="46"/>
        <v/>
      </c>
      <c r="BF423" s="24" t="str">
        <f t="shared" si="46"/>
        <v/>
      </c>
      <c r="BG423" s="24" t="str">
        <f t="shared" si="46"/>
        <v/>
      </c>
      <c r="BH423" s="24" t="str">
        <f t="shared" si="43"/>
        <v/>
      </c>
      <c r="BI423" s="24" t="str">
        <f t="shared" si="46"/>
        <v/>
      </c>
      <c r="BJ423" s="24" t="str">
        <f t="shared" si="45"/>
        <v/>
      </c>
    </row>
    <row r="424" spans="1:62" ht="15" customHeight="1" x14ac:dyDescent="0.25">
      <c r="A424" t="str">
        <f>"1306192489"</f>
        <v>1306192489</v>
      </c>
      <c r="B424" t="str">
        <f>"03507215"</f>
        <v>03507215</v>
      </c>
      <c r="C424" t="s">
        <v>6194</v>
      </c>
      <c r="D424" t="s">
        <v>6195</v>
      </c>
      <c r="E424" t="s">
        <v>6196</v>
      </c>
      <c r="G424" t="s">
        <v>815</v>
      </c>
      <c r="H424" t="s">
        <v>816</v>
      </c>
      <c r="J424" t="s">
        <v>817</v>
      </c>
      <c r="L424" t="s">
        <v>120</v>
      </c>
      <c r="M424" t="s">
        <v>108</v>
      </c>
      <c r="R424" t="s">
        <v>6197</v>
      </c>
      <c r="W424" t="s">
        <v>6196</v>
      </c>
      <c r="X424" t="s">
        <v>1754</v>
      </c>
      <c r="Y424" t="s">
        <v>110</v>
      </c>
      <c r="Z424" t="s">
        <v>111</v>
      </c>
      <c r="AA424" t="str">
        <f>"13905-2539"</f>
        <v>13905-2539</v>
      </c>
      <c r="AB424" t="s">
        <v>123</v>
      </c>
      <c r="AC424" t="s">
        <v>113</v>
      </c>
      <c r="AD424" t="s">
        <v>108</v>
      </c>
      <c r="AE424" t="s">
        <v>114</v>
      </c>
      <c r="AF424" t="s">
        <v>115</v>
      </c>
      <c r="AG424" t="s">
        <v>116</v>
      </c>
      <c r="AK424" t="str">
        <f t="shared" si="42"/>
        <v>Erin A. Duff, FNP</v>
      </c>
      <c r="AL424" t="s">
        <v>6195</v>
      </c>
      <c r="AM424" t="s">
        <v>108</v>
      </c>
      <c r="AN424" t="s">
        <v>108</v>
      </c>
      <c r="AO424" t="s">
        <v>108</v>
      </c>
      <c r="AP424" t="s">
        <v>108</v>
      </c>
      <c r="AQ424" t="s">
        <v>108</v>
      </c>
      <c r="AR424" t="s">
        <v>108</v>
      </c>
      <c r="AS424" t="s">
        <v>108</v>
      </c>
      <c r="AT424" t="s">
        <v>108</v>
      </c>
      <c r="AU424">
        <v>0</v>
      </c>
      <c r="AV424" t="s">
        <v>108</v>
      </c>
      <c r="AW424" t="s">
        <v>108</v>
      </c>
      <c r="AX424" s="24">
        <f t="shared" ref="AX424:AY487" si="47">IF(ISERROR(FIND(AX$1,$L424,1)),"",1)</f>
        <v>1</v>
      </c>
      <c r="AY424" s="24" t="str">
        <f t="shared" si="47"/>
        <v/>
      </c>
      <c r="AZ424" s="24" t="str">
        <f t="shared" si="46"/>
        <v/>
      </c>
      <c r="BA424" s="24" t="str">
        <f t="shared" si="46"/>
        <v/>
      </c>
      <c r="BB424" s="24" t="str">
        <f t="shared" si="46"/>
        <v/>
      </c>
      <c r="BC424" s="24" t="str">
        <f t="shared" si="46"/>
        <v/>
      </c>
      <c r="BD424" s="24" t="str">
        <f t="shared" si="46"/>
        <v/>
      </c>
      <c r="BE424" s="24" t="str">
        <f t="shared" si="46"/>
        <v/>
      </c>
      <c r="BF424" s="24" t="str">
        <f t="shared" si="46"/>
        <v/>
      </c>
      <c r="BG424" s="24" t="str">
        <f t="shared" si="46"/>
        <v/>
      </c>
      <c r="BH424" s="24" t="str">
        <f t="shared" si="43"/>
        <v/>
      </c>
      <c r="BI424" s="24">
        <f t="shared" si="46"/>
        <v>1</v>
      </c>
      <c r="BJ424" s="24" t="str">
        <f t="shared" si="45"/>
        <v/>
      </c>
    </row>
    <row r="425" spans="1:62" ht="15" customHeight="1" x14ac:dyDescent="0.25">
      <c r="A425" t="str">
        <f>"1760431225"</f>
        <v>1760431225</v>
      </c>
      <c r="B425" t="str">
        <f>"03512461"</f>
        <v>03512461</v>
      </c>
      <c r="C425" t="s">
        <v>2776</v>
      </c>
      <c r="D425" t="s">
        <v>2777</v>
      </c>
      <c r="E425" t="s">
        <v>2778</v>
      </c>
      <c r="G425" t="s">
        <v>2755</v>
      </c>
      <c r="H425" t="s">
        <v>2756</v>
      </c>
      <c r="J425" t="s">
        <v>2779</v>
      </c>
      <c r="L425" t="s">
        <v>247</v>
      </c>
      <c r="M425" t="s">
        <v>108</v>
      </c>
      <c r="R425" t="s">
        <v>2780</v>
      </c>
      <c r="W425" t="s">
        <v>2778</v>
      </c>
      <c r="X425" t="s">
        <v>2759</v>
      </c>
      <c r="Y425" t="s">
        <v>293</v>
      </c>
      <c r="Z425" t="s">
        <v>111</v>
      </c>
      <c r="AA425" t="str">
        <f>"14850-1863"</f>
        <v>14850-1863</v>
      </c>
      <c r="AB425" t="s">
        <v>123</v>
      </c>
      <c r="AC425" t="s">
        <v>113</v>
      </c>
      <c r="AD425" t="s">
        <v>108</v>
      </c>
      <c r="AE425" t="s">
        <v>114</v>
      </c>
      <c r="AF425" t="s">
        <v>142</v>
      </c>
      <c r="AG425" t="s">
        <v>116</v>
      </c>
      <c r="AK425" t="str">
        <f t="shared" si="42"/>
        <v/>
      </c>
      <c r="AL425" t="s">
        <v>2777</v>
      </c>
      <c r="AM425">
        <v>0</v>
      </c>
      <c r="AN425">
        <v>0</v>
      </c>
      <c r="AO425">
        <v>0</v>
      </c>
      <c r="AP425">
        <v>0</v>
      </c>
      <c r="AQ425">
        <v>0</v>
      </c>
      <c r="AR425">
        <v>0</v>
      </c>
      <c r="AS425">
        <v>0</v>
      </c>
      <c r="AT425">
        <v>0</v>
      </c>
      <c r="AU425">
        <v>0</v>
      </c>
      <c r="AV425">
        <v>0</v>
      </c>
      <c r="AW425">
        <v>0</v>
      </c>
      <c r="AX425" s="24" t="str">
        <f t="shared" si="47"/>
        <v/>
      </c>
      <c r="AY425" s="24">
        <f t="shared" si="47"/>
        <v>1</v>
      </c>
      <c r="AZ425" s="24" t="str">
        <f t="shared" si="46"/>
        <v/>
      </c>
      <c r="BA425" s="24" t="str">
        <f t="shared" si="46"/>
        <v/>
      </c>
      <c r="BB425" s="24" t="str">
        <f t="shared" si="46"/>
        <v/>
      </c>
      <c r="BC425" s="24" t="str">
        <f t="shared" si="46"/>
        <v/>
      </c>
      <c r="BD425" s="24" t="str">
        <f t="shared" si="46"/>
        <v/>
      </c>
      <c r="BE425" s="24" t="str">
        <f t="shared" si="46"/>
        <v/>
      </c>
      <c r="BF425" s="24" t="str">
        <f t="shared" si="46"/>
        <v/>
      </c>
      <c r="BG425" s="24" t="str">
        <f t="shared" si="46"/>
        <v/>
      </c>
      <c r="BH425" s="24" t="str">
        <f t="shared" si="43"/>
        <v/>
      </c>
      <c r="BI425" s="24" t="str">
        <f t="shared" si="46"/>
        <v/>
      </c>
      <c r="BJ425" s="24" t="str">
        <f t="shared" si="45"/>
        <v/>
      </c>
    </row>
    <row r="426" spans="1:62" ht="15" customHeight="1" x14ac:dyDescent="0.25">
      <c r="A426" t="str">
        <f>"1619928843"</f>
        <v>1619928843</v>
      </c>
      <c r="B426" t="str">
        <f>"01333655"</f>
        <v>01333655</v>
      </c>
      <c r="C426" t="s">
        <v>1888</v>
      </c>
      <c r="D426" t="s">
        <v>1889</v>
      </c>
      <c r="E426" t="s">
        <v>1890</v>
      </c>
      <c r="L426" t="s">
        <v>6868</v>
      </c>
      <c r="M426" t="s">
        <v>108</v>
      </c>
      <c r="R426" t="s">
        <v>1888</v>
      </c>
      <c r="W426" t="s">
        <v>1890</v>
      </c>
      <c r="X426" t="s">
        <v>1891</v>
      </c>
      <c r="Y426" t="s">
        <v>129</v>
      </c>
      <c r="Z426" t="s">
        <v>111</v>
      </c>
      <c r="AA426" t="str">
        <f>"13790-2105"</f>
        <v>13790-2105</v>
      </c>
      <c r="AB426" t="s">
        <v>123</v>
      </c>
      <c r="AC426" t="s">
        <v>113</v>
      </c>
      <c r="AD426" t="s">
        <v>108</v>
      </c>
      <c r="AE426" t="s">
        <v>114</v>
      </c>
      <c r="AF426" t="s">
        <v>115</v>
      </c>
      <c r="AG426" t="s">
        <v>116</v>
      </c>
      <c r="AK426" t="str">
        <f t="shared" si="42"/>
        <v/>
      </c>
      <c r="AL426" t="s">
        <v>1889</v>
      </c>
      <c r="AM426">
        <v>0</v>
      </c>
      <c r="AN426">
        <v>0</v>
      </c>
      <c r="AO426">
        <v>0</v>
      </c>
      <c r="AP426">
        <v>0</v>
      </c>
      <c r="AQ426">
        <v>0</v>
      </c>
      <c r="AR426">
        <v>0</v>
      </c>
      <c r="AS426">
        <v>0</v>
      </c>
      <c r="AT426">
        <v>0</v>
      </c>
      <c r="AU426">
        <v>0</v>
      </c>
      <c r="AV426">
        <v>0</v>
      </c>
      <c r="AW426">
        <v>0</v>
      </c>
      <c r="AX426" s="24">
        <f t="shared" si="47"/>
        <v>1</v>
      </c>
      <c r="AY426" s="24">
        <f t="shared" si="47"/>
        <v>1</v>
      </c>
      <c r="AZ426" s="24" t="str">
        <f t="shared" si="46"/>
        <v/>
      </c>
      <c r="BA426" s="24" t="str">
        <f t="shared" si="46"/>
        <v/>
      </c>
      <c r="BB426" s="24" t="str">
        <f t="shared" si="46"/>
        <v/>
      </c>
      <c r="BC426" s="24" t="str">
        <f t="shared" si="46"/>
        <v/>
      </c>
      <c r="BD426" s="24" t="str">
        <f t="shared" si="46"/>
        <v/>
      </c>
      <c r="BE426" s="24" t="str">
        <f t="shared" si="46"/>
        <v/>
      </c>
      <c r="BF426" s="24" t="str">
        <f t="shared" si="46"/>
        <v/>
      </c>
      <c r="BG426" s="24" t="str">
        <f t="shared" si="46"/>
        <v/>
      </c>
      <c r="BH426" s="24" t="str">
        <f t="shared" si="43"/>
        <v/>
      </c>
      <c r="BI426" s="24" t="str">
        <f t="shared" si="46"/>
        <v/>
      </c>
      <c r="BJ426" s="24" t="str">
        <f t="shared" si="45"/>
        <v/>
      </c>
    </row>
    <row r="427" spans="1:62" ht="15" customHeight="1" x14ac:dyDescent="0.25">
      <c r="A427" t="str">
        <f>"1487629622"</f>
        <v>1487629622</v>
      </c>
      <c r="B427" t="str">
        <f>"01636502"</f>
        <v>01636502</v>
      </c>
      <c r="C427" t="s">
        <v>4011</v>
      </c>
      <c r="D427" t="s">
        <v>4012</v>
      </c>
      <c r="E427" t="s">
        <v>4011</v>
      </c>
      <c r="G427" t="s">
        <v>699</v>
      </c>
      <c r="H427" t="s">
        <v>700</v>
      </c>
      <c r="J427" t="s">
        <v>701</v>
      </c>
      <c r="L427" t="s">
        <v>120</v>
      </c>
      <c r="M427" t="s">
        <v>108</v>
      </c>
      <c r="R427" t="s">
        <v>4013</v>
      </c>
      <c r="W427" t="s">
        <v>4011</v>
      </c>
      <c r="Y427" t="s">
        <v>293</v>
      </c>
      <c r="Z427" t="s">
        <v>111</v>
      </c>
      <c r="AA427" t="str">
        <f>"14850-2017"</f>
        <v>14850-2017</v>
      </c>
      <c r="AB427" t="s">
        <v>123</v>
      </c>
      <c r="AC427" t="s">
        <v>113</v>
      </c>
      <c r="AD427" t="s">
        <v>108</v>
      </c>
      <c r="AE427" t="s">
        <v>114</v>
      </c>
      <c r="AF427" t="s">
        <v>142</v>
      </c>
      <c r="AG427" t="s">
        <v>116</v>
      </c>
      <c r="AK427" t="str">
        <f t="shared" si="42"/>
        <v/>
      </c>
      <c r="AL427" t="s">
        <v>4012</v>
      </c>
      <c r="AM427">
        <v>1</v>
      </c>
      <c r="AN427">
        <v>1</v>
      </c>
      <c r="AO427">
        <v>0</v>
      </c>
      <c r="AP427">
        <v>0</v>
      </c>
      <c r="AQ427">
        <v>0</v>
      </c>
      <c r="AR427">
        <v>0</v>
      </c>
      <c r="AS427">
        <v>0</v>
      </c>
      <c r="AT427">
        <v>1</v>
      </c>
      <c r="AU427">
        <v>1</v>
      </c>
      <c r="AV427">
        <v>1</v>
      </c>
      <c r="AW427">
        <v>0</v>
      </c>
      <c r="AX427" s="24">
        <f t="shared" si="47"/>
        <v>1</v>
      </c>
      <c r="AY427" s="24" t="str">
        <f t="shared" si="47"/>
        <v/>
      </c>
      <c r="AZ427" s="24" t="str">
        <f t="shared" si="46"/>
        <v/>
      </c>
      <c r="BA427" s="24" t="str">
        <f t="shared" si="46"/>
        <v/>
      </c>
      <c r="BB427" s="24" t="str">
        <f t="shared" si="46"/>
        <v/>
      </c>
      <c r="BC427" s="24" t="str">
        <f t="shared" si="46"/>
        <v/>
      </c>
      <c r="BD427" s="24" t="str">
        <f t="shared" si="46"/>
        <v/>
      </c>
      <c r="BE427" s="24" t="str">
        <f t="shared" si="46"/>
        <v/>
      </c>
      <c r="BF427" s="24" t="str">
        <f t="shared" si="46"/>
        <v/>
      </c>
      <c r="BG427" s="24" t="str">
        <f t="shared" si="46"/>
        <v/>
      </c>
      <c r="BH427" s="24" t="str">
        <f t="shared" si="43"/>
        <v/>
      </c>
      <c r="BI427" s="24">
        <f t="shared" si="46"/>
        <v>1</v>
      </c>
      <c r="BJ427" s="24" t="str">
        <f t="shared" si="45"/>
        <v/>
      </c>
    </row>
    <row r="428" spans="1:62" ht="15" customHeight="1" x14ac:dyDescent="0.25">
      <c r="A428" t="str">
        <f>"1447512306"</f>
        <v>1447512306</v>
      </c>
      <c r="B428" t="str">
        <f>"04310707"</f>
        <v>04310707</v>
      </c>
      <c r="C428" t="s">
        <v>6589</v>
      </c>
      <c r="D428" t="s">
        <v>6590</v>
      </c>
      <c r="E428" t="s">
        <v>6591</v>
      </c>
      <c r="G428" t="s">
        <v>6302</v>
      </c>
      <c r="H428" t="s">
        <v>3155</v>
      </c>
      <c r="J428" t="s">
        <v>6303</v>
      </c>
      <c r="L428" t="s">
        <v>120</v>
      </c>
      <c r="M428" t="s">
        <v>108</v>
      </c>
      <c r="R428" t="s">
        <v>6592</v>
      </c>
      <c r="W428" t="s">
        <v>6591</v>
      </c>
      <c r="X428" t="s">
        <v>3158</v>
      </c>
      <c r="Y428" t="s">
        <v>293</v>
      </c>
      <c r="Z428" t="s">
        <v>111</v>
      </c>
      <c r="AA428" t="str">
        <f>"14850-1055"</f>
        <v>14850-1055</v>
      </c>
      <c r="AB428" t="s">
        <v>123</v>
      </c>
      <c r="AC428" t="s">
        <v>113</v>
      </c>
      <c r="AD428" t="s">
        <v>108</v>
      </c>
      <c r="AE428" t="s">
        <v>114</v>
      </c>
      <c r="AF428" t="s">
        <v>142</v>
      </c>
      <c r="AG428" t="s">
        <v>116</v>
      </c>
      <c r="AK428" t="str">
        <f t="shared" si="42"/>
        <v>Estrin Ynit</v>
      </c>
      <c r="AL428" t="s">
        <v>6590</v>
      </c>
      <c r="AM428" t="s">
        <v>108</v>
      </c>
      <c r="AN428" t="s">
        <v>108</v>
      </c>
      <c r="AO428" t="s">
        <v>108</v>
      </c>
      <c r="AP428" t="s">
        <v>108</v>
      </c>
      <c r="AQ428" t="s">
        <v>108</v>
      </c>
      <c r="AR428" t="s">
        <v>108</v>
      </c>
      <c r="AS428" t="s">
        <v>108</v>
      </c>
      <c r="AT428" t="s">
        <v>108</v>
      </c>
      <c r="AU428">
        <v>0</v>
      </c>
      <c r="AV428" t="s">
        <v>108</v>
      </c>
      <c r="AW428" t="s">
        <v>108</v>
      </c>
      <c r="AX428" s="24">
        <f t="shared" si="47"/>
        <v>1</v>
      </c>
      <c r="AY428" s="24" t="str">
        <f t="shared" si="47"/>
        <v/>
      </c>
      <c r="AZ428" s="24" t="str">
        <f t="shared" si="46"/>
        <v/>
      </c>
      <c r="BA428" s="24" t="str">
        <f t="shared" si="46"/>
        <v/>
      </c>
      <c r="BB428" s="24" t="str">
        <f t="shared" si="46"/>
        <v/>
      </c>
      <c r="BC428" s="24" t="str">
        <f t="shared" si="46"/>
        <v/>
      </c>
      <c r="BD428" s="24" t="str">
        <f t="shared" si="46"/>
        <v/>
      </c>
      <c r="BE428" s="24" t="str">
        <f t="shared" si="46"/>
        <v/>
      </c>
      <c r="BF428" s="24" t="str">
        <f t="shared" si="46"/>
        <v/>
      </c>
      <c r="BG428" s="24" t="str">
        <f t="shared" si="46"/>
        <v/>
      </c>
      <c r="BH428" s="24" t="str">
        <f t="shared" si="43"/>
        <v/>
      </c>
      <c r="BI428" s="24">
        <f t="shared" si="46"/>
        <v>1</v>
      </c>
      <c r="BJ428" s="24" t="str">
        <f t="shared" si="45"/>
        <v/>
      </c>
    </row>
    <row r="429" spans="1:62" ht="15" customHeight="1" x14ac:dyDescent="0.25">
      <c r="A429" t="str">
        <f>"1881846897"</f>
        <v>1881846897</v>
      </c>
      <c r="B429" t="str">
        <f>"03248437"</f>
        <v>03248437</v>
      </c>
      <c r="C429" t="s">
        <v>2926</v>
      </c>
      <c r="D429" t="s">
        <v>2927</v>
      </c>
      <c r="E429" t="s">
        <v>2928</v>
      </c>
      <c r="G429" t="s">
        <v>177</v>
      </c>
      <c r="H429" t="s">
        <v>178</v>
      </c>
      <c r="J429" t="s">
        <v>179</v>
      </c>
      <c r="L429" t="s">
        <v>247</v>
      </c>
      <c r="M429" t="s">
        <v>108</v>
      </c>
      <c r="R429" t="s">
        <v>2926</v>
      </c>
      <c r="W429" t="s">
        <v>2928</v>
      </c>
      <c r="X429" t="s">
        <v>196</v>
      </c>
      <c r="Y429" t="s">
        <v>181</v>
      </c>
      <c r="Z429" t="s">
        <v>182</v>
      </c>
      <c r="AA429" t="str">
        <f>"18840-1625"</f>
        <v>18840-1625</v>
      </c>
      <c r="AB429" t="s">
        <v>123</v>
      </c>
      <c r="AC429" t="s">
        <v>113</v>
      </c>
      <c r="AD429" t="s">
        <v>108</v>
      </c>
      <c r="AE429" t="s">
        <v>114</v>
      </c>
      <c r="AF429" t="s">
        <v>115</v>
      </c>
      <c r="AG429" t="s">
        <v>116</v>
      </c>
      <c r="AK429" t="str">
        <f t="shared" si="42"/>
        <v/>
      </c>
      <c r="AL429" t="s">
        <v>2927</v>
      </c>
      <c r="AM429">
        <v>1</v>
      </c>
      <c r="AN429">
        <v>1</v>
      </c>
      <c r="AO429">
        <v>0</v>
      </c>
      <c r="AP429">
        <v>0</v>
      </c>
      <c r="AQ429">
        <v>0</v>
      </c>
      <c r="AR429">
        <v>0</v>
      </c>
      <c r="AS429">
        <v>0</v>
      </c>
      <c r="AT429">
        <v>0</v>
      </c>
      <c r="AU429">
        <v>0</v>
      </c>
      <c r="AV429">
        <v>1</v>
      </c>
      <c r="AW429">
        <v>0</v>
      </c>
      <c r="AX429" s="24" t="str">
        <f t="shared" si="47"/>
        <v/>
      </c>
      <c r="AY429" s="24">
        <f t="shared" si="47"/>
        <v>1</v>
      </c>
      <c r="AZ429" s="24" t="str">
        <f t="shared" si="46"/>
        <v/>
      </c>
      <c r="BA429" s="24" t="str">
        <f t="shared" si="46"/>
        <v/>
      </c>
      <c r="BB429" s="24" t="str">
        <f t="shared" si="46"/>
        <v/>
      </c>
      <c r="BC429" s="24" t="str">
        <f t="shared" si="46"/>
        <v/>
      </c>
      <c r="BD429" s="24" t="str">
        <f t="shared" si="46"/>
        <v/>
      </c>
      <c r="BE429" s="24" t="str">
        <f t="shared" si="46"/>
        <v/>
      </c>
      <c r="BF429" s="24" t="str">
        <f t="shared" si="46"/>
        <v/>
      </c>
      <c r="BG429" s="24" t="str">
        <f t="shared" si="46"/>
        <v/>
      </c>
      <c r="BH429" s="24" t="str">
        <f t="shared" si="43"/>
        <v/>
      </c>
      <c r="BI429" s="24" t="str">
        <f t="shared" si="46"/>
        <v/>
      </c>
      <c r="BJ429" s="24" t="str">
        <f t="shared" si="45"/>
        <v/>
      </c>
    </row>
    <row r="430" spans="1:62" ht="15" customHeight="1" x14ac:dyDescent="0.25">
      <c r="A430" t="str">
        <f>"1265483481"</f>
        <v>1265483481</v>
      </c>
      <c r="B430" t="str">
        <f>"02601632"</f>
        <v>02601632</v>
      </c>
      <c r="C430" t="s">
        <v>4109</v>
      </c>
      <c r="D430" t="s">
        <v>4110</v>
      </c>
      <c r="E430" t="s">
        <v>4111</v>
      </c>
      <c r="L430" t="s">
        <v>809</v>
      </c>
      <c r="M430" t="s">
        <v>108</v>
      </c>
      <c r="R430" t="s">
        <v>4109</v>
      </c>
      <c r="W430" t="s">
        <v>4111</v>
      </c>
      <c r="X430" t="s">
        <v>4112</v>
      </c>
      <c r="Y430" t="s">
        <v>110</v>
      </c>
      <c r="Z430" t="s">
        <v>111</v>
      </c>
      <c r="AA430" t="str">
        <f>"13903-1617"</f>
        <v>13903-1617</v>
      </c>
      <c r="AB430" t="s">
        <v>123</v>
      </c>
      <c r="AC430" t="s">
        <v>113</v>
      </c>
      <c r="AD430" t="s">
        <v>108</v>
      </c>
      <c r="AE430" t="s">
        <v>114</v>
      </c>
      <c r="AF430" t="s">
        <v>115</v>
      </c>
      <c r="AG430" t="s">
        <v>116</v>
      </c>
      <c r="AK430" t="str">
        <f t="shared" si="42"/>
        <v/>
      </c>
      <c r="AL430" t="s">
        <v>4110</v>
      </c>
      <c r="AM430">
        <v>1</v>
      </c>
      <c r="AN430">
        <v>1</v>
      </c>
      <c r="AO430">
        <v>0</v>
      </c>
      <c r="AP430">
        <v>1</v>
      </c>
      <c r="AQ430">
        <v>1</v>
      </c>
      <c r="AR430">
        <v>0</v>
      </c>
      <c r="AS430">
        <v>0</v>
      </c>
      <c r="AT430">
        <v>0</v>
      </c>
      <c r="AU430">
        <v>0</v>
      </c>
      <c r="AV430">
        <v>0</v>
      </c>
      <c r="AW430">
        <v>0</v>
      </c>
      <c r="AX430" s="24" t="str">
        <f t="shared" si="47"/>
        <v/>
      </c>
      <c r="AY430" s="24">
        <f t="shared" si="47"/>
        <v>1</v>
      </c>
      <c r="AZ430" s="24" t="str">
        <f t="shared" si="46"/>
        <v/>
      </c>
      <c r="BA430" s="24" t="str">
        <f t="shared" si="46"/>
        <v/>
      </c>
      <c r="BB430" s="24" t="str">
        <f t="shared" si="46"/>
        <v/>
      </c>
      <c r="BC430" s="24">
        <f t="shared" si="46"/>
        <v>1</v>
      </c>
      <c r="BD430" s="24" t="str">
        <f t="shared" si="46"/>
        <v/>
      </c>
      <c r="BE430" s="24" t="str">
        <f t="shared" si="46"/>
        <v/>
      </c>
      <c r="BF430" s="24" t="str">
        <f t="shared" si="46"/>
        <v/>
      </c>
      <c r="BG430" s="24" t="str">
        <f t="shared" si="46"/>
        <v/>
      </c>
      <c r="BH430" s="24" t="str">
        <f t="shared" si="43"/>
        <v/>
      </c>
      <c r="BI430" s="24" t="str">
        <f t="shared" si="46"/>
        <v/>
      </c>
      <c r="BJ430" s="24" t="str">
        <f t="shared" si="45"/>
        <v/>
      </c>
    </row>
    <row r="431" spans="1:62" ht="15" customHeight="1" x14ac:dyDescent="0.25">
      <c r="A431" t="str">
        <f>"1427088467"</f>
        <v>1427088467</v>
      </c>
      <c r="B431" t="str">
        <f>"02612471"</f>
        <v>02612471</v>
      </c>
      <c r="C431" t="s">
        <v>5171</v>
      </c>
      <c r="D431" t="s">
        <v>5172</v>
      </c>
      <c r="E431" t="s">
        <v>5173</v>
      </c>
      <c r="L431" t="s">
        <v>809</v>
      </c>
      <c r="M431" t="s">
        <v>108</v>
      </c>
      <c r="R431" t="s">
        <v>5171</v>
      </c>
      <c r="W431" t="s">
        <v>5173</v>
      </c>
      <c r="X431" t="s">
        <v>1009</v>
      </c>
      <c r="Y431" t="s">
        <v>110</v>
      </c>
      <c r="Z431" t="s">
        <v>111</v>
      </c>
      <c r="AA431" t="str">
        <f>"13903-1617"</f>
        <v>13903-1617</v>
      </c>
      <c r="AB431" t="s">
        <v>123</v>
      </c>
      <c r="AC431" t="s">
        <v>113</v>
      </c>
      <c r="AD431" t="s">
        <v>108</v>
      </c>
      <c r="AE431" t="s">
        <v>114</v>
      </c>
      <c r="AF431" t="s">
        <v>115</v>
      </c>
      <c r="AG431" t="s">
        <v>116</v>
      </c>
      <c r="AK431" t="str">
        <f t="shared" si="42"/>
        <v/>
      </c>
      <c r="AL431" t="s">
        <v>5172</v>
      </c>
      <c r="AM431">
        <v>1</v>
      </c>
      <c r="AN431">
        <v>1</v>
      </c>
      <c r="AO431">
        <v>0</v>
      </c>
      <c r="AP431">
        <v>1</v>
      </c>
      <c r="AQ431">
        <v>1</v>
      </c>
      <c r="AR431">
        <v>0</v>
      </c>
      <c r="AS431">
        <v>0</v>
      </c>
      <c r="AT431">
        <v>0</v>
      </c>
      <c r="AU431">
        <v>0</v>
      </c>
      <c r="AV431">
        <v>0</v>
      </c>
      <c r="AW431">
        <v>0</v>
      </c>
      <c r="AX431" s="24" t="str">
        <f t="shared" si="47"/>
        <v/>
      </c>
      <c r="AY431" s="24">
        <f t="shared" si="47"/>
        <v>1</v>
      </c>
      <c r="AZ431" s="24" t="str">
        <f t="shared" si="46"/>
        <v/>
      </c>
      <c r="BA431" s="24" t="str">
        <f t="shared" si="46"/>
        <v/>
      </c>
      <c r="BB431" s="24" t="str">
        <f t="shared" si="46"/>
        <v/>
      </c>
      <c r="BC431" s="24">
        <f t="shared" si="46"/>
        <v>1</v>
      </c>
      <c r="BD431" s="24" t="str">
        <f t="shared" si="46"/>
        <v/>
      </c>
      <c r="BE431" s="24" t="str">
        <f t="shared" si="46"/>
        <v/>
      </c>
      <c r="BF431" s="24" t="str">
        <f t="shared" si="46"/>
        <v/>
      </c>
      <c r="BG431" s="24" t="str">
        <f t="shared" si="46"/>
        <v/>
      </c>
      <c r="BH431" s="24" t="str">
        <f t="shared" si="43"/>
        <v/>
      </c>
      <c r="BI431" s="24" t="str">
        <f t="shared" si="46"/>
        <v/>
      </c>
      <c r="BJ431" s="24" t="str">
        <f t="shared" si="45"/>
        <v/>
      </c>
    </row>
    <row r="432" spans="1:62" ht="15" customHeight="1" x14ac:dyDescent="0.25">
      <c r="A432" t="str">
        <f>"1285029611"</f>
        <v>1285029611</v>
      </c>
      <c r="B432" t="str">
        <f>"04182876"</f>
        <v>04182876</v>
      </c>
      <c r="C432" t="s">
        <v>6855</v>
      </c>
      <c r="D432" t="s">
        <v>7150</v>
      </c>
      <c r="E432" t="s">
        <v>7005</v>
      </c>
      <c r="G432" t="s">
        <v>4802</v>
      </c>
      <c r="H432" t="s">
        <v>4803</v>
      </c>
      <c r="I432">
        <v>224</v>
      </c>
      <c r="J432" t="s">
        <v>4804</v>
      </c>
      <c r="L432" t="s">
        <v>133</v>
      </c>
      <c r="M432" t="s">
        <v>108</v>
      </c>
      <c r="R432" t="s">
        <v>6855</v>
      </c>
      <c r="W432" t="s">
        <v>7005</v>
      </c>
      <c r="X432" t="s">
        <v>7006</v>
      </c>
      <c r="Y432" t="s">
        <v>110</v>
      </c>
      <c r="Z432" t="s">
        <v>111</v>
      </c>
      <c r="AA432" t="str">
        <f>"13901-3602"</f>
        <v>13901-3602</v>
      </c>
      <c r="AB432" t="s">
        <v>385</v>
      </c>
      <c r="AC432" t="s">
        <v>113</v>
      </c>
      <c r="AD432" t="s">
        <v>108</v>
      </c>
      <c r="AE432" t="s">
        <v>114</v>
      </c>
      <c r="AF432" t="s">
        <v>115</v>
      </c>
      <c r="AG432" t="s">
        <v>116</v>
      </c>
      <c r="AK432" t="str">
        <f t="shared" si="42"/>
        <v>FAIRVIEW RECOVERY SERVICES, INC</v>
      </c>
      <c r="AL432" t="s">
        <v>7150</v>
      </c>
      <c r="AM432" t="s">
        <v>108</v>
      </c>
      <c r="AN432" t="s">
        <v>108</v>
      </c>
      <c r="AO432" t="s">
        <v>108</v>
      </c>
      <c r="AP432" t="s">
        <v>108</v>
      </c>
      <c r="AQ432" t="s">
        <v>108</v>
      </c>
      <c r="AR432" t="s">
        <v>108</v>
      </c>
      <c r="AS432" t="s">
        <v>108</v>
      </c>
      <c r="AT432" t="s">
        <v>108</v>
      </c>
      <c r="AU432">
        <v>0</v>
      </c>
      <c r="AV432" t="s">
        <v>108</v>
      </c>
      <c r="AW432" t="s">
        <v>108</v>
      </c>
      <c r="AX432" s="24" t="str">
        <f t="shared" si="47"/>
        <v/>
      </c>
      <c r="AY432" s="24" t="str">
        <f t="shared" si="47"/>
        <v/>
      </c>
      <c r="AZ432" s="24" t="str">
        <f t="shared" si="46"/>
        <v/>
      </c>
      <c r="BA432" s="24" t="str">
        <f t="shared" si="46"/>
        <v/>
      </c>
      <c r="BB432" s="24" t="str">
        <f t="shared" si="46"/>
        <v/>
      </c>
      <c r="BC432" s="24" t="str">
        <f t="shared" si="46"/>
        <v/>
      </c>
      <c r="BD432" s="24" t="str">
        <f t="shared" si="46"/>
        <v/>
      </c>
      <c r="BE432" s="24" t="str">
        <f t="shared" si="46"/>
        <v/>
      </c>
      <c r="BF432" s="24" t="str">
        <f t="shared" si="46"/>
        <v/>
      </c>
      <c r="BG432" s="24" t="str">
        <f t="shared" si="46"/>
        <v/>
      </c>
      <c r="BH432" s="24" t="str">
        <f t="shared" si="43"/>
        <v/>
      </c>
      <c r="BI432" s="24" t="str">
        <f t="shared" si="46"/>
        <v/>
      </c>
      <c r="BJ432" s="24">
        <f t="shared" si="45"/>
        <v>1</v>
      </c>
    </row>
    <row r="433" spans="1:62" ht="15" customHeight="1" x14ac:dyDescent="0.25">
      <c r="C433" t="s">
        <v>4801</v>
      </c>
      <c r="G433" t="s">
        <v>4802</v>
      </c>
      <c r="H433" t="s">
        <v>4803</v>
      </c>
      <c r="I433">
        <v>224</v>
      </c>
      <c r="J433" t="s">
        <v>4804</v>
      </c>
      <c r="K433" t="s">
        <v>780</v>
      </c>
      <c r="L433" t="s">
        <v>6874</v>
      </c>
      <c r="M433" t="s">
        <v>139</v>
      </c>
      <c r="N433" t="s">
        <v>4805</v>
      </c>
      <c r="O433" t="s">
        <v>1096</v>
      </c>
      <c r="P433" t="s">
        <v>111</v>
      </c>
      <c r="Q433" t="str">
        <f>"13904"</f>
        <v>13904</v>
      </c>
      <c r="AC433" t="s">
        <v>113</v>
      </c>
      <c r="AD433" t="s">
        <v>108</v>
      </c>
      <c r="AE433" t="s">
        <v>784</v>
      </c>
      <c r="AF433" t="s">
        <v>115</v>
      </c>
      <c r="AG433" t="s">
        <v>116</v>
      </c>
      <c r="AK433" t="str">
        <f t="shared" si="42"/>
        <v>Fairview Recovery Services, Inc.</v>
      </c>
      <c r="AM433" t="s">
        <v>108</v>
      </c>
      <c r="AN433" t="s">
        <v>108</v>
      </c>
      <c r="AO433" t="s">
        <v>108</v>
      </c>
      <c r="AP433" t="s">
        <v>108</v>
      </c>
      <c r="AQ433" t="s">
        <v>108</v>
      </c>
      <c r="AR433" t="s">
        <v>108</v>
      </c>
      <c r="AS433" t="s">
        <v>108</v>
      </c>
      <c r="AT433" t="s">
        <v>108</v>
      </c>
      <c r="AU433">
        <v>0</v>
      </c>
      <c r="AV433" t="s">
        <v>108</v>
      </c>
      <c r="AW433" t="s">
        <v>108</v>
      </c>
      <c r="AX433" s="24" t="str">
        <f t="shared" si="47"/>
        <v/>
      </c>
      <c r="AY433" s="24" t="str">
        <f t="shared" si="47"/>
        <v/>
      </c>
      <c r="AZ433" s="24" t="str">
        <f t="shared" si="46"/>
        <v/>
      </c>
      <c r="BA433" s="24" t="str">
        <f t="shared" si="46"/>
        <v/>
      </c>
      <c r="BB433" s="24" t="str">
        <f t="shared" si="46"/>
        <v/>
      </c>
      <c r="BC433" s="24" t="str">
        <f t="shared" si="46"/>
        <v/>
      </c>
      <c r="BD433" s="24" t="str">
        <f t="shared" si="46"/>
        <v/>
      </c>
      <c r="BE433" s="24" t="str">
        <f t="shared" si="46"/>
        <v/>
      </c>
      <c r="BF433" s="24" t="str">
        <f t="shared" si="46"/>
        <v/>
      </c>
      <c r="BG433" s="24" t="str">
        <f t="shared" si="46"/>
        <v/>
      </c>
      <c r="BH433" s="24" t="str">
        <f t="shared" si="43"/>
        <v/>
      </c>
      <c r="BI433" s="24" t="str">
        <f t="shared" si="46"/>
        <v/>
      </c>
      <c r="BJ433" s="24" t="str">
        <f t="shared" si="45"/>
        <v/>
      </c>
    </row>
    <row r="434" spans="1:62" ht="15" customHeight="1" x14ac:dyDescent="0.25">
      <c r="A434" t="str">
        <f>"1124176680"</f>
        <v>1124176680</v>
      </c>
      <c r="B434" t="str">
        <f>"00843476"</f>
        <v>00843476</v>
      </c>
      <c r="C434" t="s">
        <v>4932</v>
      </c>
      <c r="D434" t="s">
        <v>4933</v>
      </c>
      <c r="E434" t="s">
        <v>4932</v>
      </c>
      <c r="G434" t="s">
        <v>4934</v>
      </c>
      <c r="H434" t="s">
        <v>4935</v>
      </c>
      <c r="L434" t="s">
        <v>278</v>
      </c>
      <c r="M434" t="s">
        <v>139</v>
      </c>
      <c r="R434" t="s">
        <v>4936</v>
      </c>
      <c r="W434" t="s">
        <v>4932</v>
      </c>
      <c r="X434" t="s">
        <v>4937</v>
      </c>
      <c r="Y434" t="s">
        <v>293</v>
      </c>
      <c r="Z434" t="s">
        <v>111</v>
      </c>
      <c r="AA434" t="str">
        <f>"14850-5427"</f>
        <v>14850-5427</v>
      </c>
      <c r="AB434" t="s">
        <v>282</v>
      </c>
      <c r="AC434" t="s">
        <v>113</v>
      </c>
      <c r="AD434" t="s">
        <v>108</v>
      </c>
      <c r="AE434" t="s">
        <v>114</v>
      </c>
      <c r="AF434" t="s">
        <v>142</v>
      </c>
      <c r="AG434" t="s">
        <v>116</v>
      </c>
      <c r="AK434" t="str">
        <f t="shared" si="42"/>
        <v/>
      </c>
      <c r="AL434" t="s">
        <v>4933</v>
      </c>
      <c r="AM434">
        <v>0</v>
      </c>
      <c r="AN434">
        <v>0</v>
      </c>
      <c r="AO434">
        <v>0</v>
      </c>
      <c r="AP434">
        <v>0</v>
      </c>
      <c r="AQ434">
        <v>0</v>
      </c>
      <c r="AR434">
        <v>0</v>
      </c>
      <c r="AS434">
        <v>0</v>
      </c>
      <c r="AT434">
        <v>0</v>
      </c>
      <c r="AU434">
        <v>0</v>
      </c>
      <c r="AV434">
        <v>0</v>
      </c>
      <c r="AW434">
        <v>0</v>
      </c>
      <c r="AX434" s="24" t="str">
        <f t="shared" si="47"/>
        <v/>
      </c>
      <c r="AY434" s="24" t="str">
        <f t="shared" si="47"/>
        <v/>
      </c>
      <c r="AZ434" s="24" t="str">
        <f t="shared" si="46"/>
        <v/>
      </c>
      <c r="BA434" s="24" t="str">
        <f t="shared" si="46"/>
        <v/>
      </c>
      <c r="BB434" s="24" t="str">
        <f t="shared" si="46"/>
        <v/>
      </c>
      <c r="BC434" s="24">
        <f t="shared" si="46"/>
        <v>1</v>
      </c>
      <c r="BD434" s="24" t="str">
        <f t="shared" si="46"/>
        <v/>
      </c>
      <c r="BE434" s="24" t="str">
        <f t="shared" si="46"/>
        <v/>
      </c>
      <c r="BF434" s="24" t="str">
        <f t="shared" si="46"/>
        <v/>
      </c>
      <c r="BG434" s="24" t="str">
        <f t="shared" si="46"/>
        <v/>
      </c>
      <c r="BH434" s="24" t="str">
        <f t="shared" si="43"/>
        <v/>
      </c>
      <c r="BI434" s="24">
        <f t="shared" si="46"/>
        <v>1</v>
      </c>
      <c r="BJ434" s="24" t="str">
        <f t="shared" si="45"/>
        <v/>
      </c>
    </row>
    <row r="435" spans="1:62" ht="15" customHeight="1" x14ac:dyDescent="0.25">
      <c r="A435" t="str">
        <f>"1336163963"</f>
        <v>1336163963</v>
      </c>
      <c r="B435" t="str">
        <f>"01079267"</f>
        <v>01079267</v>
      </c>
      <c r="C435" t="s">
        <v>610</v>
      </c>
      <c r="D435" t="s">
        <v>611</v>
      </c>
      <c r="E435" t="s">
        <v>612</v>
      </c>
      <c r="G435" t="s">
        <v>613</v>
      </c>
      <c r="H435" t="s">
        <v>614</v>
      </c>
      <c r="J435" t="s">
        <v>615</v>
      </c>
      <c r="L435" t="s">
        <v>616</v>
      </c>
      <c r="M435" t="s">
        <v>139</v>
      </c>
      <c r="R435" t="s">
        <v>617</v>
      </c>
      <c r="W435" t="s">
        <v>618</v>
      </c>
      <c r="X435" t="s">
        <v>619</v>
      </c>
      <c r="Y435" t="s">
        <v>239</v>
      </c>
      <c r="Z435" t="s">
        <v>111</v>
      </c>
      <c r="AA435" t="str">
        <f>"13045-2171"</f>
        <v>13045-2171</v>
      </c>
      <c r="AB435" t="s">
        <v>282</v>
      </c>
      <c r="AC435" t="s">
        <v>113</v>
      </c>
      <c r="AD435" t="s">
        <v>108</v>
      </c>
      <c r="AE435" t="s">
        <v>114</v>
      </c>
      <c r="AF435" t="s">
        <v>142</v>
      </c>
      <c r="AG435" t="s">
        <v>116</v>
      </c>
      <c r="AK435" t="str">
        <f t="shared" si="42"/>
        <v/>
      </c>
      <c r="AL435" t="s">
        <v>611</v>
      </c>
      <c r="AM435">
        <v>1</v>
      </c>
      <c r="AN435">
        <v>0</v>
      </c>
      <c r="AO435">
        <v>0</v>
      </c>
      <c r="AP435">
        <v>0</v>
      </c>
      <c r="AQ435">
        <v>0</v>
      </c>
      <c r="AR435">
        <v>1</v>
      </c>
      <c r="AS435">
        <v>0</v>
      </c>
      <c r="AT435">
        <v>0</v>
      </c>
      <c r="AU435">
        <v>0</v>
      </c>
      <c r="AV435">
        <v>0</v>
      </c>
      <c r="AW435">
        <v>0</v>
      </c>
      <c r="AX435" s="24" t="str">
        <f t="shared" si="47"/>
        <v/>
      </c>
      <c r="AY435" s="24" t="str">
        <f t="shared" si="47"/>
        <v/>
      </c>
      <c r="AZ435" s="24" t="str">
        <f t="shared" si="46"/>
        <v/>
      </c>
      <c r="BA435" s="24" t="str">
        <f t="shared" si="46"/>
        <v/>
      </c>
      <c r="BB435" s="24" t="str">
        <f t="shared" si="46"/>
        <v/>
      </c>
      <c r="BC435" s="24">
        <f t="shared" si="46"/>
        <v>1</v>
      </c>
      <c r="BD435" s="24">
        <f t="shared" si="46"/>
        <v>1</v>
      </c>
      <c r="BE435" s="24" t="str">
        <f t="shared" si="46"/>
        <v/>
      </c>
      <c r="BF435" s="24" t="str">
        <f t="shared" si="46"/>
        <v/>
      </c>
      <c r="BG435" s="24" t="str">
        <f t="shared" si="46"/>
        <v/>
      </c>
      <c r="BH435" s="24" t="str">
        <f t="shared" si="43"/>
        <v/>
      </c>
      <c r="BI435" s="24">
        <f t="shared" si="46"/>
        <v>1</v>
      </c>
      <c r="BJ435" s="24" t="str">
        <f t="shared" si="45"/>
        <v/>
      </c>
    </row>
    <row r="436" spans="1:62" ht="15" customHeight="1" x14ac:dyDescent="0.25">
      <c r="C436" t="s">
        <v>5814</v>
      </c>
      <c r="G436" t="s">
        <v>5815</v>
      </c>
      <c r="H436" t="s">
        <v>5816</v>
      </c>
      <c r="I436">
        <v>886</v>
      </c>
      <c r="J436" t="s">
        <v>5817</v>
      </c>
      <c r="K436" t="s">
        <v>5808</v>
      </c>
      <c r="L436" t="s">
        <v>781</v>
      </c>
      <c r="M436" t="s">
        <v>108</v>
      </c>
      <c r="N436" t="s">
        <v>5818</v>
      </c>
      <c r="O436" t="s">
        <v>1082</v>
      </c>
      <c r="P436" t="s">
        <v>111</v>
      </c>
      <c r="Q436" t="str">
        <f>"13790-0997"</f>
        <v>13790-0997</v>
      </c>
      <c r="AC436" t="s">
        <v>113</v>
      </c>
      <c r="AD436" t="s">
        <v>108</v>
      </c>
      <c r="AE436" t="s">
        <v>784</v>
      </c>
      <c r="AF436" t="s">
        <v>115</v>
      </c>
      <c r="AG436" t="s">
        <v>116</v>
      </c>
      <c r="AK436" t="str">
        <f t="shared" si="42"/>
        <v/>
      </c>
      <c r="AL436" t="s">
        <v>5814</v>
      </c>
      <c r="AM436">
        <v>1</v>
      </c>
      <c r="AP436">
        <v>1</v>
      </c>
      <c r="AQ436">
        <v>1</v>
      </c>
      <c r="AR436" t="s">
        <v>108</v>
      </c>
      <c r="AS436" t="s">
        <v>108</v>
      </c>
      <c r="AT436" t="s">
        <v>108</v>
      </c>
      <c r="AU436">
        <v>0</v>
      </c>
      <c r="AV436" t="s">
        <v>108</v>
      </c>
      <c r="AW436" t="s">
        <v>108</v>
      </c>
      <c r="AX436" s="24" t="str">
        <f t="shared" si="47"/>
        <v/>
      </c>
      <c r="AY436" s="24" t="str">
        <f t="shared" si="47"/>
        <v/>
      </c>
      <c r="AZ436" s="24" t="str">
        <f t="shared" si="46"/>
        <v/>
      </c>
      <c r="BA436" s="24" t="str">
        <f t="shared" si="46"/>
        <v/>
      </c>
      <c r="BB436" s="24" t="str">
        <f t="shared" si="46"/>
        <v/>
      </c>
      <c r="BC436" s="24" t="str">
        <f t="shared" si="46"/>
        <v/>
      </c>
      <c r="BD436" s="24" t="str">
        <f t="shared" si="46"/>
        <v/>
      </c>
      <c r="BE436" s="24" t="str">
        <f t="shared" si="46"/>
        <v/>
      </c>
      <c r="BF436" s="24" t="str">
        <f t="shared" si="46"/>
        <v/>
      </c>
      <c r="BG436" s="24" t="str">
        <f t="shared" si="46"/>
        <v/>
      </c>
      <c r="BH436" s="24">
        <f t="shared" si="43"/>
        <v>1</v>
      </c>
      <c r="BI436" s="24" t="str">
        <f t="shared" si="46"/>
        <v/>
      </c>
      <c r="BJ436" s="24" t="str">
        <f t="shared" si="45"/>
        <v/>
      </c>
    </row>
    <row r="437" spans="1:62" x14ac:dyDescent="0.25">
      <c r="A437" t="str">
        <f>"1043374853"</f>
        <v>1043374853</v>
      </c>
      <c r="B437" t="str">
        <f>"00474144"</f>
        <v>00474144</v>
      </c>
      <c r="C437" t="s">
        <v>1486</v>
      </c>
      <c r="D437" t="s">
        <v>1487</v>
      </c>
      <c r="E437" t="s">
        <v>1486</v>
      </c>
      <c r="G437" t="s">
        <v>1488</v>
      </c>
      <c r="H437" t="s">
        <v>787</v>
      </c>
      <c r="J437" t="s">
        <v>1489</v>
      </c>
      <c r="L437" t="s">
        <v>695</v>
      </c>
      <c r="M437" t="s">
        <v>139</v>
      </c>
      <c r="R437" t="s">
        <v>1490</v>
      </c>
      <c r="W437" t="s">
        <v>1486</v>
      </c>
      <c r="X437" t="s">
        <v>1491</v>
      </c>
      <c r="Y437" t="s">
        <v>1492</v>
      </c>
      <c r="Z437" t="s">
        <v>111</v>
      </c>
      <c r="AA437" t="str">
        <f>"13803-0448"</f>
        <v>13803-0448</v>
      </c>
      <c r="AB437" t="s">
        <v>282</v>
      </c>
      <c r="AC437" t="s">
        <v>113</v>
      </c>
      <c r="AD437" t="s">
        <v>108</v>
      </c>
      <c r="AE437" t="s">
        <v>114</v>
      </c>
      <c r="AF437" t="s">
        <v>142</v>
      </c>
      <c r="AG437" t="s">
        <v>116</v>
      </c>
      <c r="AK437" t="str">
        <f t="shared" si="42"/>
        <v/>
      </c>
      <c r="AL437" t="s">
        <v>1487</v>
      </c>
      <c r="AM437">
        <v>1</v>
      </c>
      <c r="AN437">
        <v>0</v>
      </c>
      <c r="AO437">
        <v>0</v>
      </c>
      <c r="AP437">
        <v>1</v>
      </c>
      <c r="AQ437">
        <v>1</v>
      </c>
      <c r="AR437">
        <v>1</v>
      </c>
      <c r="AS437">
        <v>0</v>
      </c>
      <c r="AT437">
        <v>0</v>
      </c>
      <c r="AU437">
        <v>0</v>
      </c>
      <c r="AV437">
        <v>0</v>
      </c>
      <c r="AW437">
        <v>0</v>
      </c>
      <c r="AX437" s="24" t="str">
        <f t="shared" si="47"/>
        <v/>
      </c>
      <c r="AY437" s="24" t="str">
        <f t="shared" si="47"/>
        <v/>
      </c>
      <c r="AZ437" s="24" t="str">
        <f t="shared" si="46"/>
        <v/>
      </c>
      <c r="BA437" s="24">
        <f t="shared" si="46"/>
        <v>1</v>
      </c>
      <c r="BB437" s="24" t="str">
        <f t="shared" si="46"/>
        <v/>
      </c>
      <c r="BC437" s="24" t="str">
        <f t="shared" si="46"/>
        <v/>
      </c>
      <c r="BD437" s="24" t="str">
        <f t="shared" si="46"/>
        <v/>
      </c>
      <c r="BE437" s="24" t="str">
        <f t="shared" si="46"/>
        <v/>
      </c>
      <c r="BF437" s="24" t="str">
        <f t="shared" si="46"/>
        <v/>
      </c>
      <c r="BG437" s="24" t="str">
        <f t="shared" si="46"/>
        <v/>
      </c>
      <c r="BH437" s="24" t="str">
        <f t="shared" si="43"/>
        <v/>
      </c>
      <c r="BI437" s="24">
        <f t="shared" si="46"/>
        <v>1</v>
      </c>
      <c r="BJ437" s="24" t="str">
        <f t="shared" si="45"/>
        <v/>
      </c>
    </row>
    <row r="438" spans="1:62" ht="15" customHeight="1" x14ac:dyDescent="0.25">
      <c r="C438" t="s">
        <v>5850</v>
      </c>
      <c r="G438" t="s">
        <v>579</v>
      </c>
      <c r="H438" t="s">
        <v>4305</v>
      </c>
      <c r="J438" t="s">
        <v>5851</v>
      </c>
      <c r="K438" t="s">
        <v>780</v>
      </c>
      <c r="L438" t="s">
        <v>781</v>
      </c>
      <c r="M438" t="s">
        <v>108</v>
      </c>
      <c r="N438" t="s">
        <v>5852</v>
      </c>
      <c r="O438" t="s">
        <v>1088</v>
      </c>
      <c r="P438" t="s">
        <v>111</v>
      </c>
      <c r="Q438" t="str">
        <f>"14850"</f>
        <v>14850</v>
      </c>
      <c r="AC438" t="s">
        <v>113</v>
      </c>
      <c r="AD438" t="s">
        <v>108</v>
      </c>
      <c r="AE438" t="s">
        <v>784</v>
      </c>
      <c r="AF438" t="s">
        <v>142</v>
      </c>
      <c r="AG438" t="s">
        <v>116</v>
      </c>
      <c r="AK438" t="str">
        <f t="shared" si="42"/>
        <v/>
      </c>
      <c r="AL438" t="s">
        <v>5850</v>
      </c>
      <c r="AM438">
        <v>1</v>
      </c>
      <c r="AP438">
        <v>1</v>
      </c>
      <c r="AU438">
        <v>0</v>
      </c>
      <c r="AV438">
        <v>1</v>
      </c>
      <c r="AW438" t="s">
        <v>108</v>
      </c>
      <c r="AX438" s="24" t="str">
        <f t="shared" si="47"/>
        <v/>
      </c>
      <c r="AY438" s="24" t="str">
        <f t="shared" si="47"/>
        <v/>
      </c>
      <c r="AZ438" s="24" t="str">
        <f t="shared" si="46"/>
        <v/>
      </c>
      <c r="BA438" s="24" t="str">
        <f t="shared" si="46"/>
        <v/>
      </c>
      <c r="BB438" s="24" t="str">
        <f t="shared" si="46"/>
        <v/>
      </c>
      <c r="BC438" s="24" t="str">
        <f t="shared" si="46"/>
        <v/>
      </c>
      <c r="BD438" s="24" t="str">
        <f t="shared" si="46"/>
        <v/>
      </c>
      <c r="BE438" s="24" t="str">
        <f t="shared" si="46"/>
        <v/>
      </c>
      <c r="BF438" s="24" t="str">
        <f t="shared" si="46"/>
        <v/>
      </c>
      <c r="BG438" s="24" t="str">
        <f t="shared" si="46"/>
        <v/>
      </c>
      <c r="BH438" s="24">
        <f t="shared" si="43"/>
        <v>1</v>
      </c>
      <c r="BI438" s="24" t="str">
        <f t="shared" si="46"/>
        <v/>
      </c>
      <c r="BJ438" s="24" t="str">
        <f t="shared" si="45"/>
        <v/>
      </c>
    </row>
    <row r="439" spans="1:62" ht="15" customHeight="1" x14ac:dyDescent="0.25">
      <c r="A439" t="str">
        <f>"1326184490"</f>
        <v>1326184490</v>
      </c>
      <c r="B439" t="str">
        <f>"00396227"</f>
        <v>00396227</v>
      </c>
      <c r="C439" t="s">
        <v>6283</v>
      </c>
      <c r="D439" t="s">
        <v>6284</v>
      </c>
      <c r="E439" t="s">
        <v>6285</v>
      </c>
      <c r="G439" t="s">
        <v>579</v>
      </c>
      <c r="H439" t="s">
        <v>4305</v>
      </c>
      <c r="J439" t="s">
        <v>5851</v>
      </c>
      <c r="L439" t="s">
        <v>68</v>
      </c>
      <c r="M439" t="s">
        <v>108</v>
      </c>
      <c r="R439" t="s">
        <v>6283</v>
      </c>
      <c r="W439" t="s">
        <v>6285</v>
      </c>
      <c r="X439" t="s">
        <v>4308</v>
      </c>
      <c r="Y439" t="s">
        <v>293</v>
      </c>
      <c r="Z439" t="s">
        <v>111</v>
      </c>
      <c r="AA439" t="str">
        <f>"14850-5429"</f>
        <v>14850-5429</v>
      </c>
      <c r="AB439" t="s">
        <v>112</v>
      </c>
      <c r="AC439" t="s">
        <v>113</v>
      </c>
      <c r="AD439" t="s">
        <v>108</v>
      </c>
      <c r="AE439" t="s">
        <v>114</v>
      </c>
      <c r="AF439" t="s">
        <v>142</v>
      </c>
      <c r="AG439" t="s">
        <v>116</v>
      </c>
      <c r="AK439" t="str">
        <f t="shared" si="42"/>
        <v>FAMILY MEDICINE ASSOCIATES OF ITHACA LLP</v>
      </c>
      <c r="AL439" t="s">
        <v>6284</v>
      </c>
      <c r="AM439" t="s">
        <v>108</v>
      </c>
      <c r="AN439" t="s">
        <v>108</v>
      </c>
      <c r="AO439" t="s">
        <v>108</v>
      </c>
      <c r="AP439" t="s">
        <v>108</v>
      </c>
      <c r="AQ439" t="s">
        <v>108</v>
      </c>
      <c r="AR439" t="s">
        <v>108</v>
      </c>
      <c r="AS439" t="s">
        <v>108</v>
      </c>
      <c r="AT439" t="s">
        <v>108</v>
      </c>
      <c r="AU439">
        <v>0</v>
      </c>
      <c r="AV439" t="s">
        <v>108</v>
      </c>
      <c r="AW439" t="s">
        <v>108</v>
      </c>
      <c r="AX439" s="24" t="str">
        <f t="shared" si="47"/>
        <v/>
      </c>
      <c r="AY439" s="24" t="str">
        <f t="shared" si="47"/>
        <v/>
      </c>
      <c r="AZ439" s="24" t="str">
        <f t="shared" si="46"/>
        <v/>
      </c>
      <c r="BA439" s="24" t="str">
        <f t="shared" si="46"/>
        <v/>
      </c>
      <c r="BB439" s="24" t="str">
        <f t="shared" si="46"/>
        <v/>
      </c>
      <c r="BC439" s="24" t="str">
        <f t="shared" si="46"/>
        <v/>
      </c>
      <c r="BD439" s="24" t="str">
        <f t="shared" si="46"/>
        <v/>
      </c>
      <c r="BE439" s="24" t="str">
        <f t="shared" si="46"/>
        <v/>
      </c>
      <c r="BF439" s="24" t="str">
        <f t="shared" si="46"/>
        <v/>
      </c>
      <c r="BG439" s="24" t="str">
        <f t="shared" si="46"/>
        <v/>
      </c>
      <c r="BH439" s="24" t="str">
        <f t="shared" si="43"/>
        <v/>
      </c>
      <c r="BI439" s="24">
        <f t="shared" si="46"/>
        <v>1</v>
      </c>
      <c r="BJ439" s="24" t="str">
        <f t="shared" si="45"/>
        <v/>
      </c>
    </row>
    <row r="440" spans="1:62" x14ac:dyDescent="0.25">
      <c r="A440" t="str">
        <f>"1033114004"</f>
        <v>1033114004</v>
      </c>
      <c r="B440" t="str">
        <f>"00468777"</f>
        <v>00468777</v>
      </c>
      <c r="C440" t="s">
        <v>2870</v>
      </c>
      <c r="D440" t="s">
        <v>2871</v>
      </c>
      <c r="E440" t="s">
        <v>2872</v>
      </c>
      <c r="G440" t="s">
        <v>2873</v>
      </c>
      <c r="H440" t="s">
        <v>2874</v>
      </c>
      <c r="I440">
        <v>216</v>
      </c>
      <c r="J440" t="s">
        <v>2875</v>
      </c>
      <c r="L440" t="s">
        <v>695</v>
      </c>
      <c r="M440" t="s">
        <v>139</v>
      </c>
      <c r="R440" t="s">
        <v>2876</v>
      </c>
      <c r="W440" t="s">
        <v>2877</v>
      </c>
      <c r="X440" t="s">
        <v>2878</v>
      </c>
      <c r="Y440" t="s">
        <v>335</v>
      </c>
      <c r="Z440" t="s">
        <v>111</v>
      </c>
      <c r="AA440" t="str">
        <f>"13820-1882"</f>
        <v>13820-1882</v>
      </c>
      <c r="AB440" t="s">
        <v>282</v>
      </c>
      <c r="AC440" t="s">
        <v>113</v>
      </c>
      <c r="AD440" t="s">
        <v>108</v>
      </c>
      <c r="AE440" t="s">
        <v>114</v>
      </c>
      <c r="AF440" t="s">
        <v>124</v>
      </c>
      <c r="AG440" t="s">
        <v>116</v>
      </c>
      <c r="AK440" t="str">
        <f t="shared" si="42"/>
        <v/>
      </c>
      <c r="AL440" t="s">
        <v>2871</v>
      </c>
      <c r="AM440">
        <v>1</v>
      </c>
      <c r="AN440">
        <v>0</v>
      </c>
      <c r="AO440">
        <v>0</v>
      </c>
      <c r="AP440">
        <v>0</v>
      </c>
      <c r="AQ440">
        <v>1</v>
      </c>
      <c r="AR440">
        <v>0</v>
      </c>
      <c r="AS440">
        <v>0</v>
      </c>
      <c r="AT440">
        <v>0</v>
      </c>
      <c r="AU440">
        <v>0</v>
      </c>
      <c r="AV440">
        <v>0</v>
      </c>
      <c r="AW440">
        <v>0</v>
      </c>
      <c r="AX440" s="24" t="str">
        <f t="shared" si="47"/>
        <v/>
      </c>
      <c r="AY440" s="24" t="str">
        <f t="shared" si="47"/>
        <v/>
      </c>
      <c r="AZ440" s="24" t="str">
        <f t="shared" si="46"/>
        <v/>
      </c>
      <c r="BA440" s="24">
        <f t="shared" si="46"/>
        <v>1</v>
      </c>
      <c r="BB440" s="24" t="str">
        <f t="shared" si="46"/>
        <v/>
      </c>
      <c r="BC440" s="24" t="str">
        <f t="shared" si="46"/>
        <v/>
      </c>
      <c r="BD440" s="24" t="str">
        <f t="shared" si="46"/>
        <v/>
      </c>
      <c r="BE440" s="24" t="str">
        <f t="shared" si="46"/>
        <v/>
      </c>
      <c r="BF440" s="24" t="str">
        <f t="shared" si="46"/>
        <v/>
      </c>
      <c r="BG440" s="24" t="str">
        <f t="shared" si="46"/>
        <v/>
      </c>
      <c r="BH440" s="24" t="str">
        <f t="shared" si="43"/>
        <v/>
      </c>
      <c r="BI440" s="24">
        <f t="shared" si="46"/>
        <v>1</v>
      </c>
      <c r="BJ440" s="24" t="str">
        <f t="shared" si="45"/>
        <v/>
      </c>
    </row>
    <row r="441" spans="1:62" ht="15" customHeight="1" x14ac:dyDescent="0.25">
      <c r="A441" t="str">
        <f>"1619922432"</f>
        <v>1619922432</v>
      </c>
      <c r="B441" t="str">
        <f>"02996569"</f>
        <v>02996569</v>
      </c>
      <c r="C441" t="s">
        <v>5684</v>
      </c>
      <c r="D441" t="s">
        <v>5685</v>
      </c>
      <c r="E441" t="s">
        <v>5686</v>
      </c>
      <c r="G441" t="s">
        <v>5687</v>
      </c>
      <c r="H441" t="s">
        <v>5688</v>
      </c>
      <c r="J441" t="s">
        <v>5689</v>
      </c>
      <c r="L441" t="s">
        <v>1998</v>
      </c>
      <c r="M441" t="s">
        <v>139</v>
      </c>
      <c r="R441" t="s">
        <v>5684</v>
      </c>
      <c r="W441" t="s">
        <v>5690</v>
      </c>
      <c r="Y441" t="s">
        <v>927</v>
      </c>
      <c r="Z441" t="s">
        <v>111</v>
      </c>
      <c r="AA441" t="str">
        <f>"14901-3332"</f>
        <v>14901-3332</v>
      </c>
      <c r="AB441" t="s">
        <v>385</v>
      </c>
      <c r="AC441" t="s">
        <v>113</v>
      </c>
      <c r="AD441" t="s">
        <v>108</v>
      </c>
      <c r="AE441" t="s">
        <v>114</v>
      </c>
      <c r="AF441" t="s">
        <v>149</v>
      </c>
      <c r="AG441" t="s">
        <v>116</v>
      </c>
      <c r="AK441" t="str">
        <f t="shared" si="42"/>
        <v/>
      </c>
      <c r="AL441" t="s">
        <v>5685</v>
      </c>
      <c r="AM441">
        <v>1</v>
      </c>
      <c r="AN441">
        <v>0</v>
      </c>
      <c r="AO441">
        <v>0</v>
      </c>
      <c r="AP441">
        <v>0</v>
      </c>
      <c r="AQ441">
        <v>0</v>
      </c>
      <c r="AR441">
        <v>0</v>
      </c>
      <c r="AS441">
        <v>1</v>
      </c>
      <c r="AT441">
        <v>0</v>
      </c>
      <c r="AU441">
        <v>0</v>
      </c>
      <c r="AV441">
        <v>0</v>
      </c>
      <c r="AW441">
        <v>0</v>
      </c>
      <c r="AX441" s="24" t="str">
        <f t="shared" si="47"/>
        <v/>
      </c>
      <c r="AY441" s="24" t="str">
        <f t="shared" si="47"/>
        <v/>
      </c>
      <c r="AZ441" s="24" t="str">
        <f t="shared" si="46"/>
        <v/>
      </c>
      <c r="BA441" s="24" t="str">
        <f t="shared" si="46"/>
        <v/>
      </c>
      <c r="BB441" s="24">
        <f t="shared" si="46"/>
        <v>1</v>
      </c>
      <c r="BC441" s="24">
        <f t="shared" si="46"/>
        <v>1</v>
      </c>
      <c r="BD441" s="24" t="str">
        <f t="shared" si="46"/>
        <v/>
      </c>
      <c r="BE441" s="24" t="str">
        <f t="shared" si="46"/>
        <v/>
      </c>
      <c r="BF441" s="24" t="str">
        <f t="shared" si="46"/>
        <v/>
      </c>
      <c r="BG441" s="24" t="str">
        <f t="shared" si="46"/>
        <v/>
      </c>
      <c r="BH441" s="24" t="str">
        <f t="shared" si="43"/>
        <v/>
      </c>
      <c r="BI441" s="24">
        <f t="shared" si="46"/>
        <v>1</v>
      </c>
      <c r="BJ441" s="24" t="str">
        <f t="shared" si="45"/>
        <v/>
      </c>
    </row>
    <row r="442" spans="1:62" ht="15" customHeight="1" x14ac:dyDescent="0.25">
      <c r="A442" t="str">
        <f>"1760475784"</f>
        <v>1760475784</v>
      </c>
      <c r="B442" t="str">
        <f>"01668299"</f>
        <v>01668299</v>
      </c>
      <c r="C442" t="s">
        <v>2677</v>
      </c>
      <c r="D442" t="s">
        <v>2678</v>
      </c>
      <c r="E442" t="s">
        <v>2679</v>
      </c>
      <c r="L442" t="s">
        <v>138</v>
      </c>
      <c r="M442" t="s">
        <v>108</v>
      </c>
      <c r="R442" t="s">
        <v>2677</v>
      </c>
      <c r="W442" t="s">
        <v>2679</v>
      </c>
      <c r="X442" t="s">
        <v>1895</v>
      </c>
      <c r="Y442" t="s">
        <v>129</v>
      </c>
      <c r="Z442" t="s">
        <v>111</v>
      </c>
      <c r="AA442" t="str">
        <f>"13790-2161"</f>
        <v>13790-2161</v>
      </c>
      <c r="AB442" t="s">
        <v>123</v>
      </c>
      <c r="AC442" t="s">
        <v>113</v>
      </c>
      <c r="AD442" t="s">
        <v>108</v>
      </c>
      <c r="AE442" t="s">
        <v>114</v>
      </c>
      <c r="AF442" t="s">
        <v>115</v>
      </c>
      <c r="AG442" t="s">
        <v>116</v>
      </c>
      <c r="AK442" t="str">
        <f t="shared" si="42"/>
        <v/>
      </c>
      <c r="AL442" t="s">
        <v>2678</v>
      </c>
      <c r="AM442">
        <v>1</v>
      </c>
      <c r="AN442">
        <v>1</v>
      </c>
      <c r="AO442">
        <v>0</v>
      </c>
      <c r="AP442">
        <v>1</v>
      </c>
      <c r="AQ442">
        <v>1</v>
      </c>
      <c r="AR442">
        <v>0</v>
      </c>
      <c r="AS442">
        <v>0</v>
      </c>
      <c r="AT442">
        <v>1</v>
      </c>
      <c r="AU442">
        <v>0</v>
      </c>
      <c r="AV442">
        <v>0</v>
      </c>
      <c r="AW442">
        <v>1</v>
      </c>
      <c r="AX442" s="24" t="str">
        <f t="shared" si="47"/>
        <v/>
      </c>
      <c r="AY442" s="24">
        <f t="shared" si="47"/>
        <v>1</v>
      </c>
      <c r="AZ442" s="24" t="str">
        <f t="shared" si="46"/>
        <v/>
      </c>
      <c r="BA442" s="24" t="str">
        <f t="shared" si="46"/>
        <v/>
      </c>
      <c r="BB442" s="24" t="str">
        <f t="shared" si="46"/>
        <v/>
      </c>
      <c r="BC442" s="24" t="str">
        <f t="shared" si="46"/>
        <v/>
      </c>
      <c r="BD442" s="24" t="str">
        <f t="shared" si="46"/>
        <v/>
      </c>
      <c r="BE442" s="24" t="str">
        <f t="shared" si="46"/>
        <v/>
      </c>
      <c r="BF442" s="24" t="str">
        <f t="shared" si="46"/>
        <v/>
      </c>
      <c r="BG442" s="24" t="str">
        <f t="shared" si="46"/>
        <v/>
      </c>
      <c r="BH442" s="24" t="str">
        <f t="shared" si="43"/>
        <v/>
      </c>
      <c r="BI442" s="24">
        <f t="shared" si="46"/>
        <v>1</v>
      </c>
      <c r="BJ442" s="24" t="str">
        <f t="shared" si="45"/>
        <v/>
      </c>
    </row>
    <row r="443" spans="1:62" ht="15" customHeight="1" x14ac:dyDescent="0.25">
      <c r="A443" t="str">
        <f>"1104014422"</f>
        <v>1104014422</v>
      </c>
      <c r="B443" t="str">
        <f>"02960052"</f>
        <v>02960052</v>
      </c>
      <c r="C443" t="s">
        <v>1630</v>
      </c>
      <c r="D443" t="s">
        <v>1631</v>
      </c>
      <c r="E443" t="s">
        <v>1632</v>
      </c>
      <c r="G443" t="s">
        <v>638</v>
      </c>
      <c r="H443" t="s">
        <v>639</v>
      </c>
      <c r="J443" t="s">
        <v>1633</v>
      </c>
      <c r="L443" t="s">
        <v>120</v>
      </c>
      <c r="M443" t="s">
        <v>108</v>
      </c>
      <c r="R443" t="s">
        <v>1634</v>
      </c>
      <c r="W443" t="s">
        <v>1632</v>
      </c>
      <c r="X443" t="s">
        <v>655</v>
      </c>
      <c r="Y443" t="s">
        <v>239</v>
      </c>
      <c r="Z443" t="s">
        <v>111</v>
      </c>
      <c r="AA443" t="str">
        <f>"13045-1651"</f>
        <v>13045-1651</v>
      </c>
      <c r="AB443" t="s">
        <v>123</v>
      </c>
      <c r="AC443" t="s">
        <v>113</v>
      </c>
      <c r="AD443" t="s">
        <v>108</v>
      </c>
      <c r="AE443" t="s">
        <v>114</v>
      </c>
      <c r="AF443" t="s">
        <v>142</v>
      </c>
      <c r="AG443" t="s">
        <v>116</v>
      </c>
      <c r="AK443" t="str">
        <f t="shared" si="42"/>
        <v/>
      </c>
      <c r="AL443" t="s">
        <v>1631</v>
      </c>
      <c r="AM443">
        <v>1</v>
      </c>
      <c r="AN443">
        <v>1</v>
      </c>
      <c r="AO443">
        <v>0</v>
      </c>
      <c r="AP443">
        <v>0</v>
      </c>
      <c r="AQ443">
        <v>0</v>
      </c>
      <c r="AR443">
        <v>0</v>
      </c>
      <c r="AS443">
        <v>0</v>
      </c>
      <c r="AT443">
        <v>0</v>
      </c>
      <c r="AU443">
        <v>0</v>
      </c>
      <c r="AV443">
        <v>0</v>
      </c>
      <c r="AW443">
        <v>0</v>
      </c>
      <c r="AX443" s="24">
        <f t="shared" si="47"/>
        <v>1</v>
      </c>
      <c r="AY443" s="24" t="str">
        <f t="shared" si="47"/>
        <v/>
      </c>
      <c r="AZ443" s="24" t="str">
        <f t="shared" si="46"/>
        <v/>
      </c>
      <c r="BA443" s="24" t="str">
        <f t="shared" si="46"/>
        <v/>
      </c>
      <c r="BB443" s="24" t="str">
        <f t="shared" si="46"/>
        <v/>
      </c>
      <c r="BC443" s="24" t="str">
        <f t="shared" si="46"/>
        <v/>
      </c>
      <c r="BD443" s="24" t="str">
        <f t="shared" si="46"/>
        <v/>
      </c>
      <c r="BE443" s="24" t="str">
        <f t="shared" si="46"/>
        <v/>
      </c>
      <c r="BF443" s="24" t="str">
        <f t="shared" si="46"/>
        <v/>
      </c>
      <c r="BG443" s="24" t="str">
        <f t="shared" si="46"/>
        <v/>
      </c>
      <c r="BH443" s="24" t="str">
        <f t="shared" si="43"/>
        <v/>
      </c>
      <c r="BI443" s="24">
        <f t="shared" si="46"/>
        <v>1</v>
      </c>
      <c r="BJ443" s="24" t="str">
        <f t="shared" si="45"/>
        <v/>
      </c>
    </row>
    <row r="444" spans="1:62" ht="15" customHeight="1" x14ac:dyDescent="0.25">
      <c r="A444" t="str">
        <f>"1053617837"</f>
        <v>1053617837</v>
      </c>
      <c r="B444" t="str">
        <f>"03774187"</f>
        <v>03774187</v>
      </c>
      <c r="C444" t="s">
        <v>6412</v>
      </c>
      <c r="D444" t="s">
        <v>6413</v>
      </c>
      <c r="E444" t="s">
        <v>6414</v>
      </c>
      <c r="G444" t="s">
        <v>6330</v>
      </c>
      <c r="H444" t="s">
        <v>6331</v>
      </c>
      <c r="J444" t="s">
        <v>6332</v>
      </c>
      <c r="L444" t="s">
        <v>120</v>
      </c>
      <c r="M444" t="s">
        <v>108</v>
      </c>
      <c r="R444" t="s">
        <v>6414</v>
      </c>
      <c r="W444" t="s">
        <v>6414</v>
      </c>
      <c r="X444" t="s">
        <v>978</v>
      </c>
      <c r="Y444" t="s">
        <v>979</v>
      </c>
      <c r="Z444" t="s">
        <v>111</v>
      </c>
      <c r="AA444" t="str">
        <f>"13760-1560"</f>
        <v>13760-1560</v>
      </c>
      <c r="AB444" t="s">
        <v>123</v>
      </c>
      <c r="AC444" t="s">
        <v>113</v>
      </c>
      <c r="AD444" t="s">
        <v>108</v>
      </c>
      <c r="AE444" t="s">
        <v>114</v>
      </c>
      <c r="AF444" t="s">
        <v>115</v>
      </c>
      <c r="AG444" t="s">
        <v>116</v>
      </c>
      <c r="AK444" t="str">
        <f t="shared" si="42"/>
        <v>Farzana Seemab, MD</v>
      </c>
      <c r="AL444" t="s">
        <v>6413</v>
      </c>
      <c r="AM444" t="s">
        <v>108</v>
      </c>
      <c r="AN444" t="s">
        <v>108</v>
      </c>
      <c r="AO444" t="s">
        <v>108</v>
      </c>
      <c r="AP444" t="s">
        <v>108</v>
      </c>
      <c r="AQ444" t="s">
        <v>108</v>
      </c>
      <c r="AR444" t="s">
        <v>108</v>
      </c>
      <c r="AS444" t="s">
        <v>108</v>
      </c>
      <c r="AT444" t="s">
        <v>108</v>
      </c>
      <c r="AU444">
        <v>0</v>
      </c>
      <c r="AV444" t="s">
        <v>108</v>
      </c>
      <c r="AW444" t="s">
        <v>108</v>
      </c>
      <c r="AX444" s="24">
        <f t="shared" si="47"/>
        <v>1</v>
      </c>
      <c r="AY444" s="24" t="str">
        <f t="shared" si="47"/>
        <v/>
      </c>
      <c r="AZ444" s="24" t="str">
        <f t="shared" si="46"/>
        <v/>
      </c>
      <c r="BA444" s="24" t="str">
        <f t="shared" si="46"/>
        <v/>
      </c>
      <c r="BB444" s="24" t="str">
        <f t="shared" si="46"/>
        <v/>
      </c>
      <c r="BC444" s="24" t="str">
        <f t="shared" si="46"/>
        <v/>
      </c>
      <c r="BD444" s="24" t="str">
        <f t="shared" si="46"/>
        <v/>
      </c>
      <c r="BE444" s="24" t="str">
        <f t="shared" si="46"/>
        <v/>
      </c>
      <c r="BF444" s="24" t="str">
        <f t="shared" si="46"/>
        <v/>
      </c>
      <c r="BG444" s="24" t="str">
        <f t="shared" si="46"/>
        <v/>
      </c>
      <c r="BH444" s="24" t="str">
        <f t="shared" si="43"/>
        <v/>
      </c>
      <c r="BI444" s="24">
        <f t="shared" si="46"/>
        <v>1</v>
      </c>
      <c r="BJ444" s="24" t="str">
        <f t="shared" si="45"/>
        <v/>
      </c>
    </row>
    <row r="445" spans="1:62" ht="15" customHeight="1" x14ac:dyDescent="0.25">
      <c r="A445" t="str">
        <f>"1316028202"</f>
        <v>1316028202</v>
      </c>
      <c r="B445" t="str">
        <f>"01593622"</f>
        <v>01593622</v>
      </c>
      <c r="C445" t="s">
        <v>4444</v>
      </c>
      <c r="D445" t="s">
        <v>4445</v>
      </c>
      <c r="E445" t="s">
        <v>4446</v>
      </c>
      <c r="G445" t="s">
        <v>4447</v>
      </c>
      <c r="H445" t="s">
        <v>4448</v>
      </c>
      <c r="J445" t="s">
        <v>4449</v>
      </c>
      <c r="L445" t="s">
        <v>120</v>
      </c>
      <c r="M445" t="s">
        <v>108</v>
      </c>
      <c r="R445" t="s">
        <v>4444</v>
      </c>
      <c r="W445" t="s">
        <v>4446</v>
      </c>
      <c r="X445" t="s">
        <v>4450</v>
      </c>
      <c r="Y445" t="s">
        <v>122</v>
      </c>
      <c r="Z445" t="s">
        <v>111</v>
      </c>
      <c r="AA445" t="str">
        <f>"13815"</f>
        <v>13815</v>
      </c>
      <c r="AB445" t="s">
        <v>123</v>
      </c>
      <c r="AC445" t="s">
        <v>113</v>
      </c>
      <c r="AD445" t="s">
        <v>108</v>
      </c>
      <c r="AE445" t="s">
        <v>114</v>
      </c>
      <c r="AF445" t="s">
        <v>124</v>
      </c>
      <c r="AG445" t="s">
        <v>116</v>
      </c>
      <c r="AK445" t="str">
        <f t="shared" si="42"/>
        <v/>
      </c>
      <c r="AL445" t="s">
        <v>4445</v>
      </c>
      <c r="AM445">
        <v>0</v>
      </c>
      <c r="AN445">
        <v>0</v>
      </c>
      <c r="AO445">
        <v>0</v>
      </c>
      <c r="AP445">
        <v>0</v>
      </c>
      <c r="AQ445">
        <v>0</v>
      </c>
      <c r="AR445">
        <v>0</v>
      </c>
      <c r="AS445">
        <v>0</v>
      </c>
      <c r="AT445">
        <v>0</v>
      </c>
      <c r="AU445">
        <v>0</v>
      </c>
      <c r="AV445">
        <v>0</v>
      </c>
      <c r="AW445">
        <v>0</v>
      </c>
      <c r="AX445" s="24">
        <f t="shared" si="47"/>
        <v>1</v>
      </c>
      <c r="AY445" s="24" t="str">
        <f t="shared" si="47"/>
        <v/>
      </c>
      <c r="AZ445" s="24" t="str">
        <f t="shared" si="46"/>
        <v/>
      </c>
      <c r="BA445" s="24" t="str">
        <f t="shared" si="46"/>
        <v/>
      </c>
      <c r="BB445" s="24" t="str">
        <f t="shared" si="46"/>
        <v/>
      </c>
      <c r="BC445" s="24" t="str">
        <f t="shared" si="46"/>
        <v/>
      </c>
      <c r="BD445" s="24" t="str">
        <f t="shared" si="46"/>
        <v/>
      </c>
      <c r="BE445" s="24" t="str">
        <f t="shared" si="46"/>
        <v/>
      </c>
      <c r="BF445" s="24" t="str">
        <f t="shared" si="46"/>
        <v/>
      </c>
      <c r="BG445" s="24" t="str">
        <f t="shared" si="46"/>
        <v/>
      </c>
      <c r="BH445" s="24" t="str">
        <f t="shared" si="43"/>
        <v/>
      </c>
      <c r="BI445" s="24">
        <f t="shared" si="46"/>
        <v>1</v>
      </c>
      <c r="BJ445" s="24" t="str">
        <f t="shared" si="45"/>
        <v/>
      </c>
    </row>
    <row r="446" spans="1:62" ht="15" customHeight="1" x14ac:dyDescent="0.25">
      <c r="A446" t="str">
        <f>"1700861358"</f>
        <v>1700861358</v>
      </c>
      <c r="B446" t="str">
        <f>"03178645"</f>
        <v>03178645</v>
      </c>
      <c r="C446" t="s">
        <v>2233</v>
      </c>
      <c r="D446" t="s">
        <v>2234</v>
      </c>
      <c r="E446" t="s">
        <v>2235</v>
      </c>
      <c r="G446" t="s">
        <v>177</v>
      </c>
      <c r="H446" t="s">
        <v>178</v>
      </c>
      <c r="J446" t="s">
        <v>179</v>
      </c>
      <c r="L446" t="s">
        <v>138</v>
      </c>
      <c r="M446" t="s">
        <v>108</v>
      </c>
      <c r="R446" t="s">
        <v>2233</v>
      </c>
      <c r="W446" t="s">
        <v>2236</v>
      </c>
      <c r="X446" t="s">
        <v>196</v>
      </c>
      <c r="Y446" t="s">
        <v>181</v>
      </c>
      <c r="Z446" t="s">
        <v>182</v>
      </c>
      <c r="AA446" t="str">
        <f>"18840-1625"</f>
        <v>18840-1625</v>
      </c>
      <c r="AB446" t="s">
        <v>123</v>
      </c>
      <c r="AC446" t="s">
        <v>113</v>
      </c>
      <c r="AD446" t="s">
        <v>108</v>
      </c>
      <c r="AE446" t="s">
        <v>114</v>
      </c>
      <c r="AF446" t="s">
        <v>115</v>
      </c>
      <c r="AG446" t="s">
        <v>116</v>
      </c>
      <c r="AK446" t="str">
        <f t="shared" si="42"/>
        <v/>
      </c>
      <c r="AL446" t="s">
        <v>2234</v>
      </c>
      <c r="AM446">
        <v>0</v>
      </c>
      <c r="AN446">
        <v>0</v>
      </c>
      <c r="AO446">
        <v>0</v>
      </c>
      <c r="AP446">
        <v>0</v>
      </c>
      <c r="AQ446">
        <v>0</v>
      </c>
      <c r="AR446">
        <v>0</v>
      </c>
      <c r="AS446">
        <v>0</v>
      </c>
      <c r="AT446">
        <v>0</v>
      </c>
      <c r="AU446">
        <v>0</v>
      </c>
      <c r="AV446">
        <v>0</v>
      </c>
      <c r="AW446">
        <v>0</v>
      </c>
      <c r="AX446" s="24" t="str">
        <f t="shared" si="47"/>
        <v/>
      </c>
      <c r="AY446" s="24">
        <f t="shared" si="47"/>
        <v>1</v>
      </c>
      <c r="AZ446" s="24" t="str">
        <f t="shared" si="46"/>
        <v/>
      </c>
      <c r="BA446" s="24" t="str">
        <f t="shared" si="46"/>
        <v/>
      </c>
      <c r="BB446" s="24" t="str">
        <f t="shared" si="46"/>
        <v/>
      </c>
      <c r="BC446" s="24" t="str">
        <f t="shared" si="46"/>
        <v/>
      </c>
      <c r="BD446" s="24" t="str">
        <f t="shared" si="46"/>
        <v/>
      </c>
      <c r="BE446" s="24" t="str">
        <f t="shared" si="46"/>
        <v/>
      </c>
      <c r="BF446" s="24" t="str">
        <f t="shared" si="46"/>
        <v/>
      </c>
      <c r="BG446" s="24" t="str">
        <f t="shared" si="46"/>
        <v/>
      </c>
      <c r="BH446" s="24" t="str">
        <f t="shared" si="43"/>
        <v/>
      </c>
      <c r="BI446" s="24">
        <f t="shared" si="46"/>
        <v>1</v>
      </c>
      <c r="BJ446" s="24" t="str">
        <f t="shared" si="45"/>
        <v/>
      </c>
    </row>
    <row r="447" spans="1:62" ht="15" customHeight="1" x14ac:dyDescent="0.25">
      <c r="A447" t="str">
        <f>"1992797096"</f>
        <v>1992797096</v>
      </c>
      <c r="B447" t="str">
        <f>"01191386"</f>
        <v>01191386</v>
      </c>
      <c r="C447" t="s">
        <v>4603</v>
      </c>
      <c r="D447" t="s">
        <v>4604</v>
      </c>
      <c r="E447" t="s">
        <v>4605</v>
      </c>
      <c r="L447" t="s">
        <v>138</v>
      </c>
      <c r="M447" t="s">
        <v>108</v>
      </c>
      <c r="R447" t="s">
        <v>4603</v>
      </c>
      <c r="W447" t="s">
        <v>4605</v>
      </c>
      <c r="X447" t="s">
        <v>4606</v>
      </c>
      <c r="Y447" t="s">
        <v>110</v>
      </c>
      <c r="Z447" t="s">
        <v>111</v>
      </c>
      <c r="AA447" t="str">
        <f>"13903-1605"</f>
        <v>13903-1605</v>
      </c>
      <c r="AB447" t="s">
        <v>123</v>
      </c>
      <c r="AC447" t="s">
        <v>113</v>
      </c>
      <c r="AD447" t="s">
        <v>108</v>
      </c>
      <c r="AE447" t="s">
        <v>114</v>
      </c>
      <c r="AF447" t="s">
        <v>115</v>
      </c>
      <c r="AG447" t="s">
        <v>116</v>
      </c>
      <c r="AK447" t="str">
        <f t="shared" si="42"/>
        <v/>
      </c>
      <c r="AL447" t="s">
        <v>4604</v>
      </c>
      <c r="AM447">
        <v>1</v>
      </c>
      <c r="AN447">
        <v>1</v>
      </c>
      <c r="AO447">
        <v>0</v>
      </c>
      <c r="AP447">
        <v>1</v>
      </c>
      <c r="AQ447">
        <v>1</v>
      </c>
      <c r="AR447">
        <v>0</v>
      </c>
      <c r="AS447">
        <v>0</v>
      </c>
      <c r="AT447">
        <v>0</v>
      </c>
      <c r="AU447">
        <v>0</v>
      </c>
      <c r="AV447">
        <v>0</v>
      </c>
      <c r="AW447">
        <v>0</v>
      </c>
      <c r="AX447" s="24" t="str">
        <f t="shared" si="47"/>
        <v/>
      </c>
      <c r="AY447" s="24">
        <f t="shared" si="47"/>
        <v>1</v>
      </c>
      <c r="AZ447" s="24" t="str">
        <f t="shared" si="46"/>
        <v/>
      </c>
      <c r="BA447" s="24" t="str">
        <f t="shared" ref="AZ447:BI472" si="48">IF(ISERROR(FIND(BA$1,$L447,1)),"",1)</f>
        <v/>
      </c>
      <c r="BB447" s="24" t="str">
        <f t="shared" si="48"/>
        <v/>
      </c>
      <c r="BC447" s="24" t="str">
        <f t="shared" si="48"/>
        <v/>
      </c>
      <c r="BD447" s="24" t="str">
        <f t="shared" si="48"/>
        <v/>
      </c>
      <c r="BE447" s="24" t="str">
        <f t="shared" si="48"/>
        <v/>
      </c>
      <c r="BF447" s="24" t="str">
        <f t="shared" si="48"/>
        <v/>
      </c>
      <c r="BG447" s="24" t="str">
        <f t="shared" si="48"/>
        <v/>
      </c>
      <c r="BH447" s="24" t="str">
        <f t="shared" si="43"/>
        <v/>
      </c>
      <c r="BI447" s="24">
        <f t="shared" si="48"/>
        <v>1</v>
      </c>
      <c r="BJ447" s="24" t="str">
        <f t="shared" si="45"/>
        <v/>
      </c>
    </row>
    <row r="448" spans="1:62" ht="15" customHeight="1" x14ac:dyDescent="0.25">
      <c r="A448" t="str">
        <f>"1740574383"</f>
        <v>1740574383</v>
      </c>
      <c r="B448" t="str">
        <f>"04020797"</f>
        <v>04020797</v>
      </c>
      <c r="C448" t="s">
        <v>6777</v>
      </c>
      <c r="D448" t="s">
        <v>7049</v>
      </c>
      <c r="E448" t="s">
        <v>6905</v>
      </c>
      <c r="G448" t="s">
        <v>7184</v>
      </c>
      <c r="H448" t="s">
        <v>2379</v>
      </c>
      <c r="J448" t="s">
        <v>7185</v>
      </c>
      <c r="L448" t="s">
        <v>120</v>
      </c>
      <c r="M448" t="s">
        <v>108</v>
      </c>
      <c r="R448" t="s">
        <v>6777</v>
      </c>
      <c r="W448" t="s">
        <v>6905</v>
      </c>
      <c r="X448" t="s">
        <v>2382</v>
      </c>
      <c r="Y448" t="s">
        <v>979</v>
      </c>
      <c r="Z448" t="s">
        <v>111</v>
      </c>
      <c r="AA448" t="str">
        <f>"13760-3646"</f>
        <v>13760-3646</v>
      </c>
      <c r="AB448" t="s">
        <v>123</v>
      </c>
      <c r="AC448" t="s">
        <v>113</v>
      </c>
      <c r="AD448" t="s">
        <v>108</v>
      </c>
      <c r="AE448" t="s">
        <v>114</v>
      </c>
      <c r="AF448" t="s">
        <v>115</v>
      </c>
      <c r="AG448" t="s">
        <v>116</v>
      </c>
      <c r="AK448" t="str">
        <f t="shared" si="42"/>
        <v>FEDERICO MICHAEL DR.</v>
      </c>
      <c r="AL448" t="s">
        <v>7049</v>
      </c>
      <c r="AM448" t="s">
        <v>108</v>
      </c>
      <c r="AN448" t="s">
        <v>108</v>
      </c>
      <c r="AO448" t="s">
        <v>108</v>
      </c>
      <c r="AP448" t="s">
        <v>108</v>
      </c>
      <c r="AQ448" t="s">
        <v>108</v>
      </c>
      <c r="AR448" t="s">
        <v>108</v>
      </c>
      <c r="AS448" t="s">
        <v>108</v>
      </c>
      <c r="AT448" t="s">
        <v>108</v>
      </c>
      <c r="AU448">
        <v>0</v>
      </c>
      <c r="AV448" t="s">
        <v>108</v>
      </c>
      <c r="AW448" t="s">
        <v>108</v>
      </c>
      <c r="AX448" s="24">
        <f t="shared" si="47"/>
        <v>1</v>
      </c>
      <c r="AY448" s="24" t="str">
        <f t="shared" si="47"/>
        <v/>
      </c>
      <c r="AZ448" s="24" t="str">
        <f t="shared" si="48"/>
        <v/>
      </c>
      <c r="BA448" s="24" t="str">
        <f t="shared" si="48"/>
        <v/>
      </c>
      <c r="BB448" s="24" t="str">
        <f t="shared" si="48"/>
        <v/>
      </c>
      <c r="BC448" s="24" t="str">
        <f t="shared" si="48"/>
        <v/>
      </c>
      <c r="BD448" s="24" t="str">
        <f t="shared" si="48"/>
        <v/>
      </c>
      <c r="BE448" s="24" t="str">
        <f t="shared" si="48"/>
        <v/>
      </c>
      <c r="BF448" s="24" t="str">
        <f t="shared" si="48"/>
        <v/>
      </c>
      <c r="BG448" s="24" t="str">
        <f t="shared" si="48"/>
        <v/>
      </c>
      <c r="BH448" s="24" t="str">
        <f t="shared" si="43"/>
        <v/>
      </c>
      <c r="BI448" s="24">
        <f t="shared" si="48"/>
        <v>1</v>
      </c>
      <c r="BJ448" s="24" t="str">
        <f t="shared" si="45"/>
        <v/>
      </c>
    </row>
    <row r="449" spans="1:62" ht="15" customHeight="1" x14ac:dyDescent="0.25">
      <c r="A449" t="str">
        <f>"1740263284"</f>
        <v>1740263284</v>
      </c>
      <c r="B449" t="str">
        <f>"01531548"</f>
        <v>01531548</v>
      </c>
      <c r="C449" t="s">
        <v>6865</v>
      </c>
      <c r="D449" t="s">
        <v>7162</v>
      </c>
      <c r="E449" t="s">
        <v>7022</v>
      </c>
      <c r="G449" t="s">
        <v>6330</v>
      </c>
      <c r="H449" t="s">
        <v>6331</v>
      </c>
      <c r="J449" t="s">
        <v>6332</v>
      </c>
      <c r="L449" t="s">
        <v>120</v>
      </c>
      <c r="M449" t="s">
        <v>108</v>
      </c>
      <c r="R449" t="s">
        <v>6865</v>
      </c>
      <c r="W449" t="s">
        <v>7022</v>
      </c>
      <c r="Y449" t="s">
        <v>110</v>
      </c>
      <c r="Z449" t="s">
        <v>111</v>
      </c>
      <c r="AA449" t="str">
        <f>"13903-1699"</f>
        <v>13903-1699</v>
      </c>
      <c r="AB449" t="s">
        <v>123</v>
      </c>
      <c r="AC449" t="s">
        <v>113</v>
      </c>
      <c r="AD449" t="s">
        <v>108</v>
      </c>
      <c r="AE449" t="s">
        <v>114</v>
      </c>
      <c r="AF449" t="s">
        <v>115</v>
      </c>
      <c r="AG449" t="s">
        <v>116</v>
      </c>
      <c r="AK449" t="str">
        <f t="shared" si="42"/>
        <v>FEENEY MICHAEL</v>
      </c>
      <c r="AL449" t="s">
        <v>7162</v>
      </c>
      <c r="AM449" t="s">
        <v>108</v>
      </c>
      <c r="AN449" t="s">
        <v>108</v>
      </c>
      <c r="AO449" t="s">
        <v>108</v>
      </c>
      <c r="AP449" t="s">
        <v>108</v>
      </c>
      <c r="AQ449" t="s">
        <v>108</v>
      </c>
      <c r="AR449" t="s">
        <v>108</v>
      </c>
      <c r="AS449" t="s">
        <v>108</v>
      </c>
      <c r="AT449" t="s">
        <v>108</v>
      </c>
      <c r="AU449">
        <v>1</v>
      </c>
      <c r="AV449" t="s">
        <v>108</v>
      </c>
      <c r="AW449" t="s">
        <v>108</v>
      </c>
      <c r="AX449" s="24">
        <f t="shared" si="47"/>
        <v>1</v>
      </c>
      <c r="AY449" s="24" t="str">
        <f t="shared" si="47"/>
        <v/>
      </c>
      <c r="AZ449" s="24" t="str">
        <f t="shared" si="48"/>
        <v/>
      </c>
      <c r="BA449" s="24" t="str">
        <f t="shared" si="48"/>
        <v/>
      </c>
      <c r="BB449" s="24" t="str">
        <f t="shared" si="48"/>
        <v/>
      </c>
      <c r="BC449" s="24" t="str">
        <f t="shared" si="48"/>
        <v/>
      </c>
      <c r="BD449" s="24" t="str">
        <f t="shared" si="48"/>
        <v/>
      </c>
      <c r="BE449" s="24" t="str">
        <f t="shared" si="48"/>
        <v/>
      </c>
      <c r="BF449" s="24" t="str">
        <f t="shared" si="48"/>
        <v/>
      </c>
      <c r="BG449" s="24" t="str">
        <f t="shared" si="48"/>
        <v/>
      </c>
      <c r="BH449" s="24" t="str">
        <f t="shared" si="43"/>
        <v/>
      </c>
      <c r="BI449" s="24">
        <f t="shared" si="48"/>
        <v>1</v>
      </c>
      <c r="BJ449" s="24" t="str">
        <f t="shared" si="45"/>
        <v/>
      </c>
    </row>
    <row r="450" spans="1:62" ht="15" customHeight="1" x14ac:dyDescent="0.25">
      <c r="A450" t="str">
        <f>"1366434011"</f>
        <v>1366434011</v>
      </c>
      <c r="B450" t="str">
        <f>"00590372"</f>
        <v>00590372</v>
      </c>
      <c r="C450" t="s">
        <v>1700</v>
      </c>
      <c r="D450" t="s">
        <v>1701</v>
      </c>
      <c r="E450" t="s">
        <v>1702</v>
      </c>
      <c r="G450" t="s">
        <v>1703</v>
      </c>
      <c r="H450" t="s">
        <v>1704</v>
      </c>
      <c r="I450">
        <v>118</v>
      </c>
      <c r="J450" t="s">
        <v>1705</v>
      </c>
      <c r="L450" t="s">
        <v>289</v>
      </c>
      <c r="M450" t="s">
        <v>139</v>
      </c>
      <c r="R450" t="s">
        <v>1706</v>
      </c>
      <c r="W450" t="s">
        <v>1702</v>
      </c>
      <c r="X450" t="s">
        <v>1707</v>
      </c>
      <c r="Y450" t="s">
        <v>1708</v>
      </c>
      <c r="Z450" t="s">
        <v>111</v>
      </c>
      <c r="AA450" t="str">
        <f>"14432-1231"</f>
        <v>14432-1231</v>
      </c>
      <c r="AB450" t="s">
        <v>282</v>
      </c>
      <c r="AC450" t="s">
        <v>113</v>
      </c>
      <c r="AD450" t="s">
        <v>108</v>
      </c>
      <c r="AE450" t="s">
        <v>114</v>
      </c>
      <c r="AF450" t="s">
        <v>142</v>
      </c>
      <c r="AG450" t="s">
        <v>116</v>
      </c>
      <c r="AK450" t="str">
        <f t="shared" ref="AK450:AK513" si="49">IF(AM450="No",C450,"")</f>
        <v/>
      </c>
      <c r="AL450" t="s">
        <v>1701</v>
      </c>
      <c r="AM450">
        <v>1</v>
      </c>
      <c r="AN450">
        <v>0</v>
      </c>
      <c r="AO450">
        <v>0</v>
      </c>
      <c r="AP450">
        <v>1</v>
      </c>
      <c r="AQ450">
        <v>1</v>
      </c>
      <c r="AR450">
        <v>0</v>
      </c>
      <c r="AS450">
        <v>0</v>
      </c>
      <c r="AT450">
        <v>0</v>
      </c>
      <c r="AU450">
        <v>0</v>
      </c>
      <c r="AV450">
        <v>0</v>
      </c>
      <c r="AW450">
        <v>0</v>
      </c>
      <c r="AX450" s="24" t="str">
        <f t="shared" si="47"/>
        <v/>
      </c>
      <c r="AY450" s="24" t="str">
        <f t="shared" si="47"/>
        <v/>
      </c>
      <c r="AZ450" s="24" t="str">
        <f t="shared" si="48"/>
        <v/>
      </c>
      <c r="BA450" s="24" t="str">
        <f t="shared" si="48"/>
        <v/>
      </c>
      <c r="BB450" s="24" t="str">
        <f t="shared" si="48"/>
        <v/>
      </c>
      <c r="BC450" s="24" t="str">
        <f t="shared" si="48"/>
        <v/>
      </c>
      <c r="BD450" s="24">
        <f t="shared" si="48"/>
        <v>1</v>
      </c>
      <c r="BE450" s="24" t="str">
        <f t="shared" si="48"/>
        <v/>
      </c>
      <c r="BF450" s="24" t="str">
        <f t="shared" si="48"/>
        <v/>
      </c>
      <c r="BG450" s="24" t="str">
        <f t="shared" si="48"/>
        <v/>
      </c>
      <c r="BH450" s="24" t="str">
        <f t="shared" si="43"/>
        <v/>
      </c>
      <c r="BI450" s="24">
        <f t="shared" si="48"/>
        <v>1</v>
      </c>
      <c r="BJ450" s="24" t="str">
        <f t="shared" si="45"/>
        <v/>
      </c>
    </row>
    <row r="451" spans="1:62" x14ac:dyDescent="0.25">
      <c r="A451" t="str">
        <f>"1104165349"</f>
        <v>1104165349</v>
      </c>
      <c r="B451" t="str">
        <f>"03766887"</f>
        <v>03766887</v>
      </c>
      <c r="C451" t="s">
        <v>1709</v>
      </c>
      <c r="D451" t="s">
        <v>1710</v>
      </c>
      <c r="E451" t="s">
        <v>1711</v>
      </c>
      <c r="G451" t="s">
        <v>1712</v>
      </c>
      <c r="H451" t="s">
        <v>1713</v>
      </c>
      <c r="I451">
        <v>2717</v>
      </c>
      <c r="J451" t="s">
        <v>1714</v>
      </c>
      <c r="L451" t="s">
        <v>695</v>
      </c>
      <c r="M451" t="s">
        <v>139</v>
      </c>
      <c r="R451" t="s">
        <v>1715</v>
      </c>
      <c r="W451" t="s">
        <v>1716</v>
      </c>
      <c r="X451" t="s">
        <v>1717</v>
      </c>
      <c r="Y451" t="s">
        <v>1718</v>
      </c>
      <c r="Z451" t="s">
        <v>111</v>
      </c>
      <c r="AA451" t="str">
        <f>"14521-9998"</f>
        <v>14521-9998</v>
      </c>
      <c r="AB451" t="s">
        <v>282</v>
      </c>
      <c r="AC451" t="s">
        <v>113</v>
      </c>
      <c r="AD451" t="s">
        <v>108</v>
      </c>
      <c r="AE451" t="s">
        <v>114</v>
      </c>
      <c r="AF451" t="s">
        <v>142</v>
      </c>
      <c r="AG451" t="s">
        <v>116</v>
      </c>
      <c r="AK451" t="str">
        <f t="shared" si="49"/>
        <v/>
      </c>
      <c r="AL451" t="s">
        <v>1710</v>
      </c>
      <c r="AM451">
        <v>0</v>
      </c>
      <c r="AN451">
        <v>0</v>
      </c>
      <c r="AO451">
        <v>0</v>
      </c>
      <c r="AP451">
        <v>0</v>
      </c>
      <c r="AQ451">
        <v>0</v>
      </c>
      <c r="AR451">
        <v>0</v>
      </c>
      <c r="AS451">
        <v>0</v>
      </c>
      <c r="AT451">
        <v>0</v>
      </c>
      <c r="AU451">
        <v>0</v>
      </c>
      <c r="AV451">
        <v>0</v>
      </c>
      <c r="AW451">
        <v>0</v>
      </c>
      <c r="AX451" s="24" t="str">
        <f t="shared" si="47"/>
        <v/>
      </c>
      <c r="AY451" s="24" t="str">
        <f t="shared" si="47"/>
        <v/>
      </c>
      <c r="AZ451" s="24" t="str">
        <f t="shared" si="48"/>
        <v/>
      </c>
      <c r="BA451" s="24">
        <f t="shared" si="48"/>
        <v>1</v>
      </c>
      <c r="BB451" s="24" t="str">
        <f t="shared" si="48"/>
        <v/>
      </c>
      <c r="BC451" s="24" t="str">
        <f t="shared" si="48"/>
        <v/>
      </c>
      <c r="BD451" s="24" t="str">
        <f t="shared" si="48"/>
        <v/>
      </c>
      <c r="BE451" s="24" t="str">
        <f t="shared" si="48"/>
        <v/>
      </c>
      <c r="BF451" s="24" t="str">
        <f t="shared" si="48"/>
        <v/>
      </c>
      <c r="BG451" s="24" t="str">
        <f t="shared" si="48"/>
        <v/>
      </c>
      <c r="BH451" s="24" t="str">
        <f t="shared" ref="BH451:BH514" si="50">IF(ISERROR(FIND("CBO",$L451,1)),"",1)</f>
        <v/>
      </c>
      <c r="BI451" s="24">
        <f t="shared" si="48"/>
        <v>1</v>
      </c>
      <c r="BJ451" s="24" t="str">
        <f t="shared" si="45"/>
        <v/>
      </c>
    </row>
    <row r="452" spans="1:62" ht="15" customHeight="1" x14ac:dyDescent="0.25">
      <c r="A452" t="str">
        <f>"1194727693"</f>
        <v>1194727693</v>
      </c>
      <c r="B452" t="str">
        <f>"02503542"</f>
        <v>02503542</v>
      </c>
      <c r="C452" t="s">
        <v>4074</v>
      </c>
      <c r="D452" t="s">
        <v>4075</v>
      </c>
      <c r="E452" t="s">
        <v>4076</v>
      </c>
      <c r="L452" t="s">
        <v>138</v>
      </c>
      <c r="M452" t="s">
        <v>108</v>
      </c>
      <c r="R452" t="s">
        <v>4074</v>
      </c>
      <c r="W452" t="s">
        <v>4077</v>
      </c>
      <c r="X452" t="s">
        <v>128</v>
      </c>
      <c r="Y452" t="s">
        <v>129</v>
      </c>
      <c r="Z452" t="s">
        <v>111</v>
      </c>
      <c r="AA452" t="str">
        <f>"13790-2544"</f>
        <v>13790-2544</v>
      </c>
      <c r="AB452" t="s">
        <v>1000</v>
      </c>
      <c r="AC452" t="s">
        <v>113</v>
      </c>
      <c r="AD452" t="s">
        <v>108</v>
      </c>
      <c r="AE452" t="s">
        <v>114</v>
      </c>
      <c r="AF452" t="s">
        <v>115</v>
      </c>
      <c r="AG452" t="s">
        <v>116</v>
      </c>
      <c r="AK452" t="str">
        <f t="shared" si="49"/>
        <v/>
      </c>
      <c r="AL452" t="s">
        <v>4075</v>
      </c>
      <c r="AM452">
        <v>0</v>
      </c>
      <c r="AN452">
        <v>0</v>
      </c>
      <c r="AO452">
        <v>0</v>
      </c>
      <c r="AP452">
        <v>0</v>
      </c>
      <c r="AQ452">
        <v>0</v>
      </c>
      <c r="AR452">
        <v>0</v>
      </c>
      <c r="AS452">
        <v>0</v>
      </c>
      <c r="AT452">
        <v>0</v>
      </c>
      <c r="AU452">
        <v>0</v>
      </c>
      <c r="AV452">
        <v>0</v>
      </c>
      <c r="AW452">
        <v>0</v>
      </c>
      <c r="AX452" s="24" t="str">
        <f t="shared" si="47"/>
        <v/>
      </c>
      <c r="AY452" s="24">
        <f t="shared" si="47"/>
        <v>1</v>
      </c>
      <c r="AZ452" s="24" t="str">
        <f t="shared" si="48"/>
        <v/>
      </c>
      <c r="BA452" s="24" t="str">
        <f t="shared" si="48"/>
        <v/>
      </c>
      <c r="BB452" s="24" t="str">
        <f t="shared" si="48"/>
        <v/>
      </c>
      <c r="BC452" s="24" t="str">
        <f t="shared" si="48"/>
        <v/>
      </c>
      <c r="BD452" s="24" t="str">
        <f t="shared" si="48"/>
        <v/>
      </c>
      <c r="BE452" s="24" t="str">
        <f t="shared" si="48"/>
        <v/>
      </c>
      <c r="BF452" s="24" t="str">
        <f t="shared" si="48"/>
        <v/>
      </c>
      <c r="BG452" s="24" t="str">
        <f t="shared" si="48"/>
        <v/>
      </c>
      <c r="BH452" s="24" t="str">
        <f t="shared" si="50"/>
        <v/>
      </c>
      <c r="BI452" s="24">
        <f t="shared" si="48"/>
        <v>1</v>
      </c>
      <c r="BJ452" s="24" t="str">
        <f t="shared" si="45"/>
        <v/>
      </c>
    </row>
    <row r="453" spans="1:62" ht="15" customHeight="1" x14ac:dyDescent="0.25">
      <c r="A453" t="str">
        <f>"1225435902"</f>
        <v>1225435902</v>
      </c>
      <c r="B453" t="str">
        <f>"04155322"</f>
        <v>04155322</v>
      </c>
      <c r="C453" t="s">
        <v>6779</v>
      </c>
      <c r="D453" t="s">
        <v>7052</v>
      </c>
      <c r="E453" t="s">
        <v>7053</v>
      </c>
      <c r="G453" t="s">
        <v>6330</v>
      </c>
      <c r="H453" t="s">
        <v>6331</v>
      </c>
      <c r="J453" t="s">
        <v>6332</v>
      </c>
      <c r="L453" t="s">
        <v>247</v>
      </c>
      <c r="M453" t="s">
        <v>108</v>
      </c>
      <c r="R453" t="s">
        <v>6779</v>
      </c>
      <c r="W453" t="s">
        <v>6907</v>
      </c>
      <c r="X453" t="s">
        <v>6908</v>
      </c>
      <c r="Y453" t="s">
        <v>966</v>
      </c>
      <c r="Z453" t="s">
        <v>111</v>
      </c>
      <c r="AA453" t="str">
        <f>"13850-3556"</f>
        <v>13850-3556</v>
      </c>
      <c r="AB453" t="s">
        <v>123</v>
      </c>
      <c r="AC453" t="s">
        <v>113</v>
      </c>
      <c r="AD453" t="s">
        <v>108</v>
      </c>
      <c r="AE453" t="s">
        <v>114</v>
      </c>
      <c r="AF453" t="s">
        <v>115</v>
      </c>
      <c r="AG453" t="s">
        <v>116</v>
      </c>
      <c r="AK453" t="str">
        <f t="shared" si="49"/>
        <v>FISH ASHLEE MRS.</v>
      </c>
      <c r="AL453" t="s">
        <v>7052</v>
      </c>
      <c r="AM453" t="s">
        <v>108</v>
      </c>
      <c r="AN453" t="s">
        <v>108</v>
      </c>
      <c r="AO453" t="s">
        <v>108</v>
      </c>
      <c r="AP453" t="s">
        <v>108</v>
      </c>
      <c r="AQ453" t="s">
        <v>108</v>
      </c>
      <c r="AR453" t="s">
        <v>108</v>
      </c>
      <c r="AS453" t="s">
        <v>108</v>
      </c>
      <c r="AT453" t="s">
        <v>108</v>
      </c>
      <c r="AU453">
        <v>0</v>
      </c>
      <c r="AV453" t="s">
        <v>108</v>
      </c>
      <c r="AW453" t="s">
        <v>108</v>
      </c>
      <c r="AX453" s="24" t="str">
        <f t="shared" si="47"/>
        <v/>
      </c>
      <c r="AY453" s="24">
        <f t="shared" si="47"/>
        <v>1</v>
      </c>
      <c r="AZ453" s="24" t="str">
        <f t="shared" si="48"/>
        <v/>
      </c>
      <c r="BA453" s="24" t="str">
        <f t="shared" si="48"/>
        <v/>
      </c>
      <c r="BB453" s="24" t="str">
        <f t="shared" si="48"/>
        <v/>
      </c>
      <c r="BC453" s="24" t="str">
        <f t="shared" si="48"/>
        <v/>
      </c>
      <c r="BD453" s="24" t="str">
        <f t="shared" si="48"/>
        <v/>
      </c>
      <c r="BE453" s="24" t="str">
        <f t="shared" si="48"/>
        <v/>
      </c>
      <c r="BF453" s="24" t="str">
        <f t="shared" si="48"/>
        <v/>
      </c>
      <c r="BG453" s="24" t="str">
        <f t="shared" si="48"/>
        <v/>
      </c>
      <c r="BH453" s="24" t="str">
        <f t="shared" si="50"/>
        <v/>
      </c>
      <c r="BI453" s="24" t="str">
        <f t="shared" si="48"/>
        <v/>
      </c>
      <c r="BJ453" s="24" t="str">
        <f t="shared" si="45"/>
        <v/>
      </c>
    </row>
    <row r="454" spans="1:62" ht="15" customHeight="1" x14ac:dyDescent="0.25">
      <c r="A454" t="str">
        <f>"1336145150"</f>
        <v>1336145150</v>
      </c>
      <c r="B454" t="str">
        <f>"02504507"</f>
        <v>02504507</v>
      </c>
      <c r="C454" t="s">
        <v>5239</v>
      </c>
      <c r="D454" t="s">
        <v>5240</v>
      </c>
      <c r="E454" t="s">
        <v>5239</v>
      </c>
      <c r="G454" t="s">
        <v>1488</v>
      </c>
      <c r="H454" t="s">
        <v>787</v>
      </c>
      <c r="J454" t="s">
        <v>1489</v>
      </c>
      <c r="L454" t="s">
        <v>442</v>
      </c>
      <c r="M454" t="s">
        <v>139</v>
      </c>
      <c r="R454" t="s">
        <v>5241</v>
      </c>
      <c r="W454" t="s">
        <v>5239</v>
      </c>
      <c r="X454" t="s">
        <v>3338</v>
      </c>
      <c r="Y454" t="s">
        <v>239</v>
      </c>
      <c r="Z454" t="s">
        <v>111</v>
      </c>
      <c r="AA454" t="str">
        <f>"13045-1842"</f>
        <v>13045-1842</v>
      </c>
      <c r="AB454" t="s">
        <v>123</v>
      </c>
      <c r="AC454" t="s">
        <v>113</v>
      </c>
      <c r="AD454" t="s">
        <v>108</v>
      </c>
      <c r="AE454" t="s">
        <v>114</v>
      </c>
      <c r="AF454" t="s">
        <v>142</v>
      </c>
      <c r="AG454" t="s">
        <v>116</v>
      </c>
      <c r="AK454" t="str">
        <f t="shared" si="49"/>
        <v/>
      </c>
      <c r="AL454" t="s">
        <v>5240</v>
      </c>
      <c r="AM454">
        <v>0</v>
      </c>
      <c r="AN454">
        <v>0</v>
      </c>
      <c r="AO454">
        <v>0</v>
      </c>
      <c r="AP454">
        <v>0</v>
      </c>
      <c r="AQ454">
        <v>0</v>
      </c>
      <c r="AR454">
        <v>0</v>
      </c>
      <c r="AS454">
        <v>0</v>
      </c>
      <c r="AT454">
        <v>0</v>
      </c>
      <c r="AU454">
        <v>0</v>
      </c>
      <c r="AV454">
        <v>0</v>
      </c>
      <c r="AW454">
        <v>0</v>
      </c>
      <c r="AX454" s="24">
        <f t="shared" si="47"/>
        <v>1</v>
      </c>
      <c r="AY454" s="24" t="str">
        <f t="shared" si="47"/>
        <v/>
      </c>
      <c r="AZ454" s="24" t="str">
        <f t="shared" si="48"/>
        <v/>
      </c>
      <c r="BA454" s="24" t="str">
        <f t="shared" si="48"/>
        <v/>
      </c>
      <c r="BB454" s="24" t="str">
        <f t="shared" si="48"/>
        <v/>
      </c>
      <c r="BC454" s="24" t="str">
        <f t="shared" si="48"/>
        <v/>
      </c>
      <c r="BD454" s="24" t="str">
        <f t="shared" si="48"/>
        <v/>
      </c>
      <c r="BE454" s="24" t="str">
        <f t="shared" si="48"/>
        <v/>
      </c>
      <c r="BF454" s="24" t="str">
        <f t="shared" si="48"/>
        <v/>
      </c>
      <c r="BG454" s="24" t="str">
        <f t="shared" si="48"/>
        <v/>
      </c>
      <c r="BH454" s="24" t="str">
        <f t="shared" si="50"/>
        <v/>
      </c>
      <c r="BI454" s="24" t="str">
        <f t="shared" si="48"/>
        <v/>
      </c>
      <c r="BJ454" s="24" t="str">
        <f t="shared" si="45"/>
        <v/>
      </c>
    </row>
    <row r="455" spans="1:62" ht="15" customHeight="1" x14ac:dyDescent="0.25">
      <c r="A455" t="str">
        <f>"1255312393"</f>
        <v>1255312393</v>
      </c>
      <c r="B455" t="str">
        <f>"02146867"</f>
        <v>02146867</v>
      </c>
      <c r="C455" t="s">
        <v>4105</v>
      </c>
      <c r="D455" t="s">
        <v>4106</v>
      </c>
      <c r="E455" t="s">
        <v>4107</v>
      </c>
      <c r="L455" t="s">
        <v>120</v>
      </c>
      <c r="M455" t="s">
        <v>108</v>
      </c>
      <c r="R455" t="s">
        <v>4105</v>
      </c>
      <c r="W455" t="s">
        <v>4107</v>
      </c>
      <c r="X455" t="s">
        <v>4108</v>
      </c>
      <c r="Y455" t="s">
        <v>129</v>
      </c>
      <c r="Z455" t="s">
        <v>111</v>
      </c>
      <c r="AA455" t="str">
        <f>"13790-2162"</f>
        <v>13790-2162</v>
      </c>
      <c r="AB455" t="s">
        <v>123</v>
      </c>
      <c r="AC455" t="s">
        <v>113</v>
      </c>
      <c r="AD455" t="s">
        <v>108</v>
      </c>
      <c r="AE455" t="s">
        <v>114</v>
      </c>
      <c r="AF455" t="s">
        <v>115</v>
      </c>
      <c r="AG455" t="s">
        <v>116</v>
      </c>
      <c r="AK455" t="str">
        <f t="shared" si="49"/>
        <v/>
      </c>
      <c r="AL455" t="s">
        <v>4106</v>
      </c>
      <c r="AM455">
        <v>1</v>
      </c>
      <c r="AN455">
        <v>1</v>
      </c>
      <c r="AO455">
        <v>0</v>
      </c>
      <c r="AP455">
        <v>1</v>
      </c>
      <c r="AQ455">
        <v>1</v>
      </c>
      <c r="AR455">
        <v>0</v>
      </c>
      <c r="AS455">
        <v>0</v>
      </c>
      <c r="AT455">
        <v>1</v>
      </c>
      <c r="AU455">
        <v>0</v>
      </c>
      <c r="AV455">
        <v>0</v>
      </c>
      <c r="AW455">
        <v>1</v>
      </c>
      <c r="AX455" s="24">
        <f t="shared" si="47"/>
        <v>1</v>
      </c>
      <c r="AY455" s="24" t="str">
        <f t="shared" si="47"/>
        <v/>
      </c>
      <c r="AZ455" s="24" t="str">
        <f t="shared" si="48"/>
        <v/>
      </c>
      <c r="BA455" s="24" t="str">
        <f t="shared" si="48"/>
        <v/>
      </c>
      <c r="BB455" s="24" t="str">
        <f t="shared" si="48"/>
        <v/>
      </c>
      <c r="BC455" s="24" t="str">
        <f t="shared" si="48"/>
        <v/>
      </c>
      <c r="BD455" s="24" t="str">
        <f t="shared" si="48"/>
        <v/>
      </c>
      <c r="BE455" s="24" t="str">
        <f t="shared" si="48"/>
        <v/>
      </c>
      <c r="BF455" s="24" t="str">
        <f t="shared" si="48"/>
        <v/>
      </c>
      <c r="BG455" s="24" t="str">
        <f t="shared" si="48"/>
        <v/>
      </c>
      <c r="BH455" s="24" t="str">
        <f t="shared" si="50"/>
        <v/>
      </c>
      <c r="BI455" s="24">
        <f t="shared" si="48"/>
        <v>1</v>
      </c>
      <c r="BJ455" s="24" t="str">
        <f t="shared" si="45"/>
        <v/>
      </c>
    </row>
    <row r="456" spans="1:62" ht="15" customHeight="1" x14ac:dyDescent="0.25">
      <c r="A456" t="str">
        <f>"1619978160"</f>
        <v>1619978160</v>
      </c>
      <c r="B456" t="str">
        <f>"01051743"</f>
        <v>01051743</v>
      </c>
      <c r="C456" t="s">
        <v>1896</v>
      </c>
      <c r="D456" t="s">
        <v>1897</v>
      </c>
      <c r="E456" t="s">
        <v>1898</v>
      </c>
      <c r="G456" t="s">
        <v>6330</v>
      </c>
      <c r="H456" t="s">
        <v>6331</v>
      </c>
      <c r="J456" t="s">
        <v>6332</v>
      </c>
      <c r="L456" t="s">
        <v>120</v>
      </c>
      <c r="M456" t="s">
        <v>108</v>
      </c>
      <c r="R456" t="s">
        <v>1896</v>
      </c>
      <c r="W456" t="s">
        <v>1898</v>
      </c>
      <c r="Y456" t="s">
        <v>129</v>
      </c>
      <c r="Z456" t="s">
        <v>111</v>
      </c>
      <c r="AA456" t="str">
        <f>"13790-2597"</f>
        <v>13790-2597</v>
      </c>
      <c r="AB456" t="s">
        <v>123</v>
      </c>
      <c r="AC456" t="s">
        <v>113</v>
      </c>
      <c r="AD456" t="s">
        <v>108</v>
      </c>
      <c r="AE456" t="s">
        <v>114</v>
      </c>
      <c r="AF456" t="s">
        <v>115</v>
      </c>
      <c r="AG456" t="s">
        <v>116</v>
      </c>
      <c r="AK456" t="str">
        <f t="shared" si="49"/>
        <v/>
      </c>
      <c r="AL456" t="s">
        <v>1897</v>
      </c>
      <c r="AM456">
        <v>1</v>
      </c>
      <c r="AN456">
        <v>1</v>
      </c>
      <c r="AO456">
        <v>0</v>
      </c>
      <c r="AP456">
        <v>1</v>
      </c>
      <c r="AQ456">
        <v>1</v>
      </c>
      <c r="AR456">
        <v>0</v>
      </c>
      <c r="AS456">
        <v>0</v>
      </c>
      <c r="AT456">
        <v>0</v>
      </c>
      <c r="AU456">
        <v>0</v>
      </c>
      <c r="AV456">
        <v>0</v>
      </c>
      <c r="AW456">
        <v>0</v>
      </c>
      <c r="AX456" s="24">
        <f t="shared" si="47"/>
        <v>1</v>
      </c>
      <c r="AY456" s="24" t="str">
        <f t="shared" si="47"/>
        <v/>
      </c>
      <c r="AZ456" s="24" t="str">
        <f t="shared" si="48"/>
        <v/>
      </c>
      <c r="BA456" s="24" t="str">
        <f t="shared" si="48"/>
        <v/>
      </c>
      <c r="BB456" s="24" t="str">
        <f t="shared" si="48"/>
        <v/>
      </c>
      <c r="BC456" s="24" t="str">
        <f t="shared" si="48"/>
        <v/>
      </c>
      <c r="BD456" s="24" t="str">
        <f t="shared" si="48"/>
        <v/>
      </c>
      <c r="BE456" s="24" t="str">
        <f t="shared" si="48"/>
        <v/>
      </c>
      <c r="BF456" s="24" t="str">
        <f t="shared" si="48"/>
        <v/>
      </c>
      <c r="BG456" s="24" t="str">
        <f t="shared" si="48"/>
        <v/>
      </c>
      <c r="BH456" s="24" t="str">
        <f t="shared" si="50"/>
        <v/>
      </c>
      <c r="BI456" s="24">
        <f t="shared" si="48"/>
        <v>1</v>
      </c>
      <c r="BJ456" s="24" t="str">
        <f t="shared" si="45"/>
        <v/>
      </c>
    </row>
    <row r="457" spans="1:62" ht="15" customHeight="1" x14ac:dyDescent="0.25">
      <c r="A457" t="str">
        <f>"1386991099"</f>
        <v>1386991099</v>
      </c>
      <c r="B457" t="str">
        <f>"03499341"</f>
        <v>03499341</v>
      </c>
      <c r="C457" t="s">
        <v>6853</v>
      </c>
      <c r="D457" t="s">
        <v>7147</v>
      </c>
      <c r="E457" t="s">
        <v>7148</v>
      </c>
      <c r="G457" t="s">
        <v>6330</v>
      </c>
      <c r="H457" t="s">
        <v>6331</v>
      </c>
      <c r="J457" t="s">
        <v>6332</v>
      </c>
      <c r="L457" t="s">
        <v>120</v>
      </c>
      <c r="M457" t="s">
        <v>108</v>
      </c>
      <c r="R457" t="s">
        <v>6853</v>
      </c>
      <c r="W457" t="s">
        <v>7003</v>
      </c>
      <c r="X457" t="s">
        <v>978</v>
      </c>
      <c r="Y457" t="s">
        <v>979</v>
      </c>
      <c r="Z457" t="s">
        <v>111</v>
      </c>
      <c r="AA457" t="str">
        <f>"13760-1560"</f>
        <v>13760-1560</v>
      </c>
      <c r="AB457" t="s">
        <v>123</v>
      </c>
      <c r="AC457" t="s">
        <v>113</v>
      </c>
      <c r="AD457" t="s">
        <v>108</v>
      </c>
      <c r="AE457" t="s">
        <v>114</v>
      </c>
      <c r="AF457" t="s">
        <v>115</v>
      </c>
      <c r="AG457" t="s">
        <v>116</v>
      </c>
      <c r="AK457" t="str">
        <f t="shared" si="49"/>
        <v>FOSTER RHIANNON</v>
      </c>
      <c r="AL457" t="s">
        <v>7147</v>
      </c>
      <c r="AM457" t="s">
        <v>108</v>
      </c>
      <c r="AN457" t="s">
        <v>108</v>
      </c>
      <c r="AO457" t="s">
        <v>108</v>
      </c>
      <c r="AP457" t="s">
        <v>108</v>
      </c>
      <c r="AQ457" t="s">
        <v>108</v>
      </c>
      <c r="AR457" t="s">
        <v>108</v>
      </c>
      <c r="AS457" t="s">
        <v>108</v>
      </c>
      <c r="AT457" t="s">
        <v>108</v>
      </c>
      <c r="AU457">
        <v>1</v>
      </c>
      <c r="AV457" t="s">
        <v>108</v>
      </c>
      <c r="AW457" t="s">
        <v>108</v>
      </c>
      <c r="AX457" s="24">
        <f t="shared" si="47"/>
        <v>1</v>
      </c>
      <c r="AY457" s="24" t="str">
        <f t="shared" si="47"/>
        <v/>
      </c>
      <c r="AZ457" s="24" t="str">
        <f t="shared" si="48"/>
        <v/>
      </c>
      <c r="BA457" s="24" t="str">
        <f t="shared" si="48"/>
        <v/>
      </c>
      <c r="BB457" s="24" t="str">
        <f t="shared" si="48"/>
        <v/>
      </c>
      <c r="BC457" s="24" t="str">
        <f t="shared" si="48"/>
        <v/>
      </c>
      <c r="BD457" s="24" t="str">
        <f t="shared" si="48"/>
        <v/>
      </c>
      <c r="BE457" s="24" t="str">
        <f t="shared" si="48"/>
        <v/>
      </c>
      <c r="BF457" s="24" t="str">
        <f t="shared" si="48"/>
        <v/>
      </c>
      <c r="BG457" s="24" t="str">
        <f t="shared" si="48"/>
        <v/>
      </c>
      <c r="BH457" s="24" t="str">
        <f t="shared" si="50"/>
        <v/>
      </c>
      <c r="BI457" s="24">
        <f t="shared" si="48"/>
        <v>1</v>
      </c>
      <c r="BJ457" s="24" t="str">
        <f t="shared" si="45"/>
        <v/>
      </c>
    </row>
    <row r="458" spans="1:62" ht="15" customHeight="1" x14ac:dyDescent="0.25">
      <c r="A458" t="str">
        <f>"1043381429"</f>
        <v>1043381429</v>
      </c>
      <c r="B458" t="str">
        <f>"01672935"</f>
        <v>01672935</v>
      </c>
      <c r="C458" t="s">
        <v>6014</v>
      </c>
      <c r="D458" t="s">
        <v>6015</v>
      </c>
      <c r="E458" t="s">
        <v>6016</v>
      </c>
      <c r="G458" t="s">
        <v>815</v>
      </c>
      <c r="H458" t="s">
        <v>816</v>
      </c>
      <c r="J458" t="s">
        <v>817</v>
      </c>
      <c r="L458" t="s">
        <v>442</v>
      </c>
      <c r="M458" t="s">
        <v>108</v>
      </c>
      <c r="R458" t="s">
        <v>6017</v>
      </c>
      <c r="W458" t="s">
        <v>6016</v>
      </c>
      <c r="X458" t="s">
        <v>6018</v>
      </c>
      <c r="Y458" t="s">
        <v>2751</v>
      </c>
      <c r="Z458" t="s">
        <v>111</v>
      </c>
      <c r="AA458" t="str">
        <f>"10003-3105"</f>
        <v>10003-3105</v>
      </c>
      <c r="AB458" t="s">
        <v>123</v>
      </c>
      <c r="AC458" t="s">
        <v>113</v>
      </c>
      <c r="AD458" t="s">
        <v>108</v>
      </c>
      <c r="AE458" t="s">
        <v>114</v>
      </c>
      <c r="AF458" t="s">
        <v>115</v>
      </c>
      <c r="AG458" t="s">
        <v>116</v>
      </c>
      <c r="AK458" t="str">
        <f t="shared" si="49"/>
        <v>Francine Rainone, DO</v>
      </c>
      <c r="AL458" t="s">
        <v>6015</v>
      </c>
      <c r="AM458" t="s">
        <v>108</v>
      </c>
      <c r="AN458" t="s">
        <v>108</v>
      </c>
      <c r="AO458" t="s">
        <v>108</v>
      </c>
      <c r="AP458" t="s">
        <v>108</v>
      </c>
      <c r="AQ458" t="s">
        <v>108</v>
      </c>
      <c r="AR458" t="s">
        <v>108</v>
      </c>
      <c r="AS458" t="s">
        <v>108</v>
      </c>
      <c r="AT458" t="s">
        <v>108</v>
      </c>
      <c r="AU458">
        <v>0</v>
      </c>
      <c r="AV458" t="s">
        <v>108</v>
      </c>
      <c r="AW458" t="s">
        <v>108</v>
      </c>
      <c r="AX458" s="24">
        <f t="shared" si="47"/>
        <v>1</v>
      </c>
      <c r="AY458" s="24" t="str">
        <f t="shared" si="47"/>
        <v/>
      </c>
      <c r="AZ458" s="24" t="str">
        <f t="shared" si="48"/>
        <v/>
      </c>
      <c r="BA458" s="24" t="str">
        <f t="shared" si="48"/>
        <v/>
      </c>
      <c r="BB458" s="24" t="str">
        <f t="shared" si="48"/>
        <v/>
      </c>
      <c r="BC458" s="24" t="str">
        <f t="shared" si="48"/>
        <v/>
      </c>
      <c r="BD458" s="24" t="str">
        <f t="shared" si="48"/>
        <v/>
      </c>
      <c r="BE458" s="24" t="str">
        <f t="shared" si="48"/>
        <v/>
      </c>
      <c r="BF458" s="24" t="str">
        <f t="shared" si="48"/>
        <v/>
      </c>
      <c r="BG458" s="24" t="str">
        <f t="shared" si="48"/>
        <v/>
      </c>
      <c r="BH458" s="24" t="str">
        <f t="shared" si="50"/>
        <v/>
      </c>
      <c r="BI458" s="24" t="str">
        <f t="shared" si="48"/>
        <v/>
      </c>
      <c r="BJ458" s="24" t="str">
        <f t="shared" si="45"/>
        <v/>
      </c>
    </row>
    <row r="459" spans="1:62" ht="15" customHeight="1" x14ac:dyDescent="0.25">
      <c r="A459" t="str">
        <f>"1437317112"</f>
        <v>1437317112</v>
      </c>
      <c r="B459" t="str">
        <f>"03362205"</f>
        <v>03362205</v>
      </c>
      <c r="C459" t="s">
        <v>2739</v>
      </c>
      <c r="D459" t="s">
        <v>2740</v>
      </c>
      <c r="E459" t="s">
        <v>2741</v>
      </c>
      <c r="G459" t="s">
        <v>2625</v>
      </c>
      <c r="H459" t="s">
        <v>2626</v>
      </c>
      <c r="J459" t="s">
        <v>2742</v>
      </c>
      <c r="L459" t="s">
        <v>247</v>
      </c>
      <c r="M459" t="s">
        <v>108</v>
      </c>
      <c r="R459" t="s">
        <v>2743</v>
      </c>
      <c r="W459" t="s">
        <v>2744</v>
      </c>
      <c r="X459" t="s">
        <v>2662</v>
      </c>
      <c r="Y459" t="s">
        <v>141</v>
      </c>
      <c r="Z459" t="s">
        <v>111</v>
      </c>
      <c r="AA459" t="str">
        <f>"13210-1687"</f>
        <v>13210-1687</v>
      </c>
      <c r="AB459" t="s">
        <v>123</v>
      </c>
      <c r="AC459" t="s">
        <v>113</v>
      </c>
      <c r="AD459" t="s">
        <v>108</v>
      </c>
      <c r="AE459" t="s">
        <v>114</v>
      </c>
      <c r="AF459" t="s">
        <v>142</v>
      </c>
      <c r="AG459" t="s">
        <v>116</v>
      </c>
      <c r="AK459" t="str">
        <f t="shared" si="49"/>
        <v/>
      </c>
      <c r="AL459" t="s">
        <v>2740</v>
      </c>
      <c r="AM459">
        <v>1</v>
      </c>
      <c r="AN459">
        <v>1</v>
      </c>
      <c r="AO459">
        <v>0</v>
      </c>
      <c r="AP459">
        <v>0</v>
      </c>
      <c r="AQ459">
        <v>0</v>
      </c>
      <c r="AR459">
        <v>0</v>
      </c>
      <c r="AS459">
        <v>0</v>
      </c>
      <c r="AT459">
        <v>0</v>
      </c>
      <c r="AU459">
        <v>0</v>
      </c>
      <c r="AV459">
        <v>0</v>
      </c>
      <c r="AW459">
        <v>0</v>
      </c>
      <c r="AX459" s="24" t="str">
        <f t="shared" si="47"/>
        <v/>
      </c>
      <c r="AY459" s="24">
        <f t="shared" si="47"/>
        <v>1</v>
      </c>
      <c r="AZ459" s="24" t="str">
        <f t="shared" si="48"/>
        <v/>
      </c>
      <c r="BA459" s="24" t="str">
        <f t="shared" si="48"/>
        <v/>
      </c>
      <c r="BB459" s="24" t="str">
        <f t="shared" si="48"/>
        <v/>
      </c>
      <c r="BC459" s="24" t="str">
        <f t="shared" si="48"/>
        <v/>
      </c>
      <c r="BD459" s="24" t="str">
        <f t="shared" si="48"/>
        <v/>
      </c>
      <c r="BE459" s="24" t="str">
        <f t="shared" si="48"/>
        <v/>
      </c>
      <c r="BF459" s="24" t="str">
        <f t="shared" si="48"/>
        <v/>
      </c>
      <c r="BG459" s="24" t="str">
        <f t="shared" si="48"/>
        <v/>
      </c>
      <c r="BH459" s="24" t="str">
        <f t="shared" si="50"/>
        <v/>
      </c>
      <c r="BI459" s="24" t="str">
        <f t="shared" si="48"/>
        <v/>
      </c>
      <c r="BJ459" s="24" t="str">
        <f t="shared" si="45"/>
        <v/>
      </c>
    </row>
    <row r="460" spans="1:62" ht="15" customHeight="1" x14ac:dyDescent="0.25">
      <c r="A460" t="str">
        <f>"1922352111"</f>
        <v>1922352111</v>
      </c>
      <c r="B460" t="str">
        <f>"03529260"</f>
        <v>03529260</v>
      </c>
      <c r="C460" t="s">
        <v>6651</v>
      </c>
      <c r="D460" t="s">
        <v>6652</v>
      </c>
      <c r="E460" t="s">
        <v>6653</v>
      </c>
      <c r="G460" t="s">
        <v>6279</v>
      </c>
      <c r="H460" t="s">
        <v>5843</v>
      </c>
      <c r="J460" t="s">
        <v>6280</v>
      </c>
      <c r="L460" t="s">
        <v>138</v>
      </c>
      <c r="M460" t="s">
        <v>108</v>
      </c>
      <c r="R460" t="s">
        <v>6653</v>
      </c>
      <c r="W460" t="s">
        <v>6653</v>
      </c>
      <c r="X460" t="s">
        <v>2759</v>
      </c>
      <c r="Y460" t="s">
        <v>293</v>
      </c>
      <c r="Z460" t="s">
        <v>111</v>
      </c>
      <c r="AA460" t="str">
        <f>"14850-1863"</f>
        <v>14850-1863</v>
      </c>
      <c r="AB460" t="s">
        <v>123</v>
      </c>
      <c r="AC460" t="s">
        <v>113</v>
      </c>
      <c r="AD460" t="s">
        <v>108</v>
      </c>
      <c r="AE460" t="s">
        <v>114</v>
      </c>
      <c r="AF460" t="s">
        <v>142</v>
      </c>
      <c r="AG460" t="s">
        <v>116</v>
      </c>
      <c r="AK460" t="str">
        <f t="shared" si="49"/>
        <v>Franck Zsofia</v>
      </c>
      <c r="AL460" t="s">
        <v>6652</v>
      </c>
      <c r="AM460" t="s">
        <v>108</v>
      </c>
      <c r="AN460" t="s">
        <v>108</v>
      </c>
      <c r="AO460" t="s">
        <v>108</v>
      </c>
      <c r="AP460" t="s">
        <v>108</v>
      </c>
      <c r="AQ460" t="s">
        <v>108</v>
      </c>
      <c r="AR460" t="s">
        <v>108</v>
      </c>
      <c r="AS460" t="s">
        <v>108</v>
      </c>
      <c r="AT460" t="s">
        <v>108</v>
      </c>
      <c r="AU460">
        <v>1</v>
      </c>
      <c r="AV460" t="s">
        <v>108</v>
      </c>
      <c r="AW460" t="s">
        <v>108</v>
      </c>
      <c r="AX460" s="24" t="str">
        <f t="shared" si="47"/>
        <v/>
      </c>
      <c r="AY460" s="24">
        <f t="shared" si="47"/>
        <v>1</v>
      </c>
      <c r="AZ460" s="24" t="str">
        <f t="shared" si="48"/>
        <v/>
      </c>
      <c r="BA460" s="24" t="str">
        <f t="shared" si="48"/>
        <v/>
      </c>
      <c r="BB460" s="24" t="str">
        <f t="shared" si="48"/>
        <v/>
      </c>
      <c r="BC460" s="24" t="str">
        <f t="shared" si="48"/>
        <v/>
      </c>
      <c r="BD460" s="24" t="str">
        <f t="shared" si="48"/>
        <v/>
      </c>
      <c r="BE460" s="24" t="str">
        <f t="shared" si="48"/>
        <v/>
      </c>
      <c r="BF460" s="24" t="str">
        <f t="shared" si="48"/>
        <v/>
      </c>
      <c r="BG460" s="24" t="str">
        <f t="shared" si="48"/>
        <v/>
      </c>
      <c r="BH460" s="24" t="str">
        <f t="shared" si="50"/>
        <v/>
      </c>
      <c r="BI460" s="24">
        <f t="shared" si="48"/>
        <v>1</v>
      </c>
      <c r="BJ460" s="24" t="str">
        <f t="shared" si="45"/>
        <v/>
      </c>
    </row>
    <row r="461" spans="1:62" ht="15" customHeight="1" x14ac:dyDescent="0.25">
      <c r="A461" t="str">
        <f>"1891780979"</f>
        <v>1891780979</v>
      </c>
      <c r="B461" t="str">
        <f>"02199746"</f>
        <v>02199746</v>
      </c>
      <c r="C461" t="s">
        <v>6848</v>
      </c>
      <c r="D461" t="s">
        <v>7141</v>
      </c>
      <c r="E461" t="s">
        <v>6993</v>
      </c>
      <c r="G461" t="s">
        <v>6330</v>
      </c>
      <c r="H461" t="s">
        <v>6331</v>
      </c>
      <c r="J461" t="s">
        <v>6332</v>
      </c>
      <c r="L461" t="s">
        <v>247</v>
      </c>
      <c r="M461" t="s">
        <v>108</v>
      </c>
      <c r="R461" t="s">
        <v>6848</v>
      </c>
      <c r="W461" t="s">
        <v>6993</v>
      </c>
      <c r="X461" t="s">
        <v>6994</v>
      </c>
      <c r="Y461" t="s">
        <v>129</v>
      </c>
      <c r="Z461" t="s">
        <v>111</v>
      </c>
      <c r="AA461" t="str">
        <f>"13790-2120"</f>
        <v>13790-2120</v>
      </c>
      <c r="AB461" t="s">
        <v>123</v>
      </c>
      <c r="AC461" t="s">
        <v>113</v>
      </c>
      <c r="AD461" t="s">
        <v>108</v>
      </c>
      <c r="AE461" t="s">
        <v>114</v>
      </c>
      <c r="AF461" t="s">
        <v>115</v>
      </c>
      <c r="AG461" t="s">
        <v>116</v>
      </c>
      <c r="AK461" t="str">
        <f t="shared" si="49"/>
        <v>FRANTS REGINA</v>
      </c>
      <c r="AL461" t="s">
        <v>7141</v>
      </c>
      <c r="AM461" t="s">
        <v>108</v>
      </c>
      <c r="AN461" t="s">
        <v>108</v>
      </c>
      <c r="AO461" t="s">
        <v>108</v>
      </c>
      <c r="AP461" t="s">
        <v>108</v>
      </c>
      <c r="AQ461" t="s">
        <v>108</v>
      </c>
      <c r="AR461" t="s">
        <v>108</v>
      </c>
      <c r="AS461" t="s">
        <v>108</v>
      </c>
      <c r="AT461" t="s">
        <v>108</v>
      </c>
      <c r="AU461">
        <v>0</v>
      </c>
      <c r="AV461" t="s">
        <v>108</v>
      </c>
      <c r="AW461" t="s">
        <v>108</v>
      </c>
      <c r="AX461" s="24" t="str">
        <f t="shared" si="47"/>
        <v/>
      </c>
      <c r="AY461" s="24">
        <f t="shared" si="47"/>
        <v>1</v>
      </c>
      <c r="AZ461" s="24" t="str">
        <f t="shared" si="48"/>
        <v/>
      </c>
      <c r="BA461" s="24" t="str">
        <f t="shared" si="48"/>
        <v/>
      </c>
      <c r="BB461" s="24" t="str">
        <f t="shared" si="48"/>
        <v/>
      </c>
      <c r="BC461" s="24" t="str">
        <f t="shared" si="48"/>
        <v/>
      </c>
      <c r="BD461" s="24" t="str">
        <f t="shared" si="48"/>
        <v/>
      </c>
      <c r="BE461" s="24" t="str">
        <f t="shared" si="48"/>
        <v/>
      </c>
      <c r="BF461" s="24" t="str">
        <f t="shared" si="48"/>
        <v/>
      </c>
      <c r="BG461" s="24" t="str">
        <f t="shared" si="48"/>
        <v/>
      </c>
      <c r="BH461" s="24" t="str">
        <f t="shared" si="50"/>
        <v/>
      </c>
      <c r="BI461" s="24" t="str">
        <f t="shared" si="48"/>
        <v/>
      </c>
      <c r="BJ461" s="24" t="str">
        <f t="shared" si="45"/>
        <v/>
      </c>
    </row>
    <row r="462" spans="1:62" x14ac:dyDescent="0.25">
      <c r="A462" t="str">
        <f>"1306996376"</f>
        <v>1306996376</v>
      </c>
      <c r="B462" t="str">
        <f>"00356249"</f>
        <v>00356249</v>
      </c>
      <c r="C462" t="s">
        <v>1719</v>
      </c>
      <c r="D462" t="s">
        <v>1720</v>
      </c>
      <c r="E462" t="s">
        <v>1719</v>
      </c>
      <c r="G462" t="s">
        <v>1721</v>
      </c>
      <c r="H462" t="s">
        <v>1722</v>
      </c>
      <c r="J462" t="s">
        <v>1723</v>
      </c>
      <c r="L462" t="s">
        <v>1724</v>
      </c>
      <c r="M462" t="s">
        <v>139</v>
      </c>
      <c r="R462" t="s">
        <v>1725</v>
      </c>
      <c r="W462" t="s">
        <v>1719</v>
      </c>
      <c r="X462" t="s">
        <v>1726</v>
      </c>
      <c r="Y462" t="s">
        <v>293</v>
      </c>
      <c r="Z462" t="s">
        <v>111</v>
      </c>
      <c r="AA462" t="str">
        <f>"14850-9568"</f>
        <v>14850-9568</v>
      </c>
      <c r="AB462" t="s">
        <v>385</v>
      </c>
      <c r="AC462" t="s">
        <v>113</v>
      </c>
      <c r="AD462" t="s">
        <v>108</v>
      </c>
      <c r="AE462" t="s">
        <v>114</v>
      </c>
      <c r="AF462" t="s">
        <v>142</v>
      </c>
      <c r="AG462" t="s">
        <v>116</v>
      </c>
      <c r="AK462" t="str">
        <f t="shared" si="49"/>
        <v/>
      </c>
      <c r="AL462" t="s">
        <v>1720</v>
      </c>
      <c r="AM462">
        <v>0</v>
      </c>
      <c r="AN462">
        <v>0</v>
      </c>
      <c r="AO462">
        <v>0</v>
      </c>
      <c r="AP462">
        <v>0</v>
      </c>
      <c r="AQ462">
        <v>0</v>
      </c>
      <c r="AR462">
        <v>0</v>
      </c>
      <c r="AS462">
        <v>0</v>
      </c>
      <c r="AT462">
        <v>0</v>
      </c>
      <c r="AU462">
        <v>0</v>
      </c>
      <c r="AV462">
        <v>0</v>
      </c>
      <c r="AW462">
        <v>0</v>
      </c>
      <c r="AX462" s="24" t="str">
        <f t="shared" si="47"/>
        <v/>
      </c>
      <c r="AY462" s="24" t="str">
        <f t="shared" si="47"/>
        <v/>
      </c>
      <c r="AZ462" s="24" t="str">
        <f t="shared" si="48"/>
        <v/>
      </c>
      <c r="BA462" s="24">
        <f t="shared" si="48"/>
        <v>1</v>
      </c>
      <c r="BB462" s="24" t="str">
        <f t="shared" si="48"/>
        <v/>
      </c>
      <c r="BC462" s="24">
        <f t="shared" si="48"/>
        <v>1</v>
      </c>
      <c r="BD462" s="24" t="str">
        <f t="shared" si="48"/>
        <v/>
      </c>
      <c r="BE462" s="24" t="str">
        <f t="shared" si="48"/>
        <v/>
      </c>
      <c r="BF462" s="24" t="str">
        <f t="shared" si="48"/>
        <v/>
      </c>
      <c r="BG462" s="24" t="str">
        <f t="shared" si="48"/>
        <v/>
      </c>
      <c r="BH462" s="24" t="str">
        <f t="shared" si="50"/>
        <v/>
      </c>
      <c r="BI462" s="24">
        <f t="shared" si="48"/>
        <v>1</v>
      </c>
      <c r="BJ462" s="24" t="str">
        <f t="shared" si="45"/>
        <v/>
      </c>
    </row>
    <row r="463" spans="1:62" ht="15" customHeight="1" x14ac:dyDescent="0.25">
      <c r="B463" t="str">
        <f>"02246968"</f>
        <v>02246968</v>
      </c>
      <c r="C463" t="s">
        <v>1727</v>
      </c>
      <c r="D463" t="s">
        <v>1728</v>
      </c>
      <c r="E463" t="s">
        <v>1727</v>
      </c>
      <c r="F463">
        <v>150581887</v>
      </c>
      <c r="G463" t="s">
        <v>1721</v>
      </c>
      <c r="H463" t="s">
        <v>1722</v>
      </c>
      <c r="J463" t="s">
        <v>1723</v>
      </c>
      <c r="L463" t="s">
        <v>68</v>
      </c>
      <c r="M463" t="s">
        <v>108</v>
      </c>
      <c r="W463" t="s">
        <v>1727</v>
      </c>
      <c r="X463" t="s">
        <v>170</v>
      </c>
      <c r="Y463" t="s">
        <v>293</v>
      </c>
      <c r="Z463" t="s">
        <v>111</v>
      </c>
      <c r="AA463" t="str">
        <f>"14850-9568"</f>
        <v>14850-9568</v>
      </c>
      <c r="AB463" t="s">
        <v>165</v>
      </c>
      <c r="AC463" t="s">
        <v>113</v>
      </c>
      <c r="AD463" t="s">
        <v>108</v>
      </c>
      <c r="AE463" t="s">
        <v>114</v>
      </c>
      <c r="AF463" t="s">
        <v>142</v>
      </c>
      <c r="AG463" t="s">
        <v>116</v>
      </c>
      <c r="AK463" t="str">
        <f t="shared" si="49"/>
        <v/>
      </c>
      <c r="AL463" t="s">
        <v>1728</v>
      </c>
      <c r="AM463">
        <v>0</v>
      </c>
      <c r="AN463">
        <v>0</v>
      </c>
      <c r="AO463">
        <v>0</v>
      </c>
      <c r="AP463">
        <v>0</v>
      </c>
      <c r="AQ463">
        <v>0</v>
      </c>
      <c r="AR463">
        <v>0</v>
      </c>
      <c r="AS463">
        <v>0</v>
      </c>
      <c r="AT463">
        <v>0</v>
      </c>
      <c r="AU463">
        <v>0</v>
      </c>
      <c r="AV463">
        <v>0</v>
      </c>
      <c r="AW463">
        <v>0</v>
      </c>
      <c r="AX463" s="24" t="str">
        <f t="shared" si="47"/>
        <v/>
      </c>
      <c r="AY463" s="24" t="str">
        <f t="shared" si="47"/>
        <v/>
      </c>
      <c r="AZ463" s="24" t="str">
        <f t="shared" si="48"/>
        <v/>
      </c>
      <c r="BA463" s="24" t="str">
        <f t="shared" si="48"/>
        <v/>
      </c>
      <c r="BB463" s="24" t="str">
        <f t="shared" si="48"/>
        <v/>
      </c>
      <c r="BC463" s="24" t="str">
        <f t="shared" si="48"/>
        <v/>
      </c>
      <c r="BD463" s="24" t="str">
        <f t="shared" si="48"/>
        <v/>
      </c>
      <c r="BE463" s="24" t="str">
        <f t="shared" si="48"/>
        <v/>
      </c>
      <c r="BF463" s="24" t="str">
        <f t="shared" si="48"/>
        <v/>
      </c>
      <c r="BG463" s="24" t="str">
        <f t="shared" si="48"/>
        <v/>
      </c>
      <c r="BH463" s="24" t="str">
        <f t="shared" si="50"/>
        <v/>
      </c>
      <c r="BI463" s="24">
        <f t="shared" si="48"/>
        <v>1</v>
      </c>
      <c r="BJ463" s="24" t="str">
        <f t="shared" si="45"/>
        <v/>
      </c>
    </row>
    <row r="464" spans="1:62" ht="15" customHeight="1" x14ac:dyDescent="0.25">
      <c r="B464" t="str">
        <f>"02699154"</f>
        <v>02699154</v>
      </c>
      <c r="C464" t="s">
        <v>1729</v>
      </c>
      <c r="D464" t="s">
        <v>1730</v>
      </c>
      <c r="E464" t="s">
        <v>1729</v>
      </c>
      <c r="F464">
        <v>150581887</v>
      </c>
      <c r="G464" t="s">
        <v>1721</v>
      </c>
      <c r="H464" t="s">
        <v>1722</v>
      </c>
      <c r="J464" t="s">
        <v>1723</v>
      </c>
      <c r="L464" t="s">
        <v>68</v>
      </c>
      <c r="M464" t="s">
        <v>108</v>
      </c>
      <c r="W464" t="s">
        <v>1729</v>
      </c>
      <c r="X464" t="s">
        <v>173</v>
      </c>
      <c r="Y464" t="s">
        <v>293</v>
      </c>
      <c r="Z464" t="s">
        <v>111</v>
      </c>
      <c r="AA464" t="str">
        <f>"14850-9568"</f>
        <v>14850-9568</v>
      </c>
      <c r="AB464" t="s">
        <v>165</v>
      </c>
      <c r="AC464" t="s">
        <v>113</v>
      </c>
      <c r="AD464" t="s">
        <v>108</v>
      </c>
      <c r="AE464" t="s">
        <v>114</v>
      </c>
      <c r="AF464" t="s">
        <v>142</v>
      </c>
      <c r="AG464" t="s">
        <v>116</v>
      </c>
      <c r="AK464" t="str">
        <f t="shared" si="49"/>
        <v/>
      </c>
      <c r="AL464" t="s">
        <v>1730</v>
      </c>
      <c r="AM464">
        <v>0</v>
      </c>
      <c r="AN464">
        <v>0</v>
      </c>
      <c r="AO464">
        <v>0</v>
      </c>
      <c r="AP464">
        <v>0</v>
      </c>
      <c r="AQ464">
        <v>0</v>
      </c>
      <c r="AR464">
        <v>0</v>
      </c>
      <c r="AS464">
        <v>0</v>
      </c>
      <c r="AT464">
        <v>0</v>
      </c>
      <c r="AU464">
        <v>0</v>
      </c>
      <c r="AV464">
        <v>0</v>
      </c>
      <c r="AW464">
        <v>0</v>
      </c>
      <c r="AX464" s="24" t="str">
        <f t="shared" si="47"/>
        <v/>
      </c>
      <c r="AY464" s="24" t="str">
        <f t="shared" si="47"/>
        <v/>
      </c>
      <c r="AZ464" s="24" t="str">
        <f t="shared" si="48"/>
        <v/>
      </c>
      <c r="BA464" s="24" t="str">
        <f t="shared" si="48"/>
        <v/>
      </c>
      <c r="BB464" s="24" t="str">
        <f t="shared" si="48"/>
        <v/>
      </c>
      <c r="BC464" s="24" t="str">
        <f t="shared" si="48"/>
        <v/>
      </c>
      <c r="BD464" s="24" t="str">
        <f t="shared" si="48"/>
        <v/>
      </c>
      <c r="BE464" s="24" t="str">
        <f t="shared" si="48"/>
        <v/>
      </c>
      <c r="BF464" s="24" t="str">
        <f t="shared" si="48"/>
        <v/>
      </c>
      <c r="BG464" s="24" t="str">
        <f t="shared" si="48"/>
        <v/>
      </c>
      <c r="BH464" s="24" t="str">
        <f t="shared" si="50"/>
        <v/>
      </c>
      <c r="BI464" s="24">
        <f t="shared" si="48"/>
        <v>1</v>
      </c>
      <c r="BJ464" s="24" t="str">
        <f t="shared" si="45"/>
        <v/>
      </c>
    </row>
    <row r="465" spans="1:62" ht="15" customHeight="1" x14ac:dyDescent="0.25">
      <c r="B465" t="str">
        <f>"02058542"</f>
        <v>02058542</v>
      </c>
      <c r="C465" t="s">
        <v>1731</v>
      </c>
      <c r="D465" t="s">
        <v>1732</v>
      </c>
      <c r="E465" t="s">
        <v>1731</v>
      </c>
      <c r="F465">
        <v>150581887</v>
      </c>
      <c r="G465" t="s">
        <v>1721</v>
      </c>
      <c r="H465" t="s">
        <v>1722</v>
      </c>
      <c r="J465" t="s">
        <v>1723</v>
      </c>
      <c r="L465" t="s">
        <v>68</v>
      </c>
      <c r="M465" t="s">
        <v>108</v>
      </c>
      <c r="W465" t="s">
        <v>1731</v>
      </c>
      <c r="X465" t="s">
        <v>1733</v>
      </c>
      <c r="Y465" t="s">
        <v>293</v>
      </c>
      <c r="Z465" t="s">
        <v>111</v>
      </c>
      <c r="AA465" t="str">
        <f>"14850-9568"</f>
        <v>14850-9568</v>
      </c>
      <c r="AB465" t="s">
        <v>165</v>
      </c>
      <c r="AC465" t="s">
        <v>113</v>
      </c>
      <c r="AD465" t="s">
        <v>108</v>
      </c>
      <c r="AE465" t="s">
        <v>114</v>
      </c>
      <c r="AF465" t="s">
        <v>142</v>
      </c>
      <c r="AG465" t="s">
        <v>116</v>
      </c>
      <c r="AK465" t="str">
        <f t="shared" si="49"/>
        <v/>
      </c>
      <c r="AL465" t="s">
        <v>1732</v>
      </c>
      <c r="AM465">
        <v>0</v>
      </c>
      <c r="AN465">
        <v>0</v>
      </c>
      <c r="AO465">
        <v>0</v>
      </c>
      <c r="AP465">
        <v>0</v>
      </c>
      <c r="AQ465">
        <v>0</v>
      </c>
      <c r="AR465">
        <v>0</v>
      </c>
      <c r="AS465">
        <v>0</v>
      </c>
      <c r="AT465">
        <v>0</v>
      </c>
      <c r="AU465">
        <v>0</v>
      </c>
      <c r="AV465">
        <v>0</v>
      </c>
      <c r="AW465">
        <v>0</v>
      </c>
      <c r="AX465" s="24" t="str">
        <f t="shared" si="47"/>
        <v/>
      </c>
      <c r="AY465" s="24" t="str">
        <f t="shared" si="47"/>
        <v/>
      </c>
      <c r="AZ465" s="24" t="str">
        <f t="shared" si="48"/>
        <v/>
      </c>
      <c r="BA465" s="24" t="str">
        <f t="shared" si="48"/>
        <v/>
      </c>
      <c r="BB465" s="24" t="str">
        <f t="shared" si="48"/>
        <v/>
      </c>
      <c r="BC465" s="24" t="str">
        <f t="shared" si="48"/>
        <v/>
      </c>
      <c r="BD465" s="24" t="str">
        <f t="shared" si="48"/>
        <v/>
      </c>
      <c r="BE465" s="24" t="str">
        <f t="shared" si="48"/>
        <v/>
      </c>
      <c r="BF465" s="24" t="str">
        <f t="shared" si="48"/>
        <v/>
      </c>
      <c r="BG465" s="24" t="str">
        <f t="shared" si="48"/>
        <v/>
      </c>
      <c r="BH465" s="24" t="str">
        <f t="shared" si="50"/>
        <v/>
      </c>
      <c r="BI465" s="24">
        <f t="shared" si="48"/>
        <v>1</v>
      </c>
      <c r="BJ465" s="24" t="str">
        <f t="shared" si="45"/>
        <v/>
      </c>
    </row>
    <row r="466" spans="1:62" ht="15" customHeight="1" x14ac:dyDescent="0.25">
      <c r="B466" t="str">
        <f>"02599993"</f>
        <v>02599993</v>
      </c>
      <c r="C466" t="s">
        <v>1734</v>
      </c>
      <c r="D466" t="s">
        <v>1735</v>
      </c>
      <c r="E466" t="s">
        <v>1734</v>
      </c>
      <c r="G466" t="s">
        <v>1721</v>
      </c>
      <c r="H466" t="s">
        <v>1722</v>
      </c>
      <c r="J466" t="s">
        <v>1723</v>
      </c>
      <c r="L466" t="s">
        <v>68</v>
      </c>
      <c r="M466" t="s">
        <v>108</v>
      </c>
      <c r="W466" t="s">
        <v>1734</v>
      </c>
      <c r="X466" t="s">
        <v>1736</v>
      </c>
      <c r="Y466" t="s">
        <v>293</v>
      </c>
      <c r="Z466" t="s">
        <v>111</v>
      </c>
      <c r="AA466" t="str">
        <f>"14850-9568"</f>
        <v>14850-9568</v>
      </c>
      <c r="AB466" t="s">
        <v>165</v>
      </c>
      <c r="AC466" t="s">
        <v>113</v>
      </c>
      <c r="AD466" t="s">
        <v>108</v>
      </c>
      <c r="AE466" t="s">
        <v>114</v>
      </c>
      <c r="AF466" t="s">
        <v>142</v>
      </c>
      <c r="AG466" t="s">
        <v>116</v>
      </c>
      <c r="AK466" t="str">
        <f t="shared" si="49"/>
        <v/>
      </c>
      <c r="AL466" t="s">
        <v>1735</v>
      </c>
      <c r="AM466">
        <v>0</v>
      </c>
      <c r="AN466">
        <v>0</v>
      </c>
      <c r="AO466">
        <v>0</v>
      </c>
      <c r="AP466">
        <v>0</v>
      </c>
      <c r="AQ466">
        <v>0</v>
      </c>
      <c r="AR466">
        <v>0</v>
      </c>
      <c r="AS466">
        <v>0</v>
      </c>
      <c r="AT466">
        <v>0</v>
      </c>
      <c r="AU466">
        <v>0</v>
      </c>
      <c r="AV466">
        <v>0</v>
      </c>
      <c r="AW466">
        <v>0</v>
      </c>
      <c r="AX466" s="24" t="str">
        <f t="shared" si="47"/>
        <v/>
      </c>
      <c r="AY466" s="24" t="str">
        <f t="shared" si="47"/>
        <v/>
      </c>
      <c r="AZ466" s="24" t="str">
        <f t="shared" si="48"/>
        <v/>
      </c>
      <c r="BA466" s="24" t="str">
        <f t="shared" si="48"/>
        <v/>
      </c>
      <c r="BB466" s="24" t="str">
        <f t="shared" si="48"/>
        <v/>
      </c>
      <c r="BC466" s="24" t="str">
        <f t="shared" si="48"/>
        <v/>
      </c>
      <c r="BD466" s="24" t="str">
        <f t="shared" si="48"/>
        <v/>
      </c>
      <c r="BE466" s="24" t="str">
        <f t="shared" si="48"/>
        <v/>
      </c>
      <c r="BF466" s="24" t="str">
        <f t="shared" si="48"/>
        <v/>
      </c>
      <c r="BG466" s="24" t="str">
        <f t="shared" si="48"/>
        <v/>
      </c>
      <c r="BH466" s="24" t="str">
        <f t="shared" si="50"/>
        <v/>
      </c>
      <c r="BI466" s="24">
        <f t="shared" si="48"/>
        <v>1</v>
      </c>
      <c r="BJ466" s="24" t="str">
        <f t="shared" ref="BJ466:BJ529" si="51">IF(ISERROR(FIND(BJ$1,$L466,1)),"",1)</f>
        <v/>
      </c>
    </row>
    <row r="467" spans="1:62" ht="15" customHeight="1" x14ac:dyDescent="0.25">
      <c r="A467" t="str">
        <f>"1962447870"</f>
        <v>1962447870</v>
      </c>
      <c r="B467" t="str">
        <f>"00587742"</f>
        <v>00587742</v>
      </c>
      <c r="C467" t="s">
        <v>4568</v>
      </c>
      <c r="D467" t="s">
        <v>4569</v>
      </c>
      <c r="E467" t="s">
        <v>4570</v>
      </c>
      <c r="L467" t="s">
        <v>809</v>
      </c>
      <c r="M467" t="s">
        <v>108</v>
      </c>
      <c r="R467" t="s">
        <v>4568</v>
      </c>
      <c r="W467" t="s">
        <v>4568</v>
      </c>
      <c r="X467" t="s">
        <v>4571</v>
      </c>
      <c r="Y467" t="s">
        <v>110</v>
      </c>
      <c r="Z467" t="s">
        <v>111</v>
      </c>
      <c r="AA467" t="str">
        <f>"13904-1735"</f>
        <v>13904-1735</v>
      </c>
      <c r="AB467" t="s">
        <v>123</v>
      </c>
      <c r="AC467" t="s">
        <v>113</v>
      </c>
      <c r="AD467" t="s">
        <v>108</v>
      </c>
      <c r="AE467" t="s">
        <v>114</v>
      </c>
      <c r="AF467" t="s">
        <v>115</v>
      </c>
      <c r="AG467" t="s">
        <v>116</v>
      </c>
      <c r="AK467" t="str">
        <f t="shared" si="49"/>
        <v/>
      </c>
      <c r="AL467" t="s">
        <v>4569</v>
      </c>
      <c r="AM467">
        <v>0</v>
      </c>
      <c r="AN467">
        <v>0</v>
      </c>
      <c r="AO467">
        <v>0</v>
      </c>
      <c r="AP467">
        <v>0</v>
      </c>
      <c r="AQ467">
        <v>0</v>
      </c>
      <c r="AR467">
        <v>0</v>
      </c>
      <c r="AS467">
        <v>0</v>
      </c>
      <c r="AT467">
        <v>0</v>
      </c>
      <c r="AU467">
        <v>0</v>
      </c>
      <c r="AV467">
        <v>0</v>
      </c>
      <c r="AW467">
        <v>0</v>
      </c>
      <c r="AX467" s="24" t="str">
        <f t="shared" si="47"/>
        <v/>
      </c>
      <c r="AY467" s="24">
        <f t="shared" si="47"/>
        <v>1</v>
      </c>
      <c r="AZ467" s="24" t="str">
        <f t="shared" si="48"/>
        <v/>
      </c>
      <c r="BA467" s="24" t="str">
        <f t="shared" si="48"/>
        <v/>
      </c>
      <c r="BB467" s="24" t="str">
        <f t="shared" si="48"/>
        <v/>
      </c>
      <c r="BC467" s="24">
        <f t="shared" si="48"/>
        <v>1</v>
      </c>
      <c r="BD467" s="24" t="str">
        <f t="shared" si="48"/>
        <v/>
      </c>
      <c r="BE467" s="24" t="str">
        <f t="shared" si="48"/>
        <v/>
      </c>
      <c r="BF467" s="24" t="str">
        <f t="shared" si="48"/>
        <v/>
      </c>
      <c r="BG467" s="24" t="str">
        <f t="shared" si="48"/>
        <v/>
      </c>
      <c r="BH467" s="24" t="str">
        <f t="shared" si="50"/>
        <v/>
      </c>
      <c r="BI467" s="24" t="str">
        <f t="shared" si="48"/>
        <v/>
      </c>
      <c r="BJ467" s="24" t="str">
        <f t="shared" si="51"/>
        <v/>
      </c>
    </row>
    <row r="468" spans="1:62" ht="15" customHeight="1" x14ac:dyDescent="0.25">
      <c r="A468" t="str">
        <f>"1669436911"</f>
        <v>1669436911</v>
      </c>
      <c r="B468" t="str">
        <f>"03519317"</f>
        <v>03519317</v>
      </c>
      <c r="C468" t="s">
        <v>5313</v>
      </c>
      <c r="D468" t="s">
        <v>5314</v>
      </c>
      <c r="E468" t="s">
        <v>5315</v>
      </c>
      <c r="G468" t="s">
        <v>5294</v>
      </c>
      <c r="H468" t="s">
        <v>2626</v>
      </c>
      <c r="J468" t="s">
        <v>5316</v>
      </c>
      <c r="L468" t="s">
        <v>247</v>
      </c>
      <c r="M468" t="s">
        <v>108</v>
      </c>
      <c r="R468" t="s">
        <v>5317</v>
      </c>
      <c r="W468" t="s">
        <v>5315</v>
      </c>
      <c r="X468" t="s">
        <v>302</v>
      </c>
      <c r="Y468" t="s">
        <v>293</v>
      </c>
      <c r="Z468" t="s">
        <v>111</v>
      </c>
      <c r="AA468" t="str">
        <f>"14850-1342"</f>
        <v>14850-1342</v>
      </c>
      <c r="AB468" t="s">
        <v>123</v>
      </c>
      <c r="AC468" t="s">
        <v>113</v>
      </c>
      <c r="AD468" t="s">
        <v>108</v>
      </c>
      <c r="AE468" t="s">
        <v>114</v>
      </c>
      <c r="AF468" t="s">
        <v>142</v>
      </c>
      <c r="AG468" t="s">
        <v>116</v>
      </c>
      <c r="AK468" t="str">
        <f t="shared" si="49"/>
        <v/>
      </c>
      <c r="AL468" t="s">
        <v>5314</v>
      </c>
      <c r="AM468">
        <v>1</v>
      </c>
      <c r="AN468">
        <v>1</v>
      </c>
      <c r="AO468">
        <v>0</v>
      </c>
      <c r="AP468">
        <v>0</v>
      </c>
      <c r="AQ468">
        <v>0</v>
      </c>
      <c r="AR468">
        <v>0</v>
      </c>
      <c r="AS468">
        <v>0</v>
      </c>
      <c r="AT468">
        <v>0</v>
      </c>
      <c r="AU468">
        <v>0</v>
      </c>
      <c r="AV468">
        <v>0</v>
      </c>
      <c r="AW468">
        <v>0</v>
      </c>
      <c r="AX468" s="24" t="str">
        <f t="shared" si="47"/>
        <v/>
      </c>
      <c r="AY468" s="24">
        <f t="shared" si="47"/>
        <v>1</v>
      </c>
      <c r="AZ468" s="24" t="str">
        <f t="shared" si="48"/>
        <v/>
      </c>
      <c r="BA468" s="24" t="str">
        <f t="shared" si="48"/>
        <v/>
      </c>
      <c r="BB468" s="24" t="str">
        <f t="shared" si="48"/>
        <v/>
      </c>
      <c r="BC468" s="24" t="str">
        <f t="shared" si="48"/>
        <v/>
      </c>
      <c r="BD468" s="24" t="str">
        <f t="shared" si="48"/>
        <v/>
      </c>
      <c r="BE468" s="24" t="str">
        <f t="shared" si="48"/>
        <v/>
      </c>
      <c r="BF468" s="24" t="str">
        <f t="shared" si="48"/>
        <v/>
      </c>
      <c r="BG468" s="24" t="str">
        <f t="shared" si="48"/>
        <v/>
      </c>
      <c r="BH468" s="24" t="str">
        <f t="shared" si="50"/>
        <v/>
      </c>
      <c r="BI468" s="24" t="str">
        <f t="shared" si="48"/>
        <v/>
      </c>
      <c r="BJ468" s="24" t="str">
        <f t="shared" si="51"/>
        <v/>
      </c>
    </row>
    <row r="469" spans="1:62" ht="15" customHeight="1" x14ac:dyDescent="0.25">
      <c r="A469" t="str">
        <f>"1194735134"</f>
        <v>1194735134</v>
      </c>
      <c r="B469" t="str">
        <f>"00734423"</f>
        <v>00734423</v>
      </c>
      <c r="C469" t="s">
        <v>5323</v>
      </c>
      <c r="D469" t="s">
        <v>5324</v>
      </c>
      <c r="E469" t="s">
        <v>5325</v>
      </c>
      <c r="G469" t="s">
        <v>5294</v>
      </c>
      <c r="H469" t="s">
        <v>2626</v>
      </c>
      <c r="J469" t="s">
        <v>5326</v>
      </c>
      <c r="L469" t="s">
        <v>6867</v>
      </c>
      <c r="M469" t="s">
        <v>108</v>
      </c>
      <c r="R469" t="s">
        <v>5327</v>
      </c>
      <c r="W469" t="s">
        <v>5325</v>
      </c>
      <c r="X469" t="s">
        <v>5328</v>
      </c>
      <c r="Y469" t="s">
        <v>927</v>
      </c>
      <c r="Z469" t="s">
        <v>111</v>
      </c>
      <c r="AA469" t="str">
        <f>"14901"</f>
        <v>14901</v>
      </c>
      <c r="AB469" t="s">
        <v>123</v>
      </c>
      <c r="AC469" t="s">
        <v>113</v>
      </c>
      <c r="AD469" t="s">
        <v>108</v>
      </c>
      <c r="AE469" t="s">
        <v>114</v>
      </c>
      <c r="AF469" t="s">
        <v>149</v>
      </c>
      <c r="AG469" t="s">
        <v>116</v>
      </c>
      <c r="AK469" t="str">
        <f t="shared" si="49"/>
        <v/>
      </c>
      <c r="AL469" t="s">
        <v>5324</v>
      </c>
      <c r="AM469">
        <v>1</v>
      </c>
      <c r="AN469">
        <v>1</v>
      </c>
      <c r="AO469">
        <v>0</v>
      </c>
      <c r="AP469">
        <v>0</v>
      </c>
      <c r="AQ469">
        <v>0</v>
      </c>
      <c r="AR469">
        <v>0</v>
      </c>
      <c r="AS469">
        <v>0</v>
      </c>
      <c r="AT469">
        <v>0</v>
      </c>
      <c r="AU469">
        <v>0</v>
      </c>
      <c r="AV469">
        <v>0</v>
      </c>
      <c r="AW469">
        <v>0</v>
      </c>
      <c r="AX469" s="24">
        <f t="shared" si="47"/>
        <v>1</v>
      </c>
      <c r="AY469" s="24">
        <f t="shared" si="47"/>
        <v>1</v>
      </c>
      <c r="AZ469" s="24" t="str">
        <f t="shared" si="48"/>
        <v/>
      </c>
      <c r="BA469" s="24" t="str">
        <f t="shared" si="48"/>
        <v/>
      </c>
      <c r="BB469" s="24" t="str">
        <f t="shared" si="48"/>
        <v/>
      </c>
      <c r="BC469" s="24" t="str">
        <f t="shared" si="48"/>
        <v/>
      </c>
      <c r="BD469" s="24" t="str">
        <f t="shared" si="48"/>
        <v/>
      </c>
      <c r="BE469" s="24" t="str">
        <f t="shared" si="48"/>
        <v/>
      </c>
      <c r="BF469" s="24" t="str">
        <f t="shared" si="48"/>
        <v/>
      </c>
      <c r="BG469" s="24" t="str">
        <f t="shared" si="48"/>
        <v/>
      </c>
      <c r="BH469" s="24" t="str">
        <f t="shared" si="50"/>
        <v/>
      </c>
      <c r="BI469" s="24">
        <f t="shared" si="48"/>
        <v>1</v>
      </c>
      <c r="BJ469" s="24" t="str">
        <f t="shared" si="51"/>
        <v/>
      </c>
    </row>
    <row r="470" spans="1:62" ht="15" customHeight="1" x14ac:dyDescent="0.25">
      <c r="A470" t="str">
        <f>"1841298015"</f>
        <v>1841298015</v>
      </c>
      <c r="B470" t="str">
        <f>"01865874"</f>
        <v>01865874</v>
      </c>
      <c r="C470" t="s">
        <v>3468</v>
      </c>
      <c r="D470" t="s">
        <v>3469</v>
      </c>
      <c r="E470" t="s">
        <v>3470</v>
      </c>
      <c r="L470" t="s">
        <v>120</v>
      </c>
      <c r="M470" t="s">
        <v>139</v>
      </c>
      <c r="R470" t="s">
        <v>3468</v>
      </c>
      <c r="W470" t="s">
        <v>3471</v>
      </c>
      <c r="X470" t="s">
        <v>3472</v>
      </c>
      <c r="Y470" t="s">
        <v>2122</v>
      </c>
      <c r="Z470" t="s">
        <v>111</v>
      </c>
      <c r="AA470" t="str">
        <f>"13856-1455"</f>
        <v>13856-1455</v>
      </c>
      <c r="AB470" t="s">
        <v>123</v>
      </c>
      <c r="AC470" t="s">
        <v>113</v>
      </c>
      <c r="AD470" t="s">
        <v>108</v>
      </c>
      <c r="AE470" t="s">
        <v>114</v>
      </c>
      <c r="AF470" t="s">
        <v>124</v>
      </c>
      <c r="AG470" t="s">
        <v>116</v>
      </c>
      <c r="AK470" t="str">
        <f t="shared" si="49"/>
        <v/>
      </c>
      <c r="AL470" t="s">
        <v>3469</v>
      </c>
      <c r="AM470">
        <v>1</v>
      </c>
      <c r="AN470">
        <v>1</v>
      </c>
      <c r="AO470">
        <v>0</v>
      </c>
      <c r="AP470">
        <v>1</v>
      </c>
      <c r="AQ470">
        <v>1</v>
      </c>
      <c r="AR470">
        <v>0</v>
      </c>
      <c r="AS470">
        <v>0</v>
      </c>
      <c r="AT470">
        <v>0</v>
      </c>
      <c r="AU470">
        <v>0</v>
      </c>
      <c r="AV470">
        <v>0</v>
      </c>
      <c r="AW470">
        <v>0</v>
      </c>
      <c r="AX470" s="24">
        <f t="shared" si="47"/>
        <v>1</v>
      </c>
      <c r="AY470" s="24" t="str">
        <f t="shared" si="47"/>
        <v/>
      </c>
      <c r="AZ470" s="24" t="str">
        <f t="shared" si="48"/>
        <v/>
      </c>
      <c r="BA470" s="24" t="str">
        <f t="shared" si="48"/>
        <v/>
      </c>
      <c r="BB470" s="24" t="str">
        <f t="shared" si="48"/>
        <v/>
      </c>
      <c r="BC470" s="24" t="str">
        <f t="shared" si="48"/>
        <v/>
      </c>
      <c r="BD470" s="24" t="str">
        <f t="shared" si="48"/>
        <v/>
      </c>
      <c r="BE470" s="24" t="str">
        <f t="shared" si="48"/>
        <v/>
      </c>
      <c r="BF470" s="24" t="str">
        <f t="shared" si="48"/>
        <v/>
      </c>
      <c r="BG470" s="24" t="str">
        <f t="shared" si="48"/>
        <v/>
      </c>
      <c r="BH470" s="24" t="str">
        <f t="shared" si="50"/>
        <v/>
      </c>
      <c r="BI470" s="24">
        <f t="shared" si="48"/>
        <v>1</v>
      </c>
      <c r="BJ470" s="24" t="str">
        <f t="shared" si="51"/>
        <v/>
      </c>
    </row>
    <row r="471" spans="1:62" ht="15" customHeight="1" x14ac:dyDescent="0.25">
      <c r="A471" t="str">
        <f>"1396743407"</f>
        <v>1396743407</v>
      </c>
      <c r="B471" t="str">
        <f>"01822637"</f>
        <v>01822637</v>
      </c>
      <c r="C471" t="s">
        <v>5138</v>
      </c>
      <c r="D471" t="s">
        <v>5139</v>
      </c>
      <c r="E471" t="s">
        <v>5140</v>
      </c>
      <c r="L471" t="s">
        <v>120</v>
      </c>
      <c r="M471" t="s">
        <v>139</v>
      </c>
      <c r="R471" t="s">
        <v>5138</v>
      </c>
      <c r="W471" t="s">
        <v>5140</v>
      </c>
      <c r="X471" t="s">
        <v>4564</v>
      </c>
      <c r="Y471" t="s">
        <v>2122</v>
      </c>
      <c r="Z471" t="s">
        <v>111</v>
      </c>
      <c r="AA471" t="str">
        <f>"13856-1455"</f>
        <v>13856-1455</v>
      </c>
      <c r="AB471" t="s">
        <v>123</v>
      </c>
      <c r="AC471" t="s">
        <v>113</v>
      </c>
      <c r="AD471" t="s">
        <v>108</v>
      </c>
      <c r="AE471" t="s">
        <v>114</v>
      </c>
      <c r="AF471" t="s">
        <v>124</v>
      </c>
      <c r="AG471" t="s">
        <v>116</v>
      </c>
      <c r="AK471" t="str">
        <f t="shared" si="49"/>
        <v/>
      </c>
      <c r="AL471" t="s">
        <v>5139</v>
      </c>
      <c r="AM471">
        <v>1</v>
      </c>
      <c r="AN471">
        <v>1</v>
      </c>
      <c r="AO471">
        <v>0</v>
      </c>
      <c r="AP471">
        <v>1</v>
      </c>
      <c r="AQ471">
        <v>1</v>
      </c>
      <c r="AR471">
        <v>0</v>
      </c>
      <c r="AS471">
        <v>0</v>
      </c>
      <c r="AT471">
        <v>0</v>
      </c>
      <c r="AU471">
        <v>0</v>
      </c>
      <c r="AV471">
        <v>0</v>
      </c>
      <c r="AW471">
        <v>0</v>
      </c>
      <c r="AX471" s="24">
        <f t="shared" si="47"/>
        <v>1</v>
      </c>
      <c r="AY471" s="24" t="str">
        <f t="shared" si="47"/>
        <v/>
      </c>
      <c r="AZ471" s="24" t="str">
        <f t="shared" si="48"/>
        <v/>
      </c>
      <c r="BA471" s="24" t="str">
        <f t="shared" si="48"/>
        <v/>
      </c>
      <c r="BB471" s="24" t="str">
        <f t="shared" si="48"/>
        <v/>
      </c>
      <c r="BC471" s="24" t="str">
        <f t="shared" si="48"/>
        <v/>
      </c>
      <c r="BD471" s="24" t="str">
        <f t="shared" si="48"/>
        <v/>
      </c>
      <c r="BE471" s="24" t="str">
        <f t="shared" si="48"/>
        <v/>
      </c>
      <c r="BF471" s="24" t="str">
        <f t="shared" si="48"/>
        <v/>
      </c>
      <c r="BG471" s="24" t="str">
        <f t="shared" si="48"/>
        <v/>
      </c>
      <c r="BH471" s="24" t="str">
        <f t="shared" si="50"/>
        <v/>
      </c>
      <c r="BI471" s="24">
        <f t="shared" si="48"/>
        <v>1</v>
      </c>
      <c r="BJ471" s="24" t="str">
        <f t="shared" si="51"/>
        <v/>
      </c>
    </row>
    <row r="472" spans="1:62" ht="15" customHeight="1" x14ac:dyDescent="0.25">
      <c r="A472" t="str">
        <f>"1508278789"</f>
        <v>1508278789</v>
      </c>
      <c r="B472" t="str">
        <f>"03922245"</f>
        <v>03922245</v>
      </c>
      <c r="C472" t="s">
        <v>6629</v>
      </c>
      <c r="D472" t="s">
        <v>6630</v>
      </c>
      <c r="E472" t="s">
        <v>6631</v>
      </c>
      <c r="G472" t="s">
        <v>6279</v>
      </c>
      <c r="H472" t="s">
        <v>5843</v>
      </c>
      <c r="J472" t="s">
        <v>6280</v>
      </c>
      <c r="L472" t="s">
        <v>6867</v>
      </c>
      <c r="M472" t="s">
        <v>108</v>
      </c>
      <c r="R472" t="s">
        <v>6632</v>
      </c>
      <c r="W472" t="s">
        <v>6631</v>
      </c>
      <c r="X472" t="s">
        <v>2759</v>
      </c>
      <c r="Y472" t="s">
        <v>293</v>
      </c>
      <c r="Z472" t="s">
        <v>111</v>
      </c>
      <c r="AA472" t="str">
        <f>"14850-1863"</f>
        <v>14850-1863</v>
      </c>
      <c r="AB472" t="s">
        <v>123</v>
      </c>
      <c r="AC472" t="s">
        <v>113</v>
      </c>
      <c r="AD472" t="s">
        <v>108</v>
      </c>
      <c r="AE472" t="s">
        <v>114</v>
      </c>
      <c r="AF472" t="s">
        <v>142</v>
      </c>
      <c r="AG472" t="s">
        <v>116</v>
      </c>
      <c r="AK472" t="str">
        <f t="shared" si="49"/>
        <v>French Robin</v>
      </c>
      <c r="AL472" t="s">
        <v>6630</v>
      </c>
      <c r="AM472" t="s">
        <v>108</v>
      </c>
      <c r="AN472" t="s">
        <v>108</v>
      </c>
      <c r="AO472" t="s">
        <v>108</v>
      </c>
      <c r="AP472" t="s">
        <v>108</v>
      </c>
      <c r="AQ472" t="s">
        <v>108</v>
      </c>
      <c r="AR472" t="s">
        <v>108</v>
      </c>
      <c r="AS472" t="s">
        <v>108</v>
      </c>
      <c r="AT472" t="s">
        <v>108</v>
      </c>
      <c r="AU472">
        <v>1</v>
      </c>
      <c r="AV472" t="s">
        <v>108</v>
      </c>
      <c r="AW472" t="s">
        <v>108</v>
      </c>
      <c r="AX472" s="24">
        <f t="shared" si="47"/>
        <v>1</v>
      </c>
      <c r="AY472" s="24">
        <f t="shared" si="47"/>
        <v>1</v>
      </c>
      <c r="AZ472" s="24" t="str">
        <f t="shared" si="48"/>
        <v/>
      </c>
      <c r="BA472" s="24" t="str">
        <f t="shared" si="48"/>
        <v/>
      </c>
      <c r="BB472" s="24" t="str">
        <f t="shared" si="48"/>
        <v/>
      </c>
      <c r="BC472" s="24" t="str">
        <f t="shared" si="48"/>
        <v/>
      </c>
      <c r="BD472" s="24" t="str">
        <f t="shared" si="48"/>
        <v/>
      </c>
      <c r="BE472" s="24" t="str">
        <f t="shared" si="48"/>
        <v/>
      </c>
      <c r="BF472" s="24" t="str">
        <f t="shared" ref="AZ472:BI498" si="52">IF(ISERROR(FIND(BF$1,$L472,1)),"",1)</f>
        <v/>
      </c>
      <c r="BG472" s="24" t="str">
        <f t="shared" si="52"/>
        <v/>
      </c>
      <c r="BH472" s="24" t="str">
        <f t="shared" si="50"/>
        <v/>
      </c>
      <c r="BI472" s="24">
        <f t="shared" si="52"/>
        <v>1</v>
      </c>
      <c r="BJ472" s="24" t="str">
        <f t="shared" si="51"/>
        <v/>
      </c>
    </row>
    <row r="473" spans="1:62" ht="15" customHeight="1" x14ac:dyDescent="0.25">
      <c r="C473" t="s">
        <v>5207</v>
      </c>
      <c r="G473" t="s">
        <v>5208</v>
      </c>
      <c r="H473" t="s">
        <v>5209</v>
      </c>
      <c r="J473" t="s">
        <v>5210</v>
      </c>
      <c r="K473" t="s">
        <v>1289</v>
      </c>
      <c r="L473" t="s">
        <v>781</v>
      </c>
      <c r="M473" t="s">
        <v>108</v>
      </c>
      <c r="N473" t="s">
        <v>5211</v>
      </c>
      <c r="O473" t="s">
        <v>5212</v>
      </c>
      <c r="P473" t="s">
        <v>111</v>
      </c>
      <c r="Q473" t="str">
        <f>"13820"</f>
        <v>13820</v>
      </c>
      <c r="AC473" t="s">
        <v>113</v>
      </c>
      <c r="AD473" t="s">
        <v>108</v>
      </c>
      <c r="AE473" t="s">
        <v>784</v>
      </c>
      <c r="AF473" t="s">
        <v>124</v>
      </c>
      <c r="AG473" t="s">
        <v>116</v>
      </c>
      <c r="AK473" t="str">
        <f t="shared" si="49"/>
        <v>Friends of Recovery Delaware and Otsego</v>
      </c>
      <c r="AM473" t="s">
        <v>108</v>
      </c>
      <c r="AN473" t="s">
        <v>108</v>
      </c>
      <c r="AO473" t="s">
        <v>108</v>
      </c>
      <c r="AP473" t="s">
        <v>108</v>
      </c>
      <c r="AQ473" t="s">
        <v>108</v>
      </c>
      <c r="AR473" t="s">
        <v>108</v>
      </c>
      <c r="AS473" t="s">
        <v>108</v>
      </c>
      <c r="AT473" t="s">
        <v>108</v>
      </c>
      <c r="AU473">
        <v>0</v>
      </c>
      <c r="AV473" t="s">
        <v>108</v>
      </c>
      <c r="AW473" t="s">
        <v>108</v>
      </c>
      <c r="AX473" s="24" t="str">
        <f t="shared" si="47"/>
        <v/>
      </c>
      <c r="AY473" s="24" t="str">
        <f t="shared" si="47"/>
        <v/>
      </c>
      <c r="AZ473" s="24" t="str">
        <f t="shared" si="52"/>
        <v/>
      </c>
      <c r="BA473" s="24" t="str">
        <f t="shared" si="52"/>
        <v/>
      </c>
      <c r="BB473" s="24" t="str">
        <f t="shared" si="52"/>
        <v/>
      </c>
      <c r="BC473" s="24" t="str">
        <f t="shared" si="52"/>
        <v/>
      </c>
      <c r="BD473" s="24" t="str">
        <f t="shared" si="52"/>
        <v/>
      </c>
      <c r="BE473" s="24" t="str">
        <f t="shared" si="52"/>
        <v/>
      </c>
      <c r="BF473" s="24" t="str">
        <f t="shared" si="52"/>
        <v/>
      </c>
      <c r="BG473" s="24" t="str">
        <f t="shared" si="52"/>
        <v/>
      </c>
      <c r="BH473" s="24">
        <f t="shared" si="50"/>
        <v>1</v>
      </c>
      <c r="BI473" s="24" t="str">
        <f t="shared" si="52"/>
        <v/>
      </c>
      <c r="BJ473" s="24" t="str">
        <f t="shared" si="51"/>
        <v/>
      </c>
    </row>
    <row r="474" spans="1:62" ht="15" customHeight="1" x14ac:dyDescent="0.25">
      <c r="A474" t="str">
        <f>"1508947540"</f>
        <v>1508947540</v>
      </c>
      <c r="B474" t="str">
        <f>"02905860"</f>
        <v>02905860</v>
      </c>
      <c r="C474" t="s">
        <v>4014</v>
      </c>
      <c r="D474" t="s">
        <v>4015</v>
      </c>
      <c r="E474" t="s">
        <v>4014</v>
      </c>
      <c r="G474" t="s">
        <v>699</v>
      </c>
      <c r="H474" t="s">
        <v>700</v>
      </c>
      <c r="J474" t="s">
        <v>701</v>
      </c>
      <c r="L474" t="s">
        <v>120</v>
      </c>
      <c r="M474" t="s">
        <v>108</v>
      </c>
      <c r="R474" t="s">
        <v>4016</v>
      </c>
      <c r="W474" t="s">
        <v>4014</v>
      </c>
      <c r="X474" t="s">
        <v>156</v>
      </c>
      <c r="Y474" t="s">
        <v>157</v>
      </c>
      <c r="Z474" t="s">
        <v>111</v>
      </c>
      <c r="AA474" t="str">
        <f>"14830-2911"</f>
        <v>14830-2911</v>
      </c>
      <c r="AB474" t="s">
        <v>123</v>
      </c>
      <c r="AC474" t="s">
        <v>113</v>
      </c>
      <c r="AD474" t="s">
        <v>108</v>
      </c>
      <c r="AE474" t="s">
        <v>114</v>
      </c>
      <c r="AF474" t="s">
        <v>149</v>
      </c>
      <c r="AG474" t="s">
        <v>116</v>
      </c>
      <c r="AK474" t="str">
        <f t="shared" si="49"/>
        <v/>
      </c>
      <c r="AL474" t="s">
        <v>4015</v>
      </c>
      <c r="AM474">
        <v>1</v>
      </c>
      <c r="AN474">
        <v>1</v>
      </c>
      <c r="AO474">
        <v>0</v>
      </c>
      <c r="AP474">
        <v>0</v>
      </c>
      <c r="AQ474">
        <v>0</v>
      </c>
      <c r="AR474">
        <v>0</v>
      </c>
      <c r="AS474">
        <v>0</v>
      </c>
      <c r="AT474">
        <v>1</v>
      </c>
      <c r="AU474">
        <v>1</v>
      </c>
      <c r="AV474">
        <v>1</v>
      </c>
      <c r="AW474">
        <v>0</v>
      </c>
      <c r="AX474" s="24">
        <f t="shared" si="47"/>
        <v>1</v>
      </c>
      <c r="AY474" s="24" t="str">
        <f t="shared" si="47"/>
        <v/>
      </c>
      <c r="AZ474" s="24" t="str">
        <f t="shared" si="52"/>
        <v/>
      </c>
      <c r="BA474" s="24" t="str">
        <f t="shared" si="52"/>
        <v/>
      </c>
      <c r="BB474" s="24" t="str">
        <f t="shared" si="52"/>
        <v/>
      </c>
      <c r="BC474" s="24" t="str">
        <f t="shared" si="52"/>
        <v/>
      </c>
      <c r="BD474" s="24" t="str">
        <f t="shared" si="52"/>
        <v/>
      </c>
      <c r="BE474" s="24" t="str">
        <f t="shared" si="52"/>
        <v/>
      </c>
      <c r="BF474" s="24" t="str">
        <f t="shared" si="52"/>
        <v/>
      </c>
      <c r="BG474" s="24" t="str">
        <f t="shared" si="52"/>
        <v/>
      </c>
      <c r="BH474" s="24" t="str">
        <f t="shared" si="50"/>
        <v/>
      </c>
      <c r="BI474" s="24">
        <f t="shared" si="52"/>
        <v>1</v>
      </c>
      <c r="BJ474" s="24" t="str">
        <f t="shared" si="51"/>
        <v/>
      </c>
    </row>
    <row r="475" spans="1:62" ht="15" customHeight="1" x14ac:dyDescent="0.25">
      <c r="A475" t="str">
        <f>"1700887254"</f>
        <v>1700887254</v>
      </c>
      <c r="B475" t="str">
        <f>"01078091"</f>
        <v>01078091</v>
      </c>
      <c r="C475" t="s">
        <v>2451</v>
      </c>
      <c r="D475" t="s">
        <v>2452</v>
      </c>
      <c r="E475" t="s">
        <v>2453</v>
      </c>
      <c r="L475" t="s">
        <v>120</v>
      </c>
      <c r="M475" t="s">
        <v>108</v>
      </c>
      <c r="R475" t="s">
        <v>2451</v>
      </c>
      <c r="W475" t="s">
        <v>2453</v>
      </c>
      <c r="X475" t="s">
        <v>128</v>
      </c>
      <c r="Y475" t="s">
        <v>129</v>
      </c>
      <c r="Z475" t="s">
        <v>111</v>
      </c>
      <c r="AA475" t="str">
        <f>"13790-2544"</f>
        <v>13790-2544</v>
      </c>
      <c r="AB475" t="s">
        <v>123</v>
      </c>
      <c r="AC475" t="s">
        <v>113</v>
      </c>
      <c r="AD475" t="s">
        <v>108</v>
      </c>
      <c r="AE475" t="s">
        <v>114</v>
      </c>
      <c r="AF475" t="s">
        <v>115</v>
      </c>
      <c r="AG475" t="s">
        <v>116</v>
      </c>
      <c r="AK475" t="str">
        <f t="shared" si="49"/>
        <v/>
      </c>
      <c r="AL475" t="s">
        <v>2452</v>
      </c>
      <c r="AM475">
        <v>1</v>
      </c>
      <c r="AN475">
        <v>1</v>
      </c>
      <c r="AO475">
        <v>0</v>
      </c>
      <c r="AP475">
        <v>1</v>
      </c>
      <c r="AQ475">
        <v>1</v>
      </c>
      <c r="AR475">
        <v>0</v>
      </c>
      <c r="AS475">
        <v>0</v>
      </c>
      <c r="AT475">
        <v>0</v>
      </c>
      <c r="AU475">
        <v>1</v>
      </c>
      <c r="AV475">
        <v>0</v>
      </c>
      <c r="AW475">
        <v>0</v>
      </c>
      <c r="AX475" s="24">
        <f t="shared" si="47"/>
        <v>1</v>
      </c>
      <c r="AY475" s="24" t="str">
        <f t="shared" si="47"/>
        <v/>
      </c>
      <c r="AZ475" s="24" t="str">
        <f t="shared" si="52"/>
        <v/>
      </c>
      <c r="BA475" s="24" t="str">
        <f t="shared" si="52"/>
        <v/>
      </c>
      <c r="BB475" s="24" t="str">
        <f t="shared" si="52"/>
        <v/>
      </c>
      <c r="BC475" s="24" t="str">
        <f t="shared" si="52"/>
        <v/>
      </c>
      <c r="BD475" s="24" t="str">
        <f t="shared" si="52"/>
        <v/>
      </c>
      <c r="BE475" s="24" t="str">
        <f t="shared" si="52"/>
        <v/>
      </c>
      <c r="BF475" s="24" t="str">
        <f t="shared" si="52"/>
        <v/>
      </c>
      <c r="BG475" s="24" t="str">
        <f t="shared" si="52"/>
        <v/>
      </c>
      <c r="BH475" s="24" t="str">
        <f t="shared" si="50"/>
        <v/>
      </c>
      <c r="BI475" s="24">
        <f t="shared" si="52"/>
        <v>1</v>
      </c>
      <c r="BJ475" s="24" t="str">
        <f t="shared" si="51"/>
        <v/>
      </c>
    </row>
    <row r="476" spans="1:62" ht="15" customHeight="1" x14ac:dyDescent="0.25">
      <c r="A476" t="str">
        <f>"1104090232"</f>
        <v>1104090232</v>
      </c>
      <c r="B476" t="str">
        <f>"03355662"</f>
        <v>03355662</v>
      </c>
      <c r="C476" t="s">
        <v>2903</v>
      </c>
      <c r="D476" t="s">
        <v>2904</v>
      </c>
      <c r="E476" t="s">
        <v>2905</v>
      </c>
      <c r="L476" t="s">
        <v>138</v>
      </c>
      <c r="M476" t="s">
        <v>108</v>
      </c>
      <c r="R476" t="s">
        <v>2903</v>
      </c>
      <c r="W476" t="s">
        <v>2905</v>
      </c>
      <c r="X476" t="s">
        <v>821</v>
      </c>
      <c r="Y476" t="s">
        <v>110</v>
      </c>
      <c r="Z476" t="s">
        <v>111</v>
      </c>
      <c r="AA476" t="str">
        <f>"13903-1619"</f>
        <v>13903-1619</v>
      </c>
      <c r="AB476" t="s">
        <v>123</v>
      </c>
      <c r="AC476" t="s">
        <v>113</v>
      </c>
      <c r="AD476" t="s">
        <v>108</v>
      </c>
      <c r="AE476" t="s">
        <v>114</v>
      </c>
      <c r="AF476" t="s">
        <v>115</v>
      </c>
      <c r="AG476" t="s">
        <v>116</v>
      </c>
      <c r="AK476" t="str">
        <f t="shared" si="49"/>
        <v/>
      </c>
      <c r="AL476" t="s">
        <v>2904</v>
      </c>
      <c r="AM476">
        <v>1</v>
      </c>
      <c r="AN476">
        <v>1</v>
      </c>
      <c r="AO476">
        <v>0</v>
      </c>
      <c r="AP476">
        <v>1</v>
      </c>
      <c r="AQ476">
        <v>1</v>
      </c>
      <c r="AR476">
        <v>0</v>
      </c>
      <c r="AS476">
        <v>0</v>
      </c>
      <c r="AT476">
        <v>0</v>
      </c>
      <c r="AU476">
        <v>0</v>
      </c>
      <c r="AV476">
        <v>0</v>
      </c>
      <c r="AW476">
        <v>0</v>
      </c>
      <c r="AX476" s="24" t="str">
        <f t="shared" si="47"/>
        <v/>
      </c>
      <c r="AY476" s="24">
        <f t="shared" si="47"/>
        <v>1</v>
      </c>
      <c r="AZ476" s="24" t="str">
        <f t="shared" si="52"/>
        <v/>
      </c>
      <c r="BA476" s="24" t="str">
        <f t="shared" si="52"/>
        <v/>
      </c>
      <c r="BB476" s="24" t="str">
        <f t="shared" si="52"/>
        <v/>
      </c>
      <c r="BC476" s="24" t="str">
        <f t="shared" si="52"/>
        <v/>
      </c>
      <c r="BD476" s="24" t="str">
        <f t="shared" si="52"/>
        <v/>
      </c>
      <c r="BE476" s="24" t="str">
        <f t="shared" si="52"/>
        <v/>
      </c>
      <c r="BF476" s="24" t="str">
        <f t="shared" si="52"/>
        <v/>
      </c>
      <c r="BG476" s="24" t="str">
        <f t="shared" si="52"/>
        <v/>
      </c>
      <c r="BH476" s="24" t="str">
        <f t="shared" si="50"/>
        <v/>
      </c>
      <c r="BI476" s="24">
        <f t="shared" si="52"/>
        <v>1</v>
      </c>
      <c r="BJ476" s="24" t="str">
        <f t="shared" si="51"/>
        <v/>
      </c>
    </row>
    <row r="477" spans="1:62" ht="15" customHeight="1" x14ac:dyDescent="0.25">
      <c r="A477" t="str">
        <f>"1003817057"</f>
        <v>1003817057</v>
      </c>
      <c r="B477" t="str">
        <f>"01348874"</f>
        <v>01348874</v>
      </c>
      <c r="C477" t="s">
        <v>6866</v>
      </c>
      <c r="D477" t="s">
        <v>7163</v>
      </c>
      <c r="E477" t="s">
        <v>7023</v>
      </c>
      <c r="G477" t="s">
        <v>6330</v>
      </c>
      <c r="H477" t="s">
        <v>6331</v>
      </c>
      <c r="J477" t="s">
        <v>6332</v>
      </c>
      <c r="L477" t="s">
        <v>120</v>
      </c>
      <c r="M477" t="s">
        <v>108</v>
      </c>
      <c r="R477" t="s">
        <v>6866</v>
      </c>
      <c r="W477" t="s">
        <v>7023</v>
      </c>
      <c r="X477" t="s">
        <v>134</v>
      </c>
      <c r="Y477" t="s">
        <v>129</v>
      </c>
      <c r="Z477" t="s">
        <v>111</v>
      </c>
      <c r="AA477" t="str">
        <f>"13790-2558"</f>
        <v>13790-2558</v>
      </c>
      <c r="AB477" t="s">
        <v>123</v>
      </c>
      <c r="AC477" t="s">
        <v>113</v>
      </c>
      <c r="AD477" t="s">
        <v>108</v>
      </c>
      <c r="AE477" t="s">
        <v>114</v>
      </c>
      <c r="AF477" t="s">
        <v>115</v>
      </c>
      <c r="AG477" t="s">
        <v>116</v>
      </c>
      <c r="AK477" t="str">
        <f t="shared" si="49"/>
        <v>GALLAGHER KEVIN</v>
      </c>
      <c r="AL477" t="s">
        <v>7163</v>
      </c>
      <c r="AM477" t="s">
        <v>108</v>
      </c>
      <c r="AN477" t="s">
        <v>108</v>
      </c>
      <c r="AO477" t="s">
        <v>108</v>
      </c>
      <c r="AP477" t="s">
        <v>108</v>
      </c>
      <c r="AQ477" t="s">
        <v>108</v>
      </c>
      <c r="AR477" t="s">
        <v>108</v>
      </c>
      <c r="AS477" t="s">
        <v>108</v>
      </c>
      <c r="AT477" t="s">
        <v>108</v>
      </c>
      <c r="AU477">
        <v>1</v>
      </c>
      <c r="AV477" t="s">
        <v>108</v>
      </c>
      <c r="AW477" t="s">
        <v>108</v>
      </c>
      <c r="AX477" s="24">
        <f t="shared" si="47"/>
        <v>1</v>
      </c>
      <c r="AY477" s="24" t="str">
        <f t="shared" si="47"/>
        <v/>
      </c>
      <c r="AZ477" s="24" t="str">
        <f t="shared" si="52"/>
        <v/>
      </c>
      <c r="BA477" s="24" t="str">
        <f t="shared" si="52"/>
        <v/>
      </c>
      <c r="BB477" s="24" t="str">
        <f t="shared" si="52"/>
        <v/>
      </c>
      <c r="BC477" s="24" t="str">
        <f t="shared" si="52"/>
        <v/>
      </c>
      <c r="BD477" s="24" t="str">
        <f t="shared" si="52"/>
        <v/>
      </c>
      <c r="BE477" s="24" t="str">
        <f t="shared" si="52"/>
        <v/>
      </c>
      <c r="BF477" s="24" t="str">
        <f t="shared" si="52"/>
        <v/>
      </c>
      <c r="BG477" s="24" t="str">
        <f t="shared" si="52"/>
        <v/>
      </c>
      <c r="BH477" s="24" t="str">
        <f t="shared" si="50"/>
        <v/>
      </c>
      <c r="BI477" s="24">
        <f t="shared" si="52"/>
        <v>1</v>
      </c>
      <c r="BJ477" s="24" t="str">
        <f t="shared" si="51"/>
        <v/>
      </c>
    </row>
    <row r="478" spans="1:62" ht="15" customHeight="1" x14ac:dyDescent="0.25">
      <c r="A478" t="str">
        <f>"1346330008"</f>
        <v>1346330008</v>
      </c>
      <c r="B478" t="str">
        <f>"02290568"</f>
        <v>02290568</v>
      </c>
      <c r="C478" t="s">
        <v>1835</v>
      </c>
      <c r="D478" t="s">
        <v>1836</v>
      </c>
      <c r="E478" t="s">
        <v>1837</v>
      </c>
      <c r="G478" t="s">
        <v>815</v>
      </c>
      <c r="H478" t="s">
        <v>816</v>
      </c>
      <c r="J478" t="s">
        <v>817</v>
      </c>
      <c r="L478" t="s">
        <v>120</v>
      </c>
      <c r="M478" t="s">
        <v>139</v>
      </c>
      <c r="R478" t="s">
        <v>1835</v>
      </c>
      <c r="W478" t="s">
        <v>1837</v>
      </c>
      <c r="X478" t="s">
        <v>1830</v>
      </c>
      <c r="Y478" t="s">
        <v>110</v>
      </c>
      <c r="Z478" t="s">
        <v>111</v>
      </c>
      <c r="AA478" t="str">
        <f>"13903-1772"</f>
        <v>13903-1772</v>
      </c>
      <c r="AB478" t="s">
        <v>123</v>
      </c>
      <c r="AC478" t="s">
        <v>113</v>
      </c>
      <c r="AD478" t="s">
        <v>108</v>
      </c>
      <c r="AE478" t="s">
        <v>114</v>
      </c>
      <c r="AF478" t="s">
        <v>115</v>
      </c>
      <c r="AG478" t="s">
        <v>116</v>
      </c>
      <c r="AK478" t="str">
        <f t="shared" si="49"/>
        <v/>
      </c>
      <c r="AL478" t="s">
        <v>1836</v>
      </c>
      <c r="AM478">
        <v>0</v>
      </c>
      <c r="AN478">
        <v>0</v>
      </c>
      <c r="AO478">
        <v>0</v>
      </c>
      <c r="AP478">
        <v>0</v>
      </c>
      <c r="AQ478">
        <v>0</v>
      </c>
      <c r="AR478">
        <v>0</v>
      </c>
      <c r="AS478">
        <v>0</v>
      </c>
      <c r="AT478">
        <v>0</v>
      </c>
      <c r="AU478">
        <v>0</v>
      </c>
      <c r="AV478">
        <v>0</v>
      </c>
      <c r="AW478">
        <v>0</v>
      </c>
      <c r="AX478" s="24">
        <f t="shared" si="47"/>
        <v>1</v>
      </c>
      <c r="AY478" s="24" t="str">
        <f t="shared" si="47"/>
        <v/>
      </c>
      <c r="AZ478" s="24" t="str">
        <f t="shared" si="52"/>
        <v/>
      </c>
      <c r="BA478" s="24" t="str">
        <f t="shared" si="52"/>
        <v/>
      </c>
      <c r="BB478" s="24" t="str">
        <f t="shared" si="52"/>
        <v/>
      </c>
      <c r="BC478" s="24" t="str">
        <f t="shared" si="52"/>
        <v/>
      </c>
      <c r="BD478" s="24" t="str">
        <f t="shared" si="52"/>
        <v/>
      </c>
      <c r="BE478" s="24" t="str">
        <f t="shared" si="52"/>
        <v/>
      </c>
      <c r="BF478" s="24" t="str">
        <f t="shared" si="52"/>
        <v/>
      </c>
      <c r="BG478" s="24" t="str">
        <f t="shared" si="52"/>
        <v/>
      </c>
      <c r="BH478" s="24" t="str">
        <f t="shared" si="50"/>
        <v/>
      </c>
      <c r="BI478" s="24">
        <f t="shared" si="52"/>
        <v>1</v>
      </c>
      <c r="BJ478" s="24" t="str">
        <f t="shared" si="51"/>
        <v/>
      </c>
    </row>
    <row r="479" spans="1:62" ht="15" customHeight="1" x14ac:dyDescent="0.25">
      <c r="A479" t="str">
        <f>"1265408090"</f>
        <v>1265408090</v>
      </c>
      <c r="B479" t="str">
        <f>"01961504"</f>
        <v>01961504</v>
      </c>
      <c r="C479" t="s">
        <v>4017</v>
      </c>
      <c r="D479" t="s">
        <v>4018</v>
      </c>
      <c r="E479" t="s">
        <v>4017</v>
      </c>
      <c r="G479" t="s">
        <v>699</v>
      </c>
      <c r="H479" t="s">
        <v>700</v>
      </c>
      <c r="J479" t="s">
        <v>701</v>
      </c>
      <c r="L479" t="s">
        <v>120</v>
      </c>
      <c r="M479" t="s">
        <v>108</v>
      </c>
      <c r="R479" t="s">
        <v>4019</v>
      </c>
      <c r="W479" t="s">
        <v>4017</v>
      </c>
      <c r="X479" t="s">
        <v>543</v>
      </c>
      <c r="Y479" t="s">
        <v>293</v>
      </c>
      <c r="Z479" t="s">
        <v>111</v>
      </c>
      <c r="AA479" t="str">
        <f>"14850-9105"</f>
        <v>14850-9105</v>
      </c>
      <c r="AB479" t="s">
        <v>123</v>
      </c>
      <c r="AC479" t="s">
        <v>113</v>
      </c>
      <c r="AD479" t="s">
        <v>108</v>
      </c>
      <c r="AE479" t="s">
        <v>114</v>
      </c>
      <c r="AF479" t="s">
        <v>142</v>
      </c>
      <c r="AG479" t="s">
        <v>116</v>
      </c>
      <c r="AK479" t="str">
        <f t="shared" si="49"/>
        <v/>
      </c>
      <c r="AL479" t="s">
        <v>4018</v>
      </c>
      <c r="AM479">
        <v>1</v>
      </c>
      <c r="AN479">
        <v>1</v>
      </c>
      <c r="AO479">
        <v>0</v>
      </c>
      <c r="AP479">
        <v>0</v>
      </c>
      <c r="AQ479">
        <v>0</v>
      </c>
      <c r="AR479">
        <v>0</v>
      </c>
      <c r="AS479">
        <v>0</v>
      </c>
      <c r="AT479">
        <v>0</v>
      </c>
      <c r="AU479">
        <v>0</v>
      </c>
      <c r="AV479">
        <v>0</v>
      </c>
      <c r="AW479">
        <v>0</v>
      </c>
      <c r="AX479" s="24">
        <f t="shared" si="47"/>
        <v>1</v>
      </c>
      <c r="AY479" s="24" t="str">
        <f t="shared" si="47"/>
        <v/>
      </c>
      <c r="AZ479" s="24" t="str">
        <f t="shared" si="52"/>
        <v/>
      </c>
      <c r="BA479" s="24" t="str">
        <f t="shared" si="52"/>
        <v/>
      </c>
      <c r="BB479" s="24" t="str">
        <f t="shared" si="52"/>
        <v/>
      </c>
      <c r="BC479" s="24" t="str">
        <f t="shared" si="52"/>
        <v/>
      </c>
      <c r="BD479" s="24" t="str">
        <f t="shared" si="52"/>
        <v/>
      </c>
      <c r="BE479" s="24" t="str">
        <f t="shared" si="52"/>
        <v/>
      </c>
      <c r="BF479" s="24" t="str">
        <f t="shared" si="52"/>
        <v/>
      </c>
      <c r="BG479" s="24" t="str">
        <f t="shared" si="52"/>
        <v/>
      </c>
      <c r="BH479" s="24" t="str">
        <f t="shared" si="50"/>
        <v/>
      </c>
      <c r="BI479" s="24">
        <f t="shared" si="52"/>
        <v>1</v>
      </c>
      <c r="BJ479" s="24" t="str">
        <f t="shared" si="51"/>
        <v/>
      </c>
    </row>
    <row r="480" spans="1:62" ht="15" customHeight="1" x14ac:dyDescent="0.25">
      <c r="A480" t="str">
        <f>"1891135851"</f>
        <v>1891135851</v>
      </c>
      <c r="B480" t="str">
        <f>"04547655"</f>
        <v>04547655</v>
      </c>
      <c r="C480" t="s">
        <v>6618</v>
      </c>
      <c r="D480" t="s">
        <v>6619</v>
      </c>
      <c r="E480" t="s">
        <v>6620</v>
      </c>
      <c r="G480" t="s">
        <v>6507</v>
      </c>
      <c r="H480" t="s">
        <v>6508</v>
      </c>
      <c r="J480" t="s">
        <v>6509</v>
      </c>
      <c r="L480" t="s">
        <v>120</v>
      </c>
      <c r="M480" t="s">
        <v>108</v>
      </c>
      <c r="R480" t="s">
        <v>6620</v>
      </c>
      <c r="W480" t="s">
        <v>6620</v>
      </c>
      <c r="AB480" t="s">
        <v>123</v>
      </c>
      <c r="AC480" t="s">
        <v>113</v>
      </c>
      <c r="AD480" t="s">
        <v>108</v>
      </c>
      <c r="AE480" t="s">
        <v>114</v>
      </c>
      <c r="AF480" t="s">
        <v>149</v>
      </c>
      <c r="AG480" t="s">
        <v>116</v>
      </c>
      <c r="AK480" t="str">
        <f t="shared" si="49"/>
        <v>Gandhi Foram</v>
      </c>
      <c r="AL480" t="s">
        <v>6619</v>
      </c>
      <c r="AM480" t="s">
        <v>108</v>
      </c>
      <c r="AN480" t="s">
        <v>108</v>
      </c>
      <c r="AO480" t="s">
        <v>108</v>
      </c>
      <c r="AP480" t="s">
        <v>108</v>
      </c>
      <c r="AQ480" t="s">
        <v>108</v>
      </c>
      <c r="AR480" t="s">
        <v>108</v>
      </c>
      <c r="AS480" t="s">
        <v>108</v>
      </c>
      <c r="AT480" t="s">
        <v>108</v>
      </c>
      <c r="AU480">
        <v>0</v>
      </c>
      <c r="AV480" t="s">
        <v>108</v>
      </c>
      <c r="AW480" t="s">
        <v>108</v>
      </c>
      <c r="AX480" s="24">
        <f t="shared" si="47"/>
        <v>1</v>
      </c>
      <c r="AY480" s="24" t="str">
        <f t="shared" si="47"/>
        <v/>
      </c>
      <c r="AZ480" s="24" t="str">
        <f t="shared" si="52"/>
        <v/>
      </c>
      <c r="BA480" s="24" t="str">
        <f t="shared" si="52"/>
        <v/>
      </c>
      <c r="BB480" s="24" t="str">
        <f t="shared" si="52"/>
        <v/>
      </c>
      <c r="BC480" s="24" t="str">
        <f t="shared" si="52"/>
        <v/>
      </c>
      <c r="BD480" s="24" t="str">
        <f t="shared" si="52"/>
        <v/>
      </c>
      <c r="BE480" s="24" t="str">
        <f t="shared" si="52"/>
        <v/>
      </c>
      <c r="BF480" s="24" t="str">
        <f t="shared" si="52"/>
        <v/>
      </c>
      <c r="BG480" s="24" t="str">
        <f t="shared" si="52"/>
        <v/>
      </c>
      <c r="BH480" s="24" t="str">
        <f t="shared" si="50"/>
        <v/>
      </c>
      <c r="BI480" s="24">
        <f t="shared" si="52"/>
        <v>1</v>
      </c>
      <c r="BJ480" s="24" t="str">
        <f t="shared" si="51"/>
        <v/>
      </c>
    </row>
    <row r="481" spans="1:62" ht="15" customHeight="1" x14ac:dyDescent="0.25">
      <c r="A481" t="str">
        <f>"1023093184"</f>
        <v>1023093184</v>
      </c>
      <c r="B481" t="str">
        <f>"02901673"</f>
        <v>02901673</v>
      </c>
      <c r="C481" t="s">
        <v>1437</v>
      </c>
      <c r="D481" t="s">
        <v>1438</v>
      </c>
      <c r="E481" t="s">
        <v>1439</v>
      </c>
      <c r="G481" t="s">
        <v>1437</v>
      </c>
      <c r="H481" t="s">
        <v>467</v>
      </c>
      <c r="J481" t="s">
        <v>1440</v>
      </c>
      <c r="L481" t="s">
        <v>138</v>
      </c>
      <c r="M481" t="s">
        <v>108</v>
      </c>
      <c r="R481" t="s">
        <v>1441</v>
      </c>
      <c r="W481" t="s">
        <v>1439</v>
      </c>
      <c r="X481" t="s">
        <v>406</v>
      </c>
      <c r="Y481" t="s">
        <v>129</v>
      </c>
      <c r="Z481" t="s">
        <v>111</v>
      </c>
      <c r="AA481" t="str">
        <f>"13790-2107"</f>
        <v>13790-2107</v>
      </c>
      <c r="AB481" t="s">
        <v>123</v>
      </c>
      <c r="AC481" t="s">
        <v>113</v>
      </c>
      <c r="AD481" t="s">
        <v>108</v>
      </c>
      <c r="AE481" t="s">
        <v>114</v>
      </c>
      <c r="AF481" t="s">
        <v>115</v>
      </c>
      <c r="AG481" t="s">
        <v>116</v>
      </c>
      <c r="AK481" t="str">
        <f t="shared" si="49"/>
        <v/>
      </c>
      <c r="AL481" t="s">
        <v>1438</v>
      </c>
      <c r="AM481">
        <v>1</v>
      </c>
      <c r="AN481">
        <v>1</v>
      </c>
      <c r="AO481">
        <v>0</v>
      </c>
      <c r="AP481">
        <v>1</v>
      </c>
      <c r="AQ481">
        <v>1</v>
      </c>
      <c r="AR481">
        <v>0</v>
      </c>
      <c r="AS481">
        <v>0</v>
      </c>
      <c r="AT481">
        <v>0</v>
      </c>
      <c r="AU481">
        <v>0</v>
      </c>
      <c r="AV481">
        <v>0</v>
      </c>
      <c r="AW481">
        <v>0</v>
      </c>
      <c r="AX481" s="24" t="str">
        <f t="shared" si="47"/>
        <v/>
      </c>
      <c r="AY481" s="24">
        <f t="shared" si="47"/>
        <v>1</v>
      </c>
      <c r="AZ481" s="24" t="str">
        <f t="shared" si="52"/>
        <v/>
      </c>
      <c r="BA481" s="24" t="str">
        <f t="shared" si="52"/>
        <v/>
      </c>
      <c r="BB481" s="24" t="str">
        <f t="shared" si="52"/>
        <v/>
      </c>
      <c r="BC481" s="24" t="str">
        <f t="shared" si="52"/>
        <v/>
      </c>
      <c r="BD481" s="24" t="str">
        <f t="shared" si="52"/>
        <v/>
      </c>
      <c r="BE481" s="24" t="str">
        <f t="shared" si="52"/>
        <v/>
      </c>
      <c r="BF481" s="24" t="str">
        <f t="shared" si="52"/>
        <v/>
      </c>
      <c r="BG481" s="24" t="str">
        <f t="shared" si="52"/>
        <v/>
      </c>
      <c r="BH481" s="24" t="str">
        <f t="shared" si="50"/>
        <v/>
      </c>
      <c r="BI481" s="24">
        <f t="shared" si="52"/>
        <v>1</v>
      </c>
      <c r="BJ481" s="24" t="str">
        <f t="shared" si="51"/>
        <v/>
      </c>
    </row>
    <row r="482" spans="1:62" ht="15" customHeight="1" x14ac:dyDescent="0.25">
      <c r="A482" t="str">
        <f>"1629211578"</f>
        <v>1629211578</v>
      </c>
      <c r="B482" t="str">
        <f>"03151291"</f>
        <v>03151291</v>
      </c>
      <c r="C482" t="s">
        <v>1899</v>
      </c>
      <c r="D482" t="s">
        <v>1900</v>
      </c>
      <c r="E482" t="s">
        <v>1901</v>
      </c>
      <c r="L482" t="s">
        <v>809</v>
      </c>
      <c r="M482" t="s">
        <v>108</v>
      </c>
      <c r="R482" t="s">
        <v>1899</v>
      </c>
      <c r="W482" t="s">
        <v>1901</v>
      </c>
      <c r="X482" t="s">
        <v>810</v>
      </c>
      <c r="Y482" t="s">
        <v>110</v>
      </c>
      <c r="Z482" t="s">
        <v>111</v>
      </c>
      <c r="AA482" t="str">
        <f>"13905-2522"</f>
        <v>13905-2522</v>
      </c>
      <c r="AB482" t="s">
        <v>811</v>
      </c>
      <c r="AC482" t="s">
        <v>113</v>
      </c>
      <c r="AD482" t="s">
        <v>108</v>
      </c>
      <c r="AE482" t="s">
        <v>114</v>
      </c>
      <c r="AF482" t="s">
        <v>115</v>
      </c>
      <c r="AG482" t="s">
        <v>116</v>
      </c>
      <c r="AK482" t="str">
        <f t="shared" si="49"/>
        <v/>
      </c>
      <c r="AL482" t="s">
        <v>1900</v>
      </c>
      <c r="AM482">
        <v>0</v>
      </c>
      <c r="AN482">
        <v>0</v>
      </c>
      <c r="AO482">
        <v>0</v>
      </c>
      <c r="AP482">
        <v>0</v>
      </c>
      <c r="AQ482">
        <v>0</v>
      </c>
      <c r="AR482">
        <v>0</v>
      </c>
      <c r="AS482">
        <v>0</v>
      </c>
      <c r="AT482">
        <v>0</v>
      </c>
      <c r="AU482">
        <v>0</v>
      </c>
      <c r="AV482">
        <v>0</v>
      </c>
      <c r="AW482">
        <v>0</v>
      </c>
      <c r="AX482" s="24" t="str">
        <f t="shared" si="47"/>
        <v/>
      </c>
      <c r="AY482" s="24">
        <f t="shared" si="47"/>
        <v>1</v>
      </c>
      <c r="AZ482" s="24" t="str">
        <f t="shared" si="52"/>
        <v/>
      </c>
      <c r="BA482" s="24" t="str">
        <f t="shared" si="52"/>
        <v/>
      </c>
      <c r="BB482" s="24" t="str">
        <f t="shared" si="52"/>
        <v/>
      </c>
      <c r="BC482" s="24">
        <f t="shared" si="52"/>
        <v>1</v>
      </c>
      <c r="BD482" s="24" t="str">
        <f t="shared" si="52"/>
        <v/>
      </c>
      <c r="BE482" s="24" t="str">
        <f t="shared" si="52"/>
        <v/>
      </c>
      <c r="BF482" s="24" t="str">
        <f t="shared" si="52"/>
        <v/>
      </c>
      <c r="BG482" s="24" t="str">
        <f t="shared" si="52"/>
        <v/>
      </c>
      <c r="BH482" s="24" t="str">
        <f t="shared" si="50"/>
        <v/>
      </c>
      <c r="BI482" s="24" t="str">
        <f t="shared" si="52"/>
        <v/>
      </c>
      <c r="BJ482" s="24" t="str">
        <f t="shared" si="51"/>
        <v/>
      </c>
    </row>
    <row r="483" spans="1:62" ht="15" customHeight="1" x14ac:dyDescent="0.25">
      <c r="A483" t="str">
        <f>"1821089517"</f>
        <v>1821089517</v>
      </c>
      <c r="B483" t="str">
        <f>"02492428"</f>
        <v>02492428</v>
      </c>
      <c r="C483" t="s">
        <v>1306</v>
      </c>
      <c r="D483" t="s">
        <v>1307</v>
      </c>
      <c r="E483" t="s">
        <v>1308</v>
      </c>
      <c r="G483" t="s">
        <v>1300</v>
      </c>
      <c r="H483" t="s">
        <v>1301</v>
      </c>
      <c r="L483" t="s">
        <v>120</v>
      </c>
      <c r="M483" t="s">
        <v>108</v>
      </c>
      <c r="R483" t="s">
        <v>1306</v>
      </c>
      <c r="W483" t="s">
        <v>1308</v>
      </c>
      <c r="X483" t="s">
        <v>1309</v>
      </c>
      <c r="Y483" t="s">
        <v>1310</v>
      </c>
      <c r="Z483" t="s">
        <v>111</v>
      </c>
      <c r="AA483" t="str">
        <f>"13155"</f>
        <v>13155</v>
      </c>
      <c r="AB483" t="s">
        <v>123</v>
      </c>
      <c r="AC483" t="s">
        <v>113</v>
      </c>
      <c r="AD483" t="s">
        <v>108</v>
      </c>
      <c r="AE483" t="s">
        <v>114</v>
      </c>
      <c r="AF483" t="s">
        <v>124</v>
      </c>
      <c r="AG483" t="s">
        <v>116</v>
      </c>
      <c r="AK483" t="str">
        <f t="shared" si="49"/>
        <v/>
      </c>
      <c r="AL483" t="s">
        <v>1307</v>
      </c>
      <c r="AM483">
        <v>0</v>
      </c>
      <c r="AN483">
        <v>0</v>
      </c>
      <c r="AO483">
        <v>0</v>
      </c>
      <c r="AP483">
        <v>0</v>
      </c>
      <c r="AQ483">
        <v>0</v>
      </c>
      <c r="AR483">
        <v>0</v>
      </c>
      <c r="AS483">
        <v>0</v>
      </c>
      <c r="AT483">
        <v>0</v>
      </c>
      <c r="AU483">
        <v>0</v>
      </c>
      <c r="AV483">
        <v>0</v>
      </c>
      <c r="AW483">
        <v>0</v>
      </c>
      <c r="AX483" s="24">
        <f t="shared" si="47"/>
        <v>1</v>
      </c>
      <c r="AY483" s="24" t="str">
        <f t="shared" si="47"/>
        <v/>
      </c>
      <c r="AZ483" s="24" t="str">
        <f t="shared" si="52"/>
        <v/>
      </c>
      <c r="BA483" s="24" t="str">
        <f t="shared" si="52"/>
        <v/>
      </c>
      <c r="BB483" s="24" t="str">
        <f t="shared" si="52"/>
        <v/>
      </c>
      <c r="BC483" s="24" t="str">
        <f t="shared" si="52"/>
        <v/>
      </c>
      <c r="BD483" s="24" t="str">
        <f t="shared" si="52"/>
        <v/>
      </c>
      <c r="BE483" s="24" t="str">
        <f t="shared" si="52"/>
        <v/>
      </c>
      <c r="BF483" s="24" t="str">
        <f t="shared" si="52"/>
        <v/>
      </c>
      <c r="BG483" s="24" t="str">
        <f t="shared" si="52"/>
        <v/>
      </c>
      <c r="BH483" s="24" t="str">
        <f t="shared" si="50"/>
        <v/>
      </c>
      <c r="BI483" s="24">
        <f t="shared" si="52"/>
        <v>1</v>
      </c>
      <c r="BJ483" s="24" t="str">
        <f t="shared" si="51"/>
        <v/>
      </c>
    </row>
    <row r="484" spans="1:62" ht="15" customHeight="1" x14ac:dyDescent="0.25">
      <c r="A484" t="str">
        <f>"1427217140"</f>
        <v>1427217140</v>
      </c>
      <c r="B484" t="str">
        <f>"03151604"</f>
        <v>03151604</v>
      </c>
      <c r="C484" t="s">
        <v>5174</v>
      </c>
      <c r="D484" t="s">
        <v>5175</v>
      </c>
      <c r="E484" t="s">
        <v>5176</v>
      </c>
      <c r="L484" t="s">
        <v>120</v>
      </c>
      <c r="M484" t="s">
        <v>108</v>
      </c>
      <c r="R484" t="s">
        <v>5174</v>
      </c>
      <c r="W484" t="s">
        <v>5177</v>
      </c>
      <c r="X484" t="s">
        <v>2382</v>
      </c>
      <c r="Y484" t="s">
        <v>979</v>
      </c>
      <c r="Z484" t="s">
        <v>111</v>
      </c>
      <c r="AA484" t="str">
        <f>"13760-3646"</f>
        <v>13760-3646</v>
      </c>
      <c r="AB484" t="s">
        <v>123</v>
      </c>
      <c r="AC484" t="s">
        <v>113</v>
      </c>
      <c r="AD484" t="s">
        <v>108</v>
      </c>
      <c r="AE484" t="s">
        <v>114</v>
      </c>
      <c r="AF484" t="s">
        <v>115</v>
      </c>
      <c r="AG484" t="s">
        <v>116</v>
      </c>
      <c r="AK484" t="str">
        <f t="shared" si="49"/>
        <v/>
      </c>
      <c r="AL484" t="s">
        <v>5175</v>
      </c>
      <c r="AM484">
        <v>1</v>
      </c>
      <c r="AN484">
        <v>1</v>
      </c>
      <c r="AO484">
        <v>0</v>
      </c>
      <c r="AP484">
        <v>1</v>
      </c>
      <c r="AQ484">
        <v>1</v>
      </c>
      <c r="AR484">
        <v>0</v>
      </c>
      <c r="AS484">
        <v>0</v>
      </c>
      <c r="AT484">
        <v>0</v>
      </c>
      <c r="AU484">
        <v>0</v>
      </c>
      <c r="AV484">
        <v>0</v>
      </c>
      <c r="AW484">
        <v>0</v>
      </c>
      <c r="AX484" s="24">
        <f t="shared" si="47"/>
        <v>1</v>
      </c>
      <c r="AY484" s="24" t="str">
        <f t="shared" si="47"/>
        <v/>
      </c>
      <c r="AZ484" s="24" t="str">
        <f t="shared" si="52"/>
        <v/>
      </c>
      <c r="BA484" s="24" t="str">
        <f t="shared" si="52"/>
        <v/>
      </c>
      <c r="BB484" s="24" t="str">
        <f t="shared" si="52"/>
        <v/>
      </c>
      <c r="BC484" s="24" t="str">
        <f t="shared" si="52"/>
        <v/>
      </c>
      <c r="BD484" s="24" t="str">
        <f t="shared" si="52"/>
        <v/>
      </c>
      <c r="BE484" s="24" t="str">
        <f t="shared" si="52"/>
        <v/>
      </c>
      <c r="BF484" s="24" t="str">
        <f t="shared" si="52"/>
        <v/>
      </c>
      <c r="BG484" s="24" t="str">
        <f t="shared" si="52"/>
        <v/>
      </c>
      <c r="BH484" s="24" t="str">
        <f t="shared" si="50"/>
        <v/>
      </c>
      <c r="BI484" s="24">
        <f t="shared" si="52"/>
        <v>1</v>
      </c>
      <c r="BJ484" s="24" t="str">
        <f t="shared" si="51"/>
        <v/>
      </c>
    </row>
    <row r="485" spans="1:62" ht="15" customHeight="1" x14ac:dyDescent="0.25">
      <c r="A485" t="str">
        <f>"1295705085"</f>
        <v>1295705085</v>
      </c>
      <c r="B485" t="str">
        <f>"03156636"</f>
        <v>03156636</v>
      </c>
      <c r="C485" t="s">
        <v>4146</v>
      </c>
      <c r="D485" t="s">
        <v>4147</v>
      </c>
      <c r="E485" t="s">
        <v>4148</v>
      </c>
      <c r="G485" t="s">
        <v>6330</v>
      </c>
      <c r="H485" t="s">
        <v>6331</v>
      </c>
      <c r="J485" t="s">
        <v>6332</v>
      </c>
      <c r="L485" t="s">
        <v>6867</v>
      </c>
      <c r="M485" t="s">
        <v>108</v>
      </c>
      <c r="R485" t="s">
        <v>4146</v>
      </c>
      <c r="W485" t="s">
        <v>4149</v>
      </c>
      <c r="X485" t="s">
        <v>4150</v>
      </c>
      <c r="Y485" t="s">
        <v>4151</v>
      </c>
      <c r="Z485" t="s">
        <v>111</v>
      </c>
      <c r="AA485" t="str">
        <f>"13754-1301"</f>
        <v>13754-1301</v>
      </c>
      <c r="AB485" t="s">
        <v>123</v>
      </c>
      <c r="AC485" t="s">
        <v>113</v>
      </c>
      <c r="AD485" t="s">
        <v>108</v>
      </c>
      <c r="AE485" t="s">
        <v>114</v>
      </c>
      <c r="AF485" t="s">
        <v>115</v>
      </c>
      <c r="AG485" t="s">
        <v>116</v>
      </c>
      <c r="AK485" t="str">
        <f t="shared" si="49"/>
        <v/>
      </c>
      <c r="AL485" t="s">
        <v>4147</v>
      </c>
      <c r="AM485">
        <v>0</v>
      </c>
      <c r="AN485">
        <v>0</v>
      </c>
      <c r="AO485">
        <v>0</v>
      </c>
      <c r="AP485">
        <v>0</v>
      </c>
      <c r="AQ485">
        <v>0</v>
      </c>
      <c r="AR485">
        <v>0</v>
      </c>
      <c r="AS485">
        <v>0</v>
      </c>
      <c r="AT485">
        <v>0</v>
      </c>
      <c r="AU485">
        <v>1</v>
      </c>
      <c r="AV485">
        <v>0</v>
      </c>
      <c r="AW485">
        <v>0</v>
      </c>
      <c r="AX485" s="24">
        <f t="shared" si="47"/>
        <v>1</v>
      </c>
      <c r="AY485" s="24">
        <f t="shared" si="47"/>
        <v>1</v>
      </c>
      <c r="AZ485" s="24" t="str">
        <f t="shared" si="52"/>
        <v/>
      </c>
      <c r="BA485" s="24" t="str">
        <f t="shared" si="52"/>
        <v/>
      </c>
      <c r="BB485" s="24" t="str">
        <f t="shared" si="52"/>
        <v/>
      </c>
      <c r="BC485" s="24" t="str">
        <f t="shared" si="52"/>
        <v/>
      </c>
      <c r="BD485" s="24" t="str">
        <f t="shared" si="52"/>
        <v/>
      </c>
      <c r="BE485" s="24" t="str">
        <f t="shared" si="52"/>
        <v/>
      </c>
      <c r="BF485" s="24" t="str">
        <f t="shared" si="52"/>
        <v/>
      </c>
      <c r="BG485" s="24" t="str">
        <f t="shared" si="52"/>
        <v/>
      </c>
      <c r="BH485" s="24" t="str">
        <f t="shared" si="50"/>
        <v/>
      </c>
      <c r="BI485" s="24">
        <f t="shared" si="52"/>
        <v>1</v>
      </c>
      <c r="BJ485" s="24" t="str">
        <f t="shared" si="51"/>
        <v/>
      </c>
    </row>
    <row r="486" spans="1:62" ht="15" customHeight="1" x14ac:dyDescent="0.25">
      <c r="A486" t="str">
        <f>"1942439690"</f>
        <v>1942439690</v>
      </c>
      <c r="B486" t="str">
        <f>"03495769"</f>
        <v>03495769</v>
      </c>
      <c r="C486" t="s">
        <v>2181</v>
      </c>
      <c r="D486" t="s">
        <v>2182</v>
      </c>
      <c r="E486" t="s">
        <v>2183</v>
      </c>
      <c r="G486" t="s">
        <v>2181</v>
      </c>
      <c r="H486" t="s">
        <v>440</v>
      </c>
      <c r="J486" t="s">
        <v>2184</v>
      </c>
      <c r="L486" t="s">
        <v>138</v>
      </c>
      <c r="M486" t="s">
        <v>108</v>
      </c>
      <c r="R486" t="s">
        <v>2183</v>
      </c>
      <c r="W486" t="s">
        <v>2183</v>
      </c>
      <c r="X486" t="s">
        <v>406</v>
      </c>
      <c r="Y486" t="s">
        <v>129</v>
      </c>
      <c r="Z486" t="s">
        <v>111</v>
      </c>
      <c r="AA486" t="str">
        <f>"13790-2107"</f>
        <v>13790-2107</v>
      </c>
      <c r="AB486" t="s">
        <v>123</v>
      </c>
      <c r="AC486" t="s">
        <v>113</v>
      </c>
      <c r="AD486" t="s">
        <v>108</v>
      </c>
      <c r="AE486" t="s">
        <v>114</v>
      </c>
      <c r="AF486" t="s">
        <v>115</v>
      </c>
      <c r="AG486" t="s">
        <v>116</v>
      </c>
      <c r="AK486" t="str">
        <f t="shared" si="49"/>
        <v/>
      </c>
      <c r="AL486" t="s">
        <v>2182</v>
      </c>
      <c r="AM486">
        <v>0</v>
      </c>
      <c r="AN486">
        <v>0</v>
      </c>
      <c r="AO486">
        <v>0</v>
      </c>
      <c r="AP486">
        <v>0</v>
      </c>
      <c r="AQ486">
        <v>0</v>
      </c>
      <c r="AR486">
        <v>0</v>
      </c>
      <c r="AS486">
        <v>0</v>
      </c>
      <c r="AT486">
        <v>0</v>
      </c>
      <c r="AU486">
        <v>0</v>
      </c>
      <c r="AV486">
        <v>0</v>
      </c>
      <c r="AW486">
        <v>0</v>
      </c>
      <c r="AX486" s="24" t="str">
        <f t="shared" si="47"/>
        <v/>
      </c>
      <c r="AY486" s="24">
        <f t="shared" si="47"/>
        <v>1</v>
      </c>
      <c r="AZ486" s="24" t="str">
        <f t="shared" si="52"/>
        <v/>
      </c>
      <c r="BA486" s="24" t="str">
        <f t="shared" si="52"/>
        <v/>
      </c>
      <c r="BB486" s="24" t="str">
        <f t="shared" si="52"/>
        <v/>
      </c>
      <c r="BC486" s="24" t="str">
        <f t="shared" si="52"/>
        <v/>
      </c>
      <c r="BD486" s="24" t="str">
        <f t="shared" si="52"/>
        <v/>
      </c>
      <c r="BE486" s="24" t="str">
        <f t="shared" si="52"/>
        <v/>
      </c>
      <c r="BF486" s="24" t="str">
        <f t="shared" si="52"/>
        <v/>
      </c>
      <c r="BG486" s="24" t="str">
        <f t="shared" si="52"/>
        <v/>
      </c>
      <c r="BH486" s="24" t="str">
        <f t="shared" si="50"/>
        <v/>
      </c>
      <c r="BI486" s="24">
        <f t="shared" si="52"/>
        <v>1</v>
      </c>
      <c r="BJ486" s="24" t="str">
        <f t="shared" si="51"/>
        <v/>
      </c>
    </row>
    <row r="487" spans="1:62" ht="15" customHeight="1" x14ac:dyDescent="0.25">
      <c r="A487" t="str">
        <f>"1629001722"</f>
        <v>1629001722</v>
      </c>
      <c r="B487" t="str">
        <f>"02127957"</f>
        <v>02127957</v>
      </c>
      <c r="C487" t="s">
        <v>6778</v>
      </c>
      <c r="D487" t="s">
        <v>7050</v>
      </c>
      <c r="E487" t="s">
        <v>7051</v>
      </c>
      <c r="G487" t="s">
        <v>7184</v>
      </c>
      <c r="H487" t="s">
        <v>2379</v>
      </c>
      <c r="J487" t="s">
        <v>7185</v>
      </c>
      <c r="L487" t="s">
        <v>120</v>
      </c>
      <c r="M487" t="s">
        <v>108</v>
      </c>
      <c r="R487" t="s">
        <v>6778</v>
      </c>
      <c r="W487" t="s">
        <v>6906</v>
      </c>
      <c r="X487" t="s">
        <v>2382</v>
      </c>
      <c r="Y487" t="s">
        <v>979</v>
      </c>
      <c r="Z487" t="s">
        <v>111</v>
      </c>
      <c r="AA487" t="str">
        <f>"13760-3646"</f>
        <v>13760-3646</v>
      </c>
      <c r="AB487" t="s">
        <v>123</v>
      </c>
      <c r="AC487" t="s">
        <v>113</v>
      </c>
      <c r="AD487" t="s">
        <v>108</v>
      </c>
      <c r="AE487" t="s">
        <v>114</v>
      </c>
      <c r="AF487" t="s">
        <v>115</v>
      </c>
      <c r="AG487" t="s">
        <v>116</v>
      </c>
      <c r="AK487" t="str">
        <f t="shared" si="49"/>
        <v>GEHRING LAZARUS</v>
      </c>
      <c r="AL487" t="s">
        <v>7050</v>
      </c>
      <c r="AM487" t="s">
        <v>108</v>
      </c>
      <c r="AN487" t="s">
        <v>108</v>
      </c>
      <c r="AO487" t="s">
        <v>108</v>
      </c>
      <c r="AP487" t="s">
        <v>108</v>
      </c>
      <c r="AQ487" t="s">
        <v>108</v>
      </c>
      <c r="AR487" t="s">
        <v>108</v>
      </c>
      <c r="AS487" t="s">
        <v>108</v>
      </c>
      <c r="AT487" t="s">
        <v>108</v>
      </c>
      <c r="AU487">
        <v>0</v>
      </c>
      <c r="AV487" t="s">
        <v>108</v>
      </c>
      <c r="AW487" t="s">
        <v>108</v>
      </c>
      <c r="AX487" s="24">
        <f t="shared" si="47"/>
        <v>1</v>
      </c>
      <c r="AY487" s="24" t="str">
        <f t="shared" si="47"/>
        <v/>
      </c>
      <c r="AZ487" s="24" t="str">
        <f t="shared" si="52"/>
        <v/>
      </c>
      <c r="BA487" s="24" t="str">
        <f t="shared" si="52"/>
        <v/>
      </c>
      <c r="BB487" s="24" t="str">
        <f t="shared" si="52"/>
        <v/>
      </c>
      <c r="BC487" s="24" t="str">
        <f t="shared" si="52"/>
        <v/>
      </c>
      <c r="BD487" s="24" t="str">
        <f t="shared" si="52"/>
        <v/>
      </c>
      <c r="BE487" s="24" t="str">
        <f t="shared" si="52"/>
        <v/>
      </c>
      <c r="BF487" s="24" t="str">
        <f t="shared" si="52"/>
        <v/>
      </c>
      <c r="BG487" s="24" t="str">
        <f t="shared" si="52"/>
        <v/>
      </c>
      <c r="BH487" s="24" t="str">
        <f t="shared" si="50"/>
        <v/>
      </c>
      <c r="BI487" s="24">
        <f t="shared" si="52"/>
        <v>1</v>
      </c>
      <c r="BJ487" s="24" t="str">
        <f t="shared" si="51"/>
        <v/>
      </c>
    </row>
    <row r="488" spans="1:62" ht="15" customHeight="1" x14ac:dyDescent="0.25">
      <c r="A488" t="str">
        <f>"1720254196"</f>
        <v>1720254196</v>
      </c>
      <c r="B488" t="str">
        <f>"03792523"</f>
        <v>03792523</v>
      </c>
      <c r="C488" t="s">
        <v>2647</v>
      </c>
      <c r="D488" t="s">
        <v>2648</v>
      </c>
      <c r="E488" t="s">
        <v>2649</v>
      </c>
      <c r="L488" t="s">
        <v>247</v>
      </c>
      <c r="M488" t="s">
        <v>108</v>
      </c>
      <c r="R488" t="s">
        <v>2647</v>
      </c>
      <c r="W488" t="s">
        <v>2649</v>
      </c>
      <c r="X488" t="s">
        <v>2650</v>
      </c>
      <c r="Y488" t="s">
        <v>129</v>
      </c>
      <c r="Z488" t="s">
        <v>111</v>
      </c>
      <c r="AA488" t="str">
        <f>"13790-2742"</f>
        <v>13790-2742</v>
      </c>
      <c r="AB488" t="s">
        <v>123</v>
      </c>
      <c r="AC488" t="s">
        <v>113</v>
      </c>
      <c r="AD488" t="s">
        <v>108</v>
      </c>
      <c r="AE488" t="s">
        <v>114</v>
      </c>
      <c r="AF488" t="s">
        <v>115</v>
      </c>
      <c r="AG488" t="s">
        <v>116</v>
      </c>
      <c r="AK488" t="str">
        <f t="shared" si="49"/>
        <v/>
      </c>
      <c r="AL488" t="s">
        <v>2648</v>
      </c>
      <c r="AM488">
        <v>0</v>
      </c>
      <c r="AN488">
        <v>0</v>
      </c>
      <c r="AO488">
        <v>0</v>
      </c>
      <c r="AP488">
        <v>0</v>
      </c>
      <c r="AQ488">
        <v>0</v>
      </c>
      <c r="AR488">
        <v>0</v>
      </c>
      <c r="AS488">
        <v>0</v>
      </c>
      <c r="AT488">
        <v>0</v>
      </c>
      <c r="AU488">
        <v>0</v>
      </c>
      <c r="AV488">
        <v>0</v>
      </c>
      <c r="AW488">
        <v>0</v>
      </c>
      <c r="AX488" s="24" t="str">
        <f t="shared" ref="AX488:AY551" si="53">IF(ISERROR(FIND(AX$1,$L488,1)),"",1)</f>
        <v/>
      </c>
      <c r="AY488" s="24">
        <f t="shared" si="53"/>
        <v>1</v>
      </c>
      <c r="AZ488" s="24" t="str">
        <f t="shared" si="52"/>
        <v/>
      </c>
      <c r="BA488" s="24" t="str">
        <f t="shared" si="52"/>
        <v/>
      </c>
      <c r="BB488" s="24" t="str">
        <f t="shared" si="52"/>
        <v/>
      </c>
      <c r="BC488" s="24" t="str">
        <f t="shared" si="52"/>
        <v/>
      </c>
      <c r="BD488" s="24" t="str">
        <f t="shared" si="52"/>
        <v/>
      </c>
      <c r="BE488" s="24" t="str">
        <f t="shared" si="52"/>
        <v/>
      </c>
      <c r="BF488" s="24" t="str">
        <f t="shared" si="52"/>
        <v/>
      </c>
      <c r="BG488" s="24" t="str">
        <f t="shared" si="52"/>
        <v/>
      </c>
      <c r="BH488" s="24" t="str">
        <f t="shared" si="50"/>
        <v/>
      </c>
      <c r="BI488" s="24" t="str">
        <f t="shared" si="52"/>
        <v/>
      </c>
      <c r="BJ488" s="24" t="str">
        <f t="shared" si="51"/>
        <v/>
      </c>
    </row>
    <row r="489" spans="1:62" ht="15" customHeight="1" x14ac:dyDescent="0.25">
      <c r="A489" t="str">
        <f>"1942295290"</f>
        <v>1942295290</v>
      </c>
      <c r="B489" t="str">
        <f>"01449403"</f>
        <v>01449403</v>
      </c>
      <c r="C489" t="s">
        <v>5975</v>
      </c>
      <c r="D489" t="s">
        <v>5976</v>
      </c>
      <c r="E489" t="s">
        <v>5977</v>
      </c>
      <c r="G489" t="s">
        <v>815</v>
      </c>
      <c r="H489" t="s">
        <v>816</v>
      </c>
      <c r="J489" t="s">
        <v>817</v>
      </c>
      <c r="L489" t="s">
        <v>138</v>
      </c>
      <c r="M489" t="s">
        <v>108</v>
      </c>
      <c r="R489" t="s">
        <v>5978</v>
      </c>
      <c r="W489" t="s">
        <v>5977</v>
      </c>
      <c r="Y489" t="s">
        <v>2840</v>
      </c>
      <c r="Z489" t="s">
        <v>111</v>
      </c>
      <c r="AA489" t="str">
        <f>"12308-2489"</f>
        <v>12308-2489</v>
      </c>
      <c r="AB489" t="s">
        <v>123</v>
      </c>
      <c r="AC489" t="s">
        <v>113</v>
      </c>
      <c r="AD489" t="s">
        <v>108</v>
      </c>
      <c r="AE489" t="s">
        <v>114</v>
      </c>
      <c r="AF489" t="s">
        <v>115</v>
      </c>
      <c r="AG489" t="s">
        <v>116</v>
      </c>
      <c r="AK489" t="str">
        <f t="shared" si="49"/>
        <v>Geoffrey L. Serfilippi, MD</v>
      </c>
      <c r="AL489" t="s">
        <v>5976</v>
      </c>
      <c r="AM489" t="s">
        <v>108</v>
      </c>
      <c r="AN489" t="s">
        <v>108</v>
      </c>
      <c r="AO489" t="s">
        <v>108</v>
      </c>
      <c r="AP489" t="s">
        <v>108</v>
      </c>
      <c r="AQ489" t="s">
        <v>108</v>
      </c>
      <c r="AR489" t="s">
        <v>108</v>
      </c>
      <c r="AS489" t="s">
        <v>108</v>
      </c>
      <c r="AT489" t="s">
        <v>108</v>
      </c>
      <c r="AU489">
        <v>0</v>
      </c>
      <c r="AV489" t="s">
        <v>108</v>
      </c>
      <c r="AW489" t="s">
        <v>108</v>
      </c>
      <c r="AX489" s="24" t="str">
        <f t="shared" si="53"/>
        <v/>
      </c>
      <c r="AY489" s="24">
        <f t="shared" si="53"/>
        <v>1</v>
      </c>
      <c r="AZ489" s="24" t="str">
        <f t="shared" si="52"/>
        <v/>
      </c>
      <c r="BA489" s="24" t="str">
        <f t="shared" si="52"/>
        <v/>
      </c>
      <c r="BB489" s="24" t="str">
        <f t="shared" si="52"/>
        <v/>
      </c>
      <c r="BC489" s="24" t="str">
        <f t="shared" si="52"/>
        <v/>
      </c>
      <c r="BD489" s="24" t="str">
        <f t="shared" si="52"/>
        <v/>
      </c>
      <c r="BE489" s="24" t="str">
        <f t="shared" si="52"/>
        <v/>
      </c>
      <c r="BF489" s="24" t="str">
        <f t="shared" si="52"/>
        <v/>
      </c>
      <c r="BG489" s="24" t="str">
        <f t="shared" si="52"/>
        <v/>
      </c>
      <c r="BH489" s="24" t="str">
        <f t="shared" si="50"/>
        <v/>
      </c>
      <c r="BI489" s="24">
        <f t="shared" si="52"/>
        <v>1</v>
      </c>
      <c r="BJ489" s="24" t="str">
        <f t="shared" si="51"/>
        <v/>
      </c>
    </row>
    <row r="490" spans="1:62" ht="15" customHeight="1" x14ac:dyDescent="0.25">
      <c r="A490" t="str">
        <f>"1396726907"</f>
        <v>1396726907</v>
      </c>
      <c r="B490" t="str">
        <f>"02529380"</f>
        <v>02529380</v>
      </c>
      <c r="C490" t="s">
        <v>5135</v>
      </c>
      <c r="D490" t="s">
        <v>5136</v>
      </c>
      <c r="E490" t="s">
        <v>5137</v>
      </c>
      <c r="L490" t="s">
        <v>133</v>
      </c>
      <c r="M490" t="s">
        <v>108</v>
      </c>
      <c r="R490" t="s">
        <v>5135</v>
      </c>
      <c r="W490" t="s">
        <v>5137</v>
      </c>
      <c r="X490" t="s">
        <v>881</v>
      </c>
      <c r="Y490" t="s">
        <v>321</v>
      </c>
      <c r="Z490" t="s">
        <v>111</v>
      </c>
      <c r="AA490" t="str">
        <f>"13760-5430"</f>
        <v>13760-5430</v>
      </c>
      <c r="AB490" t="s">
        <v>1000</v>
      </c>
      <c r="AC490" t="s">
        <v>113</v>
      </c>
      <c r="AD490" t="s">
        <v>108</v>
      </c>
      <c r="AE490" t="s">
        <v>114</v>
      </c>
      <c r="AF490" t="s">
        <v>115</v>
      </c>
      <c r="AG490" t="s">
        <v>116</v>
      </c>
      <c r="AK490" t="str">
        <f t="shared" si="49"/>
        <v>GEORGE MATTHEW</v>
      </c>
      <c r="AL490" t="s">
        <v>5136</v>
      </c>
      <c r="AM490" t="s">
        <v>108</v>
      </c>
      <c r="AN490" t="s">
        <v>108</v>
      </c>
      <c r="AO490" t="s">
        <v>108</v>
      </c>
      <c r="AP490" t="s">
        <v>108</v>
      </c>
      <c r="AQ490" t="s">
        <v>108</v>
      </c>
      <c r="AR490" t="s">
        <v>108</v>
      </c>
      <c r="AS490" t="s">
        <v>108</v>
      </c>
      <c r="AT490" t="s">
        <v>108</v>
      </c>
      <c r="AU490">
        <v>0</v>
      </c>
      <c r="AV490" t="s">
        <v>108</v>
      </c>
      <c r="AW490" t="s">
        <v>108</v>
      </c>
      <c r="AX490" s="24" t="str">
        <f t="shared" si="53"/>
        <v/>
      </c>
      <c r="AY490" s="24" t="str">
        <f t="shared" si="53"/>
        <v/>
      </c>
      <c r="AZ490" s="24" t="str">
        <f t="shared" si="52"/>
        <v/>
      </c>
      <c r="BA490" s="24" t="str">
        <f t="shared" si="52"/>
        <v/>
      </c>
      <c r="BB490" s="24" t="str">
        <f t="shared" si="52"/>
        <v/>
      </c>
      <c r="BC490" s="24" t="str">
        <f t="shared" si="52"/>
        <v/>
      </c>
      <c r="BD490" s="24" t="str">
        <f t="shared" si="52"/>
        <v/>
      </c>
      <c r="BE490" s="24" t="str">
        <f t="shared" si="52"/>
        <v/>
      </c>
      <c r="BF490" s="24" t="str">
        <f t="shared" si="52"/>
        <v/>
      </c>
      <c r="BG490" s="24" t="str">
        <f t="shared" si="52"/>
        <v/>
      </c>
      <c r="BH490" s="24" t="str">
        <f t="shared" si="50"/>
        <v/>
      </c>
      <c r="BI490" s="24" t="str">
        <f t="shared" si="52"/>
        <v/>
      </c>
      <c r="BJ490" s="24">
        <f t="shared" si="51"/>
        <v>1</v>
      </c>
    </row>
    <row r="491" spans="1:62" ht="15" customHeight="1" x14ac:dyDescent="0.25">
      <c r="A491" t="str">
        <f>"1689640823"</f>
        <v>1689640823</v>
      </c>
      <c r="B491" t="str">
        <f>"01088504"</f>
        <v>01088504</v>
      </c>
      <c r="C491" t="s">
        <v>509</v>
      </c>
      <c r="D491" t="s">
        <v>510</v>
      </c>
      <c r="E491" t="s">
        <v>511</v>
      </c>
      <c r="G491" t="s">
        <v>177</v>
      </c>
      <c r="H491" t="s">
        <v>178</v>
      </c>
      <c r="J491" t="s">
        <v>179</v>
      </c>
      <c r="L491" t="s">
        <v>138</v>
      </c>
      <c r="M491" t="s">
        <v>108</v>
      </c>
      <c r="R491" t="s">
        <v>509</v>
      </c>
      <c r="W491" t="s">
        <v>511</v>
      </c>
      <c r="X491" t="s">
        <v>512</v>
      </c>
      <c r="Y491" t="s">
        <v>513</v>
      </c>
      <c r="Z491" t="s">
        <v>182</v>
      </c>
      <c r="AA491" t="str">
        <f>"18810-1618"</f>
        <v>18810-1618</v>
      </c>
      <c r="AB491" t="s">
        <v>123</v>
      </c>
      <c r="AC491" t="s">
        <v>113</v>
      </c>
      <c r="AD491" t="s">
        <v>108</v>
      </c>
      <c r="AE491" t="s">
        <v>114</v>
      </c>
      <c r="AF491" t="s">
        <v>115</v>
      </c>
      <c r="AG491" t="s">
        <v>116</v>
      </c>
      <c r="AK491" t="str">
        <f t="shared" si="49"/>
        <v/>
      </c>
      <c r="AL491" t="s">
        <v>510</v>
      </c>
      <c r="AM491">
        <v>1</v>
      </c>
      <c r="AN491">
        <v>1</v>
      </c>
      <c r="AO491">
        <v>0</v>
      </c>
      <c r="AP491">
        <v>0</v>
      </c>
      <c r="AQ491">
        <v>0</v>
      </c>
      <c r="AR491">
        <v>0</v>
      </c>
      <c r="AS491">
        <v>0</v>
      </c>
      <c r="AT491">
        <v>0</v>
      </c>
      <c r="AU491">
        <v>0</v>
      </c>
      <c r="AV491">
        <v>1</v>
      </c>
      <c r="AW491">
        <v>0</v>
      </c>
      <c r="AX491" s="24" t="str">
        <f t="shared" si="53"/>
        <v/>
      </c>
      <c r="AY491" s="24">
        <f t="shared" si="53"/>
        <v>1</v>
      </c>
      <c r="AZ491" s="24" t="str">
        <f t="shared" si="52"/>
        <v/>
      </c>
      <c r="BA491" s="24" t="str">
        <f t="shared" si="52"/>
        <v/>
      </c>
      <c r="BB491" s="24" t="str">
        <f t="shared" si="52"/>
        <v/>
      </c>
      <c r="BC491" s="24" t="str">
        <f t="shared" si="52"/>
        <v/>
      </c>
      <c r="BD491" s="24" t="str">
        <f t="shared" si="52"/>
        <v/>
      </c>
      <c r="BE491" s="24" t="str">
        <f t="shared" si="52"/>
        <v/>
      </c>
      <c r="BF491" s="24" t="str">
        <f t="shared" si="52"/>
        <v/>
      </c>
      <c r="BG491" s="24" t="str">
        <f t="shared" si="52"/>
        <v/>
      </c>
      <c r="BH491" s="24" t="str">
        <f t="shared" si="50"/>
        <v/>
      </c>
      <c r="BI491" s="24">
        <f t="shared" si="52"/>
        <v>1</v>
      </c>
      <c r="BJ491" s="24" t="str">
        <f t="shared" si="51"/>
        <v/>
      </c>
    </row>
    <row r="492" spans="1:62" ht="15" customHeight="1" x14ac:dyDescent="0.25">
      <c r="A492" t="str">
        <f>"1740257534"</f>
        <v>1740257534</v>
      </c>
      <c r="B492" t="str">
        <f>"01197584"</f>
        <v>01197584</v>
      </c>
      <c r="C492" t="s">
        <v>3571</v>
      </c>
      <c r="D492" t="s">
        <v>3572</v>
      </c>
      <c r="E492" t="s">
        <v>3573</v>
      </c>
      <c r="G492" t="s">
        <v>3566</v>
      </c>
      <c r="H492" t="s">
        <v>3567</v>
      </c>
      <c r="J492" t="s">
        <v>3574</v>
      </c>
      <c r="L492" t="s">
        <v>138</v>
      </c>
      <c r="M492" t="s">
        <v>108</v>
      </c>
      <c r="R492" t="s">
        <v>3575</v>
      </c>
      <c r="W492" t="s">
        <v>3573</v>
      </c>
      <c r="X492" t="s">
        <v>3576</v>
      </c>
      <c r="Y492" t="s">
        <v>1053</v>
      </c>
      <c r="Z492" t="s">
        <v>111</v>
      </c>
      <c r="AA492" t="str">
        <f>"14621-3008"</f>
        <v>14621-3008</v>
      </c>
      <c r="AB492" t="s">
        <v>123</v>
      </c>
      <c r="AC492" t="s">
        <v>113</v>
      </c>
      <c r="AD492" t="s">
        <v>108</v>
      </c>
      <c r="AE492" t="s">
        <v>114</v>
      </c>
      <c r="AF492" t="s">
        <v>142</v>
      </c>
      <c r="AG492" t="s">
        <v>116</v>
      </c>
      <c r="AK492" t="str">
        <f t="shared" si="49"/>
        <v/>
      </c>
      <c r="AL492" t="s">
        <v>3572</v>
      </c>
      <c r="AM492">
        <v>1</v>
      </c>
      <c r="AN492">
        <v>1</v>
      </c>
      <c r="AO492">
        <v>0</v>
      </c>
      <c r="AP492">
        <v>0</v>
      </c>
      <c r="AQ492">
        <v>0</v>
      </c>
      <c r="AR492">
        <v>0</v>
      </c>
      <c r="AS492">
        <v>0</v>
      </c>
      <c r="AT492">
        <v>0</v>
      </c>
      <c r="AU492">
        <v>0</v>
      </c>
      <c r="AV492">
        <v>0</v>
      </c>
      <c r="AW492">
        <v>0</v>
      </c>
      <c r="AX492" s="24" t="str">
        <f t="shared" si="53"/>
        <v/>
      </c>
      <c r="AY492" s="24">
        <f t="shared" si="53"/>
        <v>1</v>
      </c>
      <c r="AZ492" s="24" t="str">
        <f t="shared" si="52"/>
        <v/>
      </c>
      <c r="BA492" s="24" t="str">
        <f t="shared" si="52"/>
        <v/>
      </c>
      <c r="BB492" s="24" t="str">
        <f t="shared" si="52"/>
        <v/>
      </c>
      <c r="BC492" s="24" t="str">
        <f t="shared" si="52"/>
        <v/>
      </c>
      <c r="BD492" s="24" t="str">
        <f t="shared" si="52"/>
        <v/>
      </c>
      <c r="BE492" s="24" t="str">
        <f t="shared" si="52"/>
        <v/>
      </c>
      <c r="BF492" s="24" t="str">
        <f t="shared" si="52"/>
        <v/>
      </c>
      <c r="BG492" s="24" t="str">
        <f t="shared" si="52"/>
        <v/>
      </c>
      <c r="BH492" s="24" t="str">
        <f t="shared" si="50"/>
        <v/>
      </c>
      <c r="BI492" s="24">
        <f t="shared" si="52"/>
        <v>1</v>
      </c>
      <c r="BJ492" s="24" t="str">
        <f t="shared" si="51"/>
        <v/>
      </c>
    </row>
    <row r="493" spans="1:62" ht="15" customHeight="1" x14ac:dyDescent="0.25">
      <c r="A493" t="str">
        <f>"1184658353"</f>
        <v>1184658353</v>
      </c>
      <c r="B493" t="str">
        <f>"00358801"</f>
        <v>00358801</v>
      </c>
      <c r="C493" t="s">
        <v>3895</v>
      </c>
      <c r="D493" t="s">
        <v>3896</v>
      </c>
      <c r="E493" t="s">
        <v>3897</v>
      </c>
      <c r="G493" t="s">
        <v>3890</v>
      </c>
      <c r="H493" t="s">
        <v>3891</v>
      </c>
      <c r="J493" t="s">
        <v>3892</v>
      </c>
      <c r="L493" t="s">
        <v>20</v>
      </c>
      <c r="M493" t="s">
        <v>108</v>
      </c>
      <c r="R493" t="s">
        <v>3893</v>
      </c>
      <c r="W493" t="s">
        <v>3897</v>
      </c>
      <c r="X493" t="s">
        <v>3898</v>
      </c>
      <c r="Y493" t="s">
        <v>927</v>
      </c>
      <c r="Z493" t="s">
        <v>111</v>
      </c>
      <c r="AA493" t="str">
        <f>"14904-1309"</f>
        <v>14904-1309</v>
      </c>
      <c r="AB493" t="s">
        <v>3683</v>
      </c>
      <c r="AC493" t="s">
        <v>113</v>
      </c>
      <c r="AD493" t="s">
        <v>108</v>
      </c>
      <c r="AE493" t="s">
        <v>114</v>
      </c>
      <c r="AF493" t="s">
        <v>149</v>
      </c>
      <c r="AG493" t="s">
        <v>116</v>
      </c>
      <c r="AK493" t="str">
        <f t="shared" si="49"/>
        <v/>
      </c>
      <c r="AL493" t="s">
        <v>3896</v>
      </c>
      <c r="AM493">
        <v>1</v>
      </c>
      <c r="AN493">
        <v>1</v>
      </c>
      <c r="AO493">
        <v>0</v>
      </c>
      <c r="AP493">
        <v>1</v>
      </c>
      <c r="AQ493">
        <v>1</v>
      </c>
      <c r="AR493">
        <v>0</v>
      </c>
      <c r="AS493">
        <v>0</v>
      </c>
      <c r="AT493">
        <v>1</v>
      </c>
      <c r="AU493">
        <v>0</v>
      </c>
      <c r="AV493">
        <v>1</v>
      </c>
      <c r="AW493">
        <v>1</v>
      </c>
      <c r="AX493" s="24" t="str">
        <f t="shared" si="53"/>
        <v/>
      </c>
      <c r="AY493" s="24" t="str">
        <f t="shared" si="53"/>
        <v/>
      </c>
      <c r="AZ493" s="24" t="str">
        <f t="shared" si="52"/>
        <v/>
      </c>
      <c r="BA493" s="24" t="str">
        <f t="shared" si="52"/>
        <v/>
      </c>
      <c r="BB493" s="24" t="str">
        <f t="shared" si="52"/>
        <v/>
      </c>
      <c r="BC493" s="24" t="str">
        <f t="shared" si="52"/>
        <v/>
      </c>
      <c r="BD493" s="24" t="str">
        <f t="shared" si="52"/>
        <v/>
      </c>
      <c r="BE493" s="24" t="str">
        <f t="shared" si="52"/>
        <v/>
      </c>
      <c r="BF493" s="24">
        <f t="shared" si="52"/>
        <v>1</v>
      </c>
      <c r="BG493" s="24" t="str">
        <f t="shared" si="52"/>
        <v/>
      </c>
      <c r="BH493" s="24" t="str">
        <f t="shared" si="50"/>
        <v/>
      </c>
      <c r="BI493" s="24" t="str">
        <f t="shared" si="52"/>
        <v/>
      </c>
      <c r="BJ493" s="24" t="str">
        <f t="shared" si="51"/>
        <v/>
      </c>
    </row>
    <row r="494" spans="1:62" ht="15" customHeight="1" x14ac:dyDescent="0.25">
      <c r="A494" t="str">
        <f>"1528092798"</f>
        <v>1528092798</v>
      </c>
      <c r="B494" t="str">
        <f>"00364741"</f>
        <v>00364741</v>
      </c>
      <c r="C494" t="s">
        <v>3895</v>
      </c>
      <c r="D494" t="s">
        <v>3899</v>
      </c>
      <c r="E494" t="s">
        <v>3900</v>
      </c>
      <c r="G494" t="s">
        <v>3890</v>
      </c>
      <c r="H494" t="s">
        <v>3891</v>
      </c>
      <c r="J494" t="s">
        <v>3892</v>
      </c>
      <c r="L494" t="s">
        <v>20</v>
      </c>
      <c r="M494" t="s">
        <v>139</v>
      </c>
      <c r="R494" t="s">
        <v>3893</v>
      </c>
      <c r="W494" t="s">
        <v>3900</v>
      </c>
      <c r="X494" t="s">
        <v>3901</v>
      </c>
      <c r="Y494" t="s">
        <v>927</v>
      </c>
      <c r="Z494" t="s">
        <v>111</v>
      </c>
      <c r="AA494" t="str">
        <f>"14905-2423"</f>
        <v>14905-2423</v>
      </c>
      <c r="AB494" t="s">
        <v>3683</v>
      </c>
      <c r="AC494" t="s">
        <v>113</v>
      </c>
      <c r="AD494" t="s">
        <v>108</v>
      </c>
      <c r="AE494" t="s">
        <v>114</v>
      </c>
      <c r="AF494" t="s">
        <v>149</v>
      </c>
      <c r="AG494" t="s">
        <v>116</v>
      </c>
      <c r="AK494" t="str">
        <f t="shared" si="49"/>
        <v/>
      </c>
      <c r="AL494" t="s">
        <v>3899</v>
      </c>
      <c r="AM494">
        <v>1</v>
      </c>
      <c r="AN494">
        <v>1</v>
      </c>
      <c r="AO494">
        <v>0</v>
      </c>
      <c r="AP494">
        <v>1</v>
      </c>
      <c r="AQ494">
        <v>1</v>
      </c>
      <c r="AR494">
        <v>0</v>
      </c>
      <c r="AS494">
        <v>0</v>
      </c>
      <c r="AT494">
        <v>1</v>
      </c>
      <c r="AU494">
        <v>0</v>
      </c>
      <c r="AV494">
        <v>1</v>
      </c>
      <c r="AW494">
        <v>1</v>
      </c>
      <c r="AX494" s="24" t="str">
        <f t="shared" si="53"/>
        <v/>
      </c>
      <c r="AY494" s="24" t="str">
        <f t="shared" si="53"/>
        <v/>
      </c>
      <c r="AZ494" s="24" t="str">
        <f t="shared" si="52"/>
        <v/>
      </c>
      <c r="BA494" s="24" t="str">
        <f t="shared" si="52"/>
        <v/>
      </c>
      <c r="BB494" s="24" t="str">
        <f t="shared" si="52"/>
        <v/>
      </c>
      <c r="BC494" s="24" t="str">
        <f t="shared" si="52"/>
        <v/>
      </c>
      <c r="BD494" s="24" t="str">
        <f t="shared" si="52"/>
        <v/>
      </c>
      <c r="BE494" s="24" t="str">
        <f t="shared" si="52"/>
        <v/>
      </c>
      <c r="BF494" s="24">
        <f t="shared" si="52"/>
        <v>1</v>
      </c>
      <c r="BG494" s="24" t="str">
        <f t="shared" si="52"/>
        <v/>
      </c>
      <c r="BH494" s="24" t="str">
        <f t="shared" si="50"/>
        <v/>
      </c>
      <c r="BI494" s="24" t="str">
        <f t="shared" si="52"/>
        <v/>
      </c>
      <c r="BJ494" s="24" t="str">
        <f t="shared" si="51"/>
        <v/>
      </c>
    </row>
    <row r="495" spans="1:62" ht="15" customHeight="1" x14ac:dyDescent="0.25">
      <c r="A495" t="str">
        <f>"1972537140"</f>
        <v>1972537140</v>
      </c>
      <c r="B495" t="str">
        <f>"01009723"</f>
        <v>01009723</v>
      </c>
      <c r="C495" t="s">
        <v>3895</v>
      </c>
      <c r="D495" t="s">
        <v>3902</v>
      </c>
      <c r="E495" t="s">
        <v>3903</v>
      </c>
      <c r="G495" t="s">
        <v>3890</v>
      </c>
      <c r="H495" t="s">
        <v>3891</v>
      </c>
      <c r="J495" t="s">
        <v>3892</v>
      </c>
      <c r="L495" t="s">
        <v>20</v>
      </c>
      <c r="M495" t="s">
        <v>108</v>
      </c>
      <c r="R495" t="s">
        <v>3893</v>
      </c>
      <c r="W495" t="s">
        <v>3903</v>
      </c>
      <c r="X495" t="s">
        <v>3904</v>
      </c>
      <c r="Y495" t="s">
        <v>148</v>
      </c>
      <c r="Z495" t="s">
        <v>111</v>
      </c>
      <c r="AA495" t="str">
        <f>"14845-8110"</f>
        <v>14845-8110</v>
      </c>
      <c r="AB495" t="s">
        <v>3683</v>
      </c>
      <c r="AC495" t="s">
        <v>113</v>
      </c>
      <c r="AD495" t="s">
        <v>108</v>
      </c>
      <c r="AE495" t="s">
        <v>114</v>
      </c>
      <c r="AF495" t="s">
        <v>149</v>
      </c>
      <c r="AG495" t="s">
        <v>116</v>
      </c>
      <c r="AK495" t="str">
        <f t="shared" si="49"/>
        <v/>
      </c>
      <c r="AL495" t="s">
        <v>3902</v>
      </c>
      <c r="AM495">
        <v>1</v>
      </c>
      <c r="AN495">
        <v>1</v>
      </c>
      <c r="AO495">
        <v>0</v>
      </c>
      <c r="AP495">
        <v>1</v>
      </c>
      <c r="AQ495">
        <v>1</v>
      </c>
      <c r="AR495">
        <v>0</v>
      </c>
      <c r="AS495">
        <v>0</v>
      </c>
      <c r="AT495">
        <v>1</v>
      </c>
      <c r="AU495">
        <v>0</v>
      </c>
      <c r="AV495">
        <v>1</v>
      </c>
      <c r="AW495">
        <v>1</v>
      </c>
      <c r="AX495" s="24" t="str">
        <f t="shared" si="53"/>
        <v/>
      </c>
      <c r="AY495" s="24" t="str">
        <f t="shared" si="53"/>
        <v/>
      </c>
      <c r="AZ495" s="24" t="str">
        <f t="shared" si="52"/>
        <v/>
      </c>
      <c r="BA495" s="24" t="str">
        <f t="shared" si="52"/>
        <v/>
      </c>
      <c r="BB495" s="24" t="str">
        <f t="shared" si="52"/>
        <v/>
      </c>
      <c r="BC495" s="24" t="str">
        <f t="shared" si="52"/>
        <v/>
      </c>
      <c r="BD495" s="24" t="str">
        <f t="shared" si="52"/>
        <v/>
      </c>
      <c r="BE495" s="24" t="str">
        <f t="shared" si="52"/>
        <v/>
      </c>
      <c r="BF495" s="24">
        <f t="shared" si="52"/>
        <v>1</v>
      </c>
      <c r="BG495" s="24" t="str">
        <f t="shared" si="52"/>
        <v/>
      </c>
      <c r="BH495" s="24" t="str">
        <f t="shared" si="50"/>
        <v/>
      </c>
      <c r="BI495" s="24" t="str">
        <f t="shared" si="52"/>
        <v/>
      </c>
      <c r="BJ495" s="24" t="str">
        <f t="shared" si="51"/>
        <v/>
      </c>
    </row>
    <row r="496" spans="1:62" ht="15" customHeight="1" x14ac:dyDescent="0.25">
      <c r="A496" t="str">
        <f>"1346284197"</f>
        <v>1346284197</v>
      </c>
      <c r="B496" t="str">
        <f>"02472315"</f>
        <v>02472315</v>
      </c>
      <c r="C496" t="s">
        <v>3895</v>
      </c>
      <c r="D496" t="s">
        <v>3905</v>
      </c>
      <c r="E496" t="s">
        <v>3906</v>
      </c>
      <c r="G496" t="s">
        <v>3890</v>
      </c>
      <c r="H496" t="s">
        <v>3891</v>
      </c>
      <c r="J496" t="s">
        <v>3892</v>
      </c>
      <c r="L496" t="s">
        <v>20</v>
      </c>
      <c r="M496" t="s">
        <v>108</v>
      </c>
      <c r="R496" t="s">
        <v>3907</v>
      </c>
      <c r="W496" t="s">
        <v>3906</v>
      </c>
      <c r="X496" t="s">
        <v>3908</v>
      </c>
      <c r="Y496" t="s">
        <v>157</v>
      </c>
      <c r="Z496" t="s">
        <v>111</v>
      </c>
      <c r="AA496" t="str">
        <f>"14830-2260"</f>
        <v>14830-2260</v>
      </c>
      <c r="AB496" t="s">
        <v>3683</v>
      </c>
      <c r="AC496" t="s">
        <v>113</v>
      </c>
      <c r="AD496" t="s">
        <v>108</v>
      </c>
      <c r="AE496" t="s">
        <v>114</v>
      </c>
      <c r="AF496" t="s">
        <v>149</v>
      </c>
      <c r="AG496" t="s">
        <v>116</v>
      </c>
      <c r="AK496" t="str">
        <f t="shared" si="49"/>
        <v/>
      </c>
      <c r="AL496" t="s">
        <v>3905</v>
      </c>
      <c r="AM496">
        <v>1</v>
      </c>
      <c r="AN496">
        <v>1</v>
      </c>
      <c r="AO496">
        <v>0</v>
      </c>
      <c r="AP496">
        <v>1</v>
      </c>
      <c r="AQ496">
        <v>1</v>
      </c>
      <c r="AR496">
        <v>0</v>
      </c>
      <c r="AS496">
        <v>0</v>
      </c>
      <c r="AT496">
        <v>1</v>
      </c>
      <c r="AU496">
        <v>0</v>
      </c>
      <c r="AV496">
        <v>1</v>
      </c>
      <c r="AW496">
        <v>1</v>
      </c>
      <c r="AX496" s="24" t="str">
        <f t="shared" si="53"/>
        <v/>
      </c>
      <c r="AY496" s="24" t="str">
        <f t="shared" si="53"/>
        <v/>
      </c>
      <c r="AZ496" s="24" t="str">
        <f t="shared" si="52"/>
        <v/>
      </c>
      <c r="BA496" s="24" t="str">
        <f t="shared" si="52"/>
        <v/>
      </c>
      <c r="BB496" s="24" t="str">
        <f t="shared" si="52"/>
        <v/>
      </c>
      <c r="BC496" s="24" t="str">
        <f t="shared" si="52"/>
        <v/>
      </c>
      <c r="BD496" s="24" t="str">
        <f t="shared" si="52"/>
        <v/>
      </c>
      <c r="BE496" s="24" t="str">
        <f t="shared" si="52"/>
        <v/>
      </c>
      <c r="BF496" s="24">
        <f t="shared" si="52"/>
        <v>1</v>
      </c>
      <c r="BG496" s="24" t="str">
        <f t="shared" si="52"/>
        <v/>
      </c>
      <c r="BH496" s="24" t="str">
        <f t="shared" si="50"/>
        <v/>
      </c>
      <c r="BI496" s="24" t="str">
        <f t="shared" si="52"/>
        <v/>
      </c>
      <c r="BJ496" s="24" t="str">
        <f t="shared" si="51"/>
        <v/>
      </c>
    </row>
    <row r="497" spans="1:62" ht="15" customHeight="1" x14ac:dyDescent="0.25">
      <c r="A497" t="str">
        <f>"1043232283"</f>
        <v>1043232283</v>
      </c>
      <c r="C497" t="s">
        <v>3889</v>
      </c>
      <c r="G497" t="s">
        <v>3890</v>
      </c>
      <c r="H497" t="s">
        <v>3891</v>
      </c>
      <c r="J497" t="s">
        <v>3892</v>
      </c>
      <c r="K497" t="s">
        <v>1597</v>
      </c>
      <c r="L497" t="s">
        <v>133</v>
      </c>
      <c r="M497" t="s">
        <v>108</v>
      </c>
      <c r="R497" t="s">
        <v>3893</v>
      </c>
      <c r="S497" t="s">
        <v>3894</v>
      </c>
      <c r="T497" t="s">
        <v>927</v>
      </c>
      <c r="U497" t="s">
        <v>111</v>
      </c>
      <c r="V497" t="str">
        <f>"149041311"</f>
        <v>149041311</v>
      </c>
      <c r="AC497" t="s">
        <v>113</v>
      </c>
      <c r="AD497" t="s">
        <v>108</v>
      </c>
      <c r="AE497" t="s">
        <v>775</v>
      </c>
      <c r="AF497" t="s">
        <v>149</v>
      </c>
      <c r="AG497" t="s">
        <v>116</v>
      </c>
      <c r="AK497" t="str">
        <f t="shared" si="49"/>
        <v/>
      </c>
      <c r="AL497" t="s">
        <v>3889</v>
      </c>
      <c r="AM497">
        <v>1</v>
      </c>
      <c r="AN497">
        <v>1</v>
      </c>
      <c r="AP497">
        <v>1</v>
      </c>
      <c r="AQ497">
        <v>1</v>
      </c>
      <c r="AT497">
        <v>1</v>
      </c>
      <c r="AU497">
        <v>0</v>
      </c>
      <c r="AV497">
        <v>1</v>
      </c>
      <c r="AW497">
        <v>1</v>
      </c>
      <c r="AX497" s="24" t="str">
        <f t="shared" si="53"/>
        <v/>
      </c>
      <c r="AY497" s="24" t="str">
        <f t="shared" si="53"/>
        <v/>
      </c>
      <c r="AZ497" s="24" t="str">
        <f t="shared" si="52"/>
        <v/>
      </c>
      <c r="BA497" s="24" t="str">
        <f t="shared" si="52"/>
        <v/>
      </c>
      <c r="BB497" s="24" t="str">
        <f t="shared" si="52"/>
        <v/>
      </c>
      <c r="BC497" s="24" t="str">
        <f t="shared" si="52"/>
        <v/>
      </c>
      <c r="BD497" s="24" t="str">
        <f t="shared" si="52"/>
        <v/>
      </c>
      <c r="BE497" s="24" t="str">
        <f t="shared" si="52"/>
        <v/>
      </c>
      <c r="BF497" s="24" t="str">
        <f t="shared" si="52"/>
        <v/>
      </c>
      <c r="BG497" s="24" t="str">
        <f t="shared" si="52"/>
        <v/>
      </c>
      <c r="BH497" s="24" t="str">
        <f t="shared" si="50"/>
        <v/>
      </c>
      <c r="BI497" s="24" t="str">
        <f t="shared" si="52"/>
        <v/>
      </c>
      <c r="BJ497" s="24">
        <f t="shared" si="51"/>
        <v>1</v>
      </c>
    </row>
    <row r="498" spans="1:62" ht="15" customHeight="1" x14ac:dyDescent="0.25">
      <c r="A498" t="str">
        <f>"1518943760"</f>
        <v>1518943760</v>
      </c>
      <c r="B498" t="str">
        <f>"01275025"</f>
        <v>01275025</v>
      </c>
      <c r="C498" t="s">
        <v>831</v>
      </c>
      <c r="D498" t="s">
        <v>832</v>
      </c>
      <c r="E498" t="s">
        <v>833</v>
      </c>
      <c r="G498" t="s">
        <v>6330</v>
      </c>
      <c r="H498" t="s">
        <v>6331</v>
      </c>
      <c r="J498" t="s">
        <v>6332</v>
      </c>
      <c r="L498" t="s">
        <v>138</v>
      </c>
      <c r="M498" t="s">
        <v>108</v>
      </c>
      <c r="R498" t="s">
        <v>831</v>
      </c>
      <c r="W498" t="s">
        <v>833</v>
      </c>
      <c r="X498" t="s">
        <v>834</v>
      </c>
      <c r="Y498" t="s">
        <v>110</v>
      </c>
      <c r="Z498" t="s">
        <v>111</v>
      </c>
      <c r="AA498" t="str">
        <f>"13903-1674"</f>
        <v>13903-1674</v>
      </c>
      <c r="AB498" t="s">
        <v>123</v>
      </c>
      <c r="AC498" t="s">
        <v>113</v>
      </c>
      <c r="AD498" t="s">
        <v>108</v>
      </c>
      <c r="AE498" t="s">
        <v>114</v>
      </c>
      <c r="AF498" t="s">
        <v>115</v>
      </c>
      <c r="AG498" t="s">
        <v>116</v>
      </c>
      <c r="AK498" t="str">
        <f t="shared" si="49"/>
        <v/>
      </c>
      <c r="AL498" t="s">
        <v>832</v>
      </c>
      <c r="AM498">
        <v>0</v>
      </c>
      <c r="AN498">
        <v>0</v>
      </c>
      <c r="AO498">
        <v>0</v>
      </c>
      <c r="AP498">
        <v>0</v>
      </c>
      <c r="AQ498">
        <v>0</v>
      </c>
      <c r="AR498">
        <v>0</v>
      </c>
      <c r="AS498">
        <v>0</v>
      </c>
      <c r="AT498">
        <v>0</v>
      </c>
      <c r="AU498">
        <v>1</v>
      </c>
      <c r="AV498">
        <v>0</v>
      </c>
      <c r="AW498">
        <v>0</v>
      </c>
      <c r="AX498" s="24" t="str">
        <f t="shared" si="53"/>
        <v/>
      </c>
      <c r="AY498" s="24">
        <f t="shared" si="53"/>
        <v>1</v>
      </c>
      <c r="AZ498" s="24" t="str">
        <f t="shared" si="52"/>
        <v/>
      </c>
      <c r="BA498" s="24" t="str">
        <f t="shared" ref="AZ498:BI523" si="54">IF(ISERROR(FIND(BA$1,$L498,1)),"",1)</f>
        <v/>
      </c>
      <c r="BB498" s="24" t="str">
        <f t="shared" si="54"/>
        <v/>
      </c>
      <c r="BC498" s="24" t="str">
        <f t="shared" si="54"/>
        <v/>
      </c>
      <c r="BD498" s="24" t="str">
        <f t="shared" si="54"/>
        <v/>
      </c>
      <c r="BE498" s="24" t="str">
        <f t="shared" si="54"/>
        <v/>
      </c>
      <c r="BF498" s="24" t="str">
        <f t="shared" si="54"/>
        <v/>
      </c>
      <c r="BG498" s="24" t="str">
        <f t="shared" si="54"/>
        <v/>
      </c>
      <c r="BH498" s="24" t="str">
        <f t="shared" si="50"/>
        <v/>
      </c>
      <c r="BI498" s="24">
        <f t="shared" si="54"/>
        <v>1</v>
      </c>
      <c r="BJ498" s="24" t="str">
        <f t="shared" si="51"/>
        <v/>
      </c>
    </row>
    <row r="499" spans="1:62" ht="15" customHeight="1" x14ac:dyDescent="0.25">
      <c r="A499" t="str">
        <f>"1376534982"</f>
        <v>1376534982</v>
      </c>
      <c r="B499" t="str">
        <f>"01273032"</f>
        <v>01273032</v>
      </c>
      <c r="C499" t="s">
        <v>6393</v>
      </c>
      <c r="D499" t="s">
        <v>6394</v>
      </c>
      <c r="E499" t="s">
        <v>6395</v>
      </c>
      <c r="G499" t="s">
        <v>6330</v>
      </c>
      <c r="H499" t="s">
        <v>6331</v>
      </c>
      <c r="J499" t="s">
        <v>6332</v>
      </c>
      <c r="L499" t="s">
        <v>120</v>
      </c>
      <c r="M499" t="s">
        <v>108</v>
      </c>
      <c r="R499" t="s">
        <v>6396</v>
      </c>
      <c r="W499" t="s">
        <v>6395</v>
      </c>
      <c r="X499" t="s">
        <v>6397</v>
      </c>
      <c r="Y499" t="s">
        <v>5547</v>
      </c>
      <c r="Z499" t="s">
        <v>111</v>
      </c>
      <c r="AA499" t="str">
        <f>"13795"</f>
        <v>13795</v>
      </c>
      <c r="AB499" t="s">
        <v>123</v>
      </c>
      <c r="AC499" t="s">
        <v>113</v>
      </c>
      <c r="AD499" t="s">
        <v>108</v>
      </c>
      <c r="AE499" t="s">
        <v>114</v>
      </c>
      <c r="AF499" t="s">
        <v>115</v>
      </c>
      <c r="AG499" t="s">
        <v>116</v>
      </c>
      <c r="AK499" t="str">
        <f t="shared" si="49"/>
        <v xml:space="preserve">Giannone Deborah </v>
      </c>
      <c r="AL499" t="s">
        <v>6394</v>
      </c>
      <c r="AM499" t="s">
        <v>108</v>
      </c>
      <c r="AN499" t="s">
        <v>108</v>
      </c>
      <c r="AO499" t="s">
        <v>108</v>
      </c>
      <c r="AP499" t="s">
        <v>108</v>
      </c>
      <c r="AQ499" t="s">
        <v>108</v>
      </c>
      <c r="AR499" t="s">
        <v>108</v>
      </c>
      <c r="AS499" t="s">
        <v>108</v>
      </c>
      <c r="AT499" t="s">
        <v>108</v>
      </c>
      <c r="AU499">
        <v>1</v>
      </c>
      <c r="AV499" t="s">
        <v>108</v>
      </c>
      <c r="AW499" t="s">
        <v>108</v>
      </c>
      <c r="AX499" s="24">
        <f t="shared" si="53"/>
        <v>1</v>
      </c>
      <c r="AY499" s="24" t="str">
        <f t="shared" si="53"/>
        <v/>
      </c>
      <c r="AZ499" s="24" t="str">
        <f t="shared" si="54"/>
        <v/>
      </c>
      <c r="BA499" s="24" t="str">
        <f t="shared" si="54"/>
        <v/>
      </c>
      <c r="BB499" s="24" t="str">
        <f t="shared" si="54"/>
        <v/>
      </c>
      <c r="BC499" s="24" t="str">
        <f t="shared" si="54"/>
        <v/>
      </c>
      <c r="BD499" s="24" t="str">
        <f t="shared" si="54"/>
        <v/>
      </c>
      <c r="BE499" s="24" t="str">
        <f t="shared" si="54"/>
        <v/>
      </c>
      <c r="BF499" s="24" t="str">
        <f t="shared" si="54"/>
        <v/>
      </c>
      <c r="BG499" s="24" t="str">
        <f t="shared" si="54"/>
        <v/>
      </c>
      <c r="BH499" s="24" t="str">
        <f t="shared" si="50"/>
        <v/>
      </c>
      <c r="BI499" s="24">
        <f t="shared" si="54"/>
        <v>1</v>
      </c>
      <c r="BJ499" s="24" t="str">
        <f t="shared" si="51"/>
        <v/>
      </c>
    </row>
    <row r="500" spans="1:62" ht="15" customHeight="1" x14ac:dyDescent="0.25">
      <c r="A500" t="str">
        <f>"1992791479"</f>
        <v>1992791479</v>
      </c>
      <c r="B500" t="str">
        <f>"00939560"</f>
        <v>00939560</v>
      </c>
      <c r="C500" t="s">
        <v>4599</v>
      </c>
      <c r="D500" t="s">
        <v>4600</v>
      </c>
      <c r="E500" t="s">
        <v>4601</v>
      </c>
      <c r="G500" t="s">
        <v>6330</v>
      </c>
      <c r="H500" t="s">
        <v>6331</v>
      </c>
      <c r="J500" t="s">
        <v>6332</v>
      </c>
      <c r="L500" t="s">
        <v>120</v>
      </c>
      <c r="M500" t="s">
        <v>108</v>
      </c>
      <c r="R500" t="s">
        <v>4599</v>
      </c>
      <c r="W500" t="s">
        <v>4601</v>
      </c>
      <c r="X500" t="s">
        <v>4602</v>
      </c>
      <c r="Y500" t="s">
        <v>4151</v>
      </c>
      <c r="Z500" t="s">
        <v>111</v>
      </c>
      <c r="AA500" t="str">
        <f>"13754-1301"</f>
        <v>13754-1301</v>
      </c>
      <c r="AB500" t="s">
        <v>123</v>
      </c>
      <c r="AC500" t="s">
        <v>113</v>
      </c>
      <c r="AD500" t="s">
        <v>108</v>
      </c>
      <c r="AE500" t="s">
        <v>114</v>
      </c>
      <c r="AF500" t="s">
        <v>115</v>
      </c>
      <c r="AG500" t="s">
        <v>116</v>
      </c>
      <c r="AK500" t="str">
        <f t="shared" si="49"/>
        <v/>
      </c>
      <c r="AL500" t="s">
        <v>4600</v>
      </c>
      <c r="AM500">
        <v>1</v>
      </c>
      <c r="AN500">
        <v>1</v>
      </c>
      <c r="AO500">
        <v>0</v>
      </c>
      <c r="AP500">
        <v>1</v>
      </c>
      <c r="AQ500">
        <v>1</v>
      </c>
      <c r="AR500">
        <v>0</v>
      </c>
      <c r="AS500">
        <v>0</v>
      </c>
      <c r="AT500">
        <v>0</v>
      </c>
      <c r="AU500">
        <v>1</v>
      </c>
      <c r="AV500">
        <v>0</v>
      </c>
      <c r="AW500">
        <v>0</v>
      </c>
      <c r="AX500" s="24">
        <f t="shared" si="53"/>
        <v>1</v>
      </c>
      <c r="AY500" s="24" t="str">
        <f t="shared" si="53"/>
        <v/>
      </c>
      <c r="AZ500" s="24" t="str">
        <f t="shared" si="54"/>
        <v/>
      </c>
      <c r="BA500" s="24" t="str">
        <f t="shared" si="54"/>
        <v/>
      </c>
      <c r="BB500" s="24" t="str">
        <f t="shared" si="54"/>
        <v/>
      </c>
      <c r="BC500" s="24" t="str">
        <f t="shared" si="54"/>
        <v/>
      </c>
      <c r="BD500" s="24" t="str">
        <f t="shared" si="54"/>
        <v/>
      </c>
      <c r="BE500" s="24" t="str">
        <f t="shared" si="54"/>
        <v/>
      </c>
      <c r="BF500" s="24" t="str">
        <f t="shared" si="54"/>
        <v/>
      </c>
      <c r="BG500" s="24" t="str">
        <f t="shared" si="54"/>
        <v/>
      </c>
      <c r="BH500" s="24" t="str">
        <f t="shared" si="50"/>
        <v/>
      </c>
      <c r="BI500" s="24">
        <f t="shared" si="54"/>
        <v>1</v>
      </c>
      <c r="BJ500" s="24" t="str">
        <f t="shared" si="51"/>
        <v/>
      </c>
    </row>
    <row r="501" spans="1:62" ht="15" customHeight="1" x14ac:dyDescent="0.25">
      <c r="A501" t="str">
        <f>"1831190867"</f>
        <v>1831190867</v>
      </c>
      <c r="B501" t="str">
        <f>"00411330"</f>
        <v>00411330</v>
      </c>
      <c r="C501" t="s">
        <v>3459</v>
      </c>
      <c r="D501" t="s">
        <v>3460</v>
      </c>
      <c r="E501" t="s">
        <v>3461</v>
      </c>
      <c r="G501" t="s">
        <v>6330</v>
      </c>
      <c r="H501" t="s">
        <v>6331</v>
      </c>
      <c r="J501" t="s">
        <v>6332</v>
      </c>
      <c r="L501" t="s">
        <v>120</v>
      </c>
      <c r="M501" t="s">
        <v>108</v>
      </c>
      <c r="R501" t="s">
        <v>3459</v>
      </c>
      <c r="W501" t="s">
        <v>3462</v>
      </c>
      <c r="X501" t="s">
        <v>3463</v>
      </c>
      <c r="Y501" t="s">
        <v>129</v>
      </c>
      <c r="Z501" t="s">
        <v>111</v>
      </c>
      <c r="AA501" t="str">
        <f>"13790-2120"</f>
        <v>13790-2120</v>
      </c>
      <c r="AB501" t="s">
        <v>123</v>
      </c>
      <c r="AC501" t="s">
        <v>113</v>
      </c>
      <c r="AD501" t="s">
        <v>108</v>
      </c>
      <c r="AE501" t="s">
        <v>114</v>
      </c>
      <c r="AF501" t="s">
        <v>115</v>
      </c>
      <c r="AG501" t="s">
        <v>116</v>
      </c>
      <c r="AK501" t="str">
        <f t="shared" si="49"/>
        <v/>
      </c>
      <c r="AL501" t="s">
        <v>3460</v>
      </c>
      <c r="AM501">
        <v>0</v>
      </c>
      <c r="AN501">
        <v>0</v>
      </c>
      <c r="AO501">
        <v>0</v>
      </c>
      <c r="AP501">
        <v>0</v>
      </c>
      <c r="AQ501">
        <v>0</v>
      </c>
      <c r="AR501">
        <v>0</v>
      </c>
      <c r="AS501">
        <v>0</v>
      </c>
      <c r="AT501">
        <v>0</v>
      </c>
      <c r="AU501">
        <v>0</v>
      </c>
      <c r="AV501">
        <v>0</v>
      </c>
      <c r="AW501">
        <v>0</v>
      </c>
      <c r="AX501" s="24">
        <f t="shared" si="53"/>
        <v>1</v>
      </c>
      <c r="AY501" s="24" t="str">
        <f t="shared" si="53"/>
        <v/>
      </c>
      <c r="AZ501" s="24" t="str">
        <f t="shared" si="54"/>
        <v/>
      </c>
      <c r="BA501" s="24" t="str">
        <f t="shared" si="54"/>
        <v/>
      </c>
      <c r="BB501" s="24" t="str">
        <f t="shared" si="54"/>
        <v/>
      </c>
      <c r="BC501" s="24" t="str">
        <f t="shared" si="54"/>
        <v/>
      </c>
      <c r="BD501" s="24" t="str">
        <f t="shared" si="54"/>
        <v/>
      </c>
      <c r="BE501" s="24" t="str">
        <f t="shared" si="54"/>
        <v/>
      </c>
      <c r="BF501" s="24" t="str">
        <f t="shared" si="54"/>
        <v/>
      </c>
      <c r="BG501" s="24" t="str">
        <f t="shared" si="54"/>
        <v/>
      </c>
      <c r="BH501" s="24" t="str">
        <f t="shared" si="50"/>
        <v/>
      </c>
      <c r="BI501" s="24">
        <f t="shared" si="54"/>
        <v>1</v>
      </c>
      <c r="BJ501" s="24" t="str">
        <f t="shared" si="51"/>
        <v/>
      </c>
    </row>
    <row r="502" spans="1:62" ht="15" customHeight="1" x14ac:dyDescent="0.25">
      <c r="A502" t="str">
        <f>"1225337892"</f>
        <v>1225337892</v>
      </c>
      <c r="B502" t="str">
        <f>"03877992"</f>
        <v>03877992</v>
      </c>
      <c r="C502" t="s">
        <v>4020</v>
      </c>
      <c r="D502" t="s">
        <v>4021</v>
      </c>
      <c r="E502" t="s">
        <v>4020</v>
      </c>
      <c r="G502" t="s">
        <v>699</v>
      </c>
      <c r="H502" t="s">
        <v>700</v>
      </c>
      <c r="J502" t="s">
        <v>701</v>
      </c>
      <c r="L502" t="s">
        <v>120</v>
      </c>
      <c r="M502" t="s">
        <v>108</v>
      </c>
      <c r="R502" t="s">
        <v>4022</v>
      </c>
      <c r="W502" t="s">
        <v>4020</v>
      </c>
      <c r="X502" t="s">
        <v>196</v>
      </c>
      <c r="Y502" t="s">
        <v>181</v>
      </c>
      <c r="Z502" t="s">
        <v>182</v>
      </c>
      <c r="AA502" t="str">
        <f>"18840-1625"</f>
        <v>18840-1625</v>
      </c>
      <c r="AB502" t="s">
        <v>123</v>
      </c>
      <c r="AC502" t="s">
        <v>113</v>
      </c>
      <c r="AD502" t="s">
        <v>108</v>
      </c>
      <c r="AE502" t="s">
        <v>114</v>
      </c>
      <c r="AF502" t="s">
        <v>115</v>
      </c>
      <c r="AG502" t="s">
        <v>116</v>
      </c>
      <c r="AK502" t="str">
        <f t="shared" si="49"/>
        <v/>
      </c>
      <c r="AL502" t="s">
        <v>4021</v>
      </c>
      <c r="AM502">
        <v>1</v>
      </c>
      <c r="AN502">
        <v>1</v>
      </c>
      <c r="AO502">
        <v>0</v>
      </c>
      <c r="AP502">
        <v>0</v>
      </c>
      <c r="AQ502">
        <v>0</v>
      </c>
      <c r="AR502">
        <v>0</v>
      </c>
      <c r="AS502">
        <v>0</v>
      </c>
      <c r="AT502">
        <v>1</v>
      </c>
      <c r="AU502">
        <v>1</v>
      </c>
      <c r="AV502">
        <v>1</v>
      </c>
      <c r="AW502">
        <v>0</v>
      </c>
      <c r="AX502" s="24">
        <f t="shared" si="53"/>
        <v>1</v>
      </c>
      <c r="AY502" s="24" t="str">
        <f t="shared" si="53"/>
        <v/>
      </c>
      <c r="AZ502" s="24" t="str">
        <f t="shared" si="54"/>
        <v/>
      </c>
      <c r="BA502" s="24" t="str">
        <f t="shared" si="54"/>
        <v/>
      </c>
      <c r="BB502" s="24" t="str">
        <f t="shared" si="54"/>
        <v/>
      </c>
      <c r="BC502" s="24" t="str">
        <f t="shared" si="54"/>
        <v/>
      </c>
      <c r="BD502" s="24" t="str">
        <f t="shared" si="54"/>
        <v/>
      </c>
      <c r="BE502" s="24" t="str">
        <f t="shared" si="54"/>
        <v/>
      </c>
      <c r="BF502" s="24" t="str">
        <f t="shared" si="54"/>
        <v/>
      </c>
      <c r="BG502" s="24" t="str">
        <f t="shared" si="54"/>
        <v/>
      </c>
      <c r="BH502" s="24" t="str">
        <f t="shared" si="50"/>
        <v/>
      </c>
      <c r="BI502" s="24">
        <f t="shared" si="54"/>
        <v>1</v>
      </c>
      <c r="BJ502" s="24" t="str">
        <f t="shared" si="51"/>
        <v/>
      </c>
    </row>
    <row r="503" spans="1:62" ht="15" customHeight="1" x14ac:dyDescent="0.25">
      <c r="A503" t="str">
        <f>"1134195381"</f>
        <v>1134195381</v>
      </c>
      <c r="B503" t="str">
        <f>"01032791"</f>
        <v>01032791</v>
      </c>
      <c r="C503" t="s">
        <v>2467</v>
      </c>
      <c r="D503" t="s">
        <v>2468</v>
      </c>
      <c r="E503" t="s">
        <v>2469</v>
      </c>
      <c r="G503" t="s">
        <v>177</v>
      </c>
      <c r="H503" t="s">
        <v>178</v>
      </c>
      <c r="J503" t="s">
        <v>179</v>
      </c>
      <c r="L503" t="s">
        <v>138</v>
      </c>
      <c r="M503" t="s">
        <v>108</v>
      </c>
      <c r="R503" t="s">
        <v>2467</v>
      </c>
      <c r="W503" t="s">
        <v>2469</v>
      </c>
      <c r="X503" t="s">
        <v>180</v>
      </c>
      <c r="Y503" t="s">
        <v>181</v>
      </c>
      <c r="Z503" t="s">
        <v>182</v>
      </c>
      <c r="AA503" t="str">
        <f>"18840"</f>
        <v>18840</v>
      </c>
      <c r="AB503" t="s">
        <v>123</v>
      </c>
      <c r="AC503" t="s">
        <v>113</v>
      </c>
      <c r="AD503" t="s">
        <v>108</v>
      </c>
      <c r="AE503" t="s">
        <v>114</v>
      </c>
      <c r="AF503" t="s">
        <v>115</v>
      </c>
      <c r="AG503" t="s">
        <v>116</v>
      </c>
      <c r="AK503" t="str">
        <f t="shared" si="49"/>
        <v/>
      </c>
      <c r="AL503" t="s">
        <v>2468</v>
      </c>
      <c r="AM503">
        <v>0</v>
      </c>
      <c r="AN503">
        <v>0</v>
      </c>
      <c r="AO503">
        <v>0</v>
      </c>
      <c r="AP503">
        <v>0</v>
      </c>
      <c r="AQ503">
        <v>0</v>
      </c>
      <c r="AR503">
        <v>0</v>
      </c>
      <c r="AS503">
        <v>0</v>
      </c>
      <c r="AT503">
        <v>0</v>
      </c>
      <c r="AU503">
        <v>0</v>
      </c>
      <c r="AV503">
        <v>0</v>
      </c>
      <c r="AW503">
        <v>0</v>
      </c>
      <c r="AX503" s="24" t="str">
        <f t="shared" si="53"/>
        <v/>
      </c>
      <c r="AY503" s="24">
        <f t="shared" si="53"/>
        <v>1</v>
      </c>
      <c r="AZ503" s="24" t="str">
        <f t="shared" si="54"/>
        <v/>
      </c>
      <c r="BA503" s="24" t="str">
        <f t="shared" si="54"/>
        <v/>
      </c>
      <c r="BB503" s="24" t="str">
        <f t="shared" si="54"/>
        <v/>
      </c>
      <c r="BC503" s="24" t="str">
        <f t="shared" si="54"/>
        <v/>
      </c>
      <c r="BD503" s="24" t="str">
        <f t="shared" si="54"/>
        <v/>
      </c>
      <c r="BE503" s="24" t="str">
        <f t="shared" si="54"/>
        <v/>
      </c>
      <c r="BF503" s="24" t="str">
        <f t="shared" si="54"/>
        <v/>
      </c>
      <c r="BG503" s="24" t="str">
        <f t="shared" si="54"/>
        <v/>
      </c>
      <c r="BH503" s="24" t="str">
        <f t="shared" si="50"/>
        <v/>
      </c>
      <c r="BI503" s="24">
        <f t="shared" si="54"/>
        <v>1</v>
      </c>
      <c r="BJ503" s="24" t="str">
        <f t="shared" si="51"/>
        <v/>
      </c>
    </row>
    <row r="504" spans="1:62" ht="15" customHeight="1" x14ac:dyDescent="0.25">
      <c r="A504" t="str">
        <f>"1063474070"</f>
        <v>1063474070</v>
      </c>
      <c r="B504" t="str">
        <f>"02843070"</f>
        <v>02843070</v>
      </c>
      <c r="C504" t="s">
        <v>6426</v>
      </c>
      <c r="D504" t="s">
        <v>6427</v>
      </c>
      <c r="E504" t="s">
        <v>6428</v>
      </c>
      <c r="G504" t="s">
        <v>6330</v>
      </c>
      <c r="H504" t="s">
        <v>6331</v>
      </c>
      <c r="J504" t="s">
        <v>6332</v>
      </c>
      <c r="L504" t="s">
        <v>138</v>
      </c>
      <c r="M504" t="s">
        <v>108</v>
      </c>
      <c r="R504" t="s">
        <v>6429</v>
      </c>
      <c r="W504" t="s">
        <v>6428</v>
      </c>
      <c r="X504" t="s">
        <v>4150</v>
      </c>
      <c r="Y504" t="s">
        <v>4151</v>
      </c>
      <c r="Z504" t="s">
        <v>111</v>
      </c>
      <c r="AA504" t="str">
        <f>"13754-1301"</f>
        <v>13754-1301</v>
      </c>
      <c r="AB504" t="s">
        <v>123</v>
      </c>
      <c r="AC504" t="s">
        <v>113</v>
      </c>
      <c r="AD504" t="s">
        <v>108</v>
      </c>
      <c r="AE504" t="s">
        <v>114</v>
      </c>
      <c r="AF504" t="s">
        <v>115</v>
      </c>
      <c r="AG504" t="s">
        <v>116</v>
      </c>
      <c r="AK504" t="str">
        <f t="shared" si="49"/>
        <v>Gina Callahan, PA</v>
      </c>
      <c r="AL504" t="s">
        <v>6427</v>
      </c>
      <c r="AM504" t="s">
        <v>108</v>
      </c>
      <c r="AN504" t="s">
        <v>108</v>
      </c>
      <c r="AO504" t="s">
        <v>108</v>
      </c>
      <c r="AP504" t="s">
        <v>108</v>
      </c>
      <c r="AQ504" t="s">
        <v>108</v>
      </c>
      <c r="AR504" t="s">
        <v>108</v>
      </c>
      <c r="AS504" t="s">
        <v>108</v>
      </c>
      <c r="AT504" t="s">
        <v>108</v>
      </c>
      <c r="AU504">
        <v>1</v>
      </c>
      <c r="AV504" t="s">
        <v>108</v>
      </c>
      <c r="AW504" t="s">
        <v>108</v>
      </c>
      <c r="AX504" s="24" t="str">
        <f t="shared" si="53"/>
        <v/>
      </c>
      <c r="AY504" s="24">
        <f t="shared" si="53"/>
        <v>1</v>
      </c>
      <c r="AZ504" s="24" t="str">
        <f t="shared" si="54"/>
        <v/>
      </c>
      <c r="BA504" s="24" t="str">
        <f t="shared" si="54"/>
        <v/>
      </c>
      <c r="BB504" s="24" t="str">
        <f t="shared" si="54"/>
        <v/>
      </c>
      <c r="BC504" s="24" t="str">
        <f t="shared" si="54"/>
        <v/>
      </c>
      <c r="BD504" s="24" t="str">
        <f t="shared" si="54"/>
        <v/>
      </c>
      <c r="BE504" s="24" t="str">
        <f t="shared" si="54"/>
        <v/>
      </c>
      <c r="BF504" s="24" t="str">
        <f t="shared" si="54"/>
        <v/>
      </c>
      <c r="BG504" s="24" t="str">
        <f t="shared" si="54"/>
        <v/>
      </c>
      <c r="BH504" s="24" t="str">
        <f t="shared" si="50"/>
        <v/>
      </c>
      <c r="BI504" s="24">
        <f t="shared" si="54"/>
        <v>1</v>
      </c>
      <c r="BJ504" s="24" t="str">
        <f t="shared" si="51"/>
        <v/>
      </c>
    </row>
    <row r="505" spans="1:62" ht="15" customHeight="1" x14ac:dyDescent="0.25">
      <c r="A505" t="str">
        <f>"1851524847"</f>
        <v>1851524847</v>
      </c>
      <c r="B505" t="str">
        <f>"03307962"</f>
        <v>03307962</v>
      </c>
      <c r="C505" t="s">
        <v>3488</v>
      </c>
      <c r="D505" t="s">
        <v>3489</v>
      </c>
      <c r="E505" t="s">
        <v>3490</v>
      </c>
      <c r="L505" t="s">
        <v>138</v>
      </c>
      <c r="M505" t="s">
        <v>108</v>
      </c>
      <c r="R505" t="s">
        <v>3491</v>
      </c>
      <c r="W505" t="s">
        <v>3492</v>
      </c>
      <c r="X505" t="s">
        <v>965</v>
      </c>
      <c r="Y505" t="s">
        <v>966</v>
      </c>
      <c r="Z505" t="s">
        <v>111</v>
      </c>
      <c r="AA505" t="str">
        <f>"13850-1559"</f>
        <v>13850-1559</v>
      </c>
      <c r="AB505" t="s">
        <v>123</v>
      </c>
      <c r="AC505" t="s">
        <v>113</v>
      </c>
      <c r="AD505" t="s">
        <v>108</v>
      </c>
      <c r="AE505" t="s">
        <v>114</v>
      </c>
      <c r="AF505" t="s">
        <v>115</v>
      </c>
      <c r="AG505" t="s">
        <v>116</v>
      </c>
      <c r="AK505" t="str">
        <f t="shared" si="49"/>
        <v/>
      </c>
      <c r="AL505" t="s">
        <v>3489</v>
      </c>
      <c r="AM505">
        <v>0</v>
      </c>
      <c r="AN505">
        <v>0</v>
      </c>
      <c r="AO505">
        <v>0</v>
      </c>
      <c r="AP505">
        <v>0</v>
      </c>
      <c r="AQ505">
        <v>0</v>
      </c>
      <c r="AR505">
        <v>0</v>
      </c>
      <c r="AS505">
        <v>0</v>
      </c>
      <c r="AT505">
        <v>0</v>
      </c>
      <c r="AU505">
        <v>0</v>
      </c>
      <c r="AV505">
        <v>0</v>
      </c>
      <c r="AW505">
        <v>0</v>
      </c>
      <c r="AX505" s="24" t="str">
        <f t="shared" si="53"/>
        <v/>
      </c>
      <c r="AY505" s="24">
        <f t="shared" si="53"/>
        <v>1</v>
      </c>
      <c r="AZ505" s="24" t="str">
        <f t="shared" si="54"/>
        <v/>
      </c>
      <c r="BA505" s="24" t="str">
        <f t="shared" si="54"/>
        <v/>
      </c>
      <c r="BB505" s="24" t="str">
        <f t="shared" si="54"/>
        <v/>
      </c>
      <c r="BC505" s="24" t="str">
        <f t="shared" si="54"/>
        <v/>
      </c>
      <c r="BD505" s="24" t="str">
        <f t="shared" si="54"/>
        <v/>
      </c>
      <c r="BE505" s="24" t="str">
        <f t="shared" si="54"/>
        <v/>
      </c>
      <c r="BF505" s="24" t="str">
        <f t="shared" si="54"/>
        <v/>
      </c>
      <c r="BG505" s="24" t="str">
        <f t="shared" si="54"/>
        <v/>
      </c>
      <c r="BH505" s="24" t="str">
        <f t="shared" si="50"/>
        <v/>
      </c>
      <c r="BI505" s="24">
        <f t="shared" si="54"/>
        <v>1</v>
      </c>
      <c r="BJ505" s="24" t="str">
        <f t="shared" si="51"/>
        <v/>
      </c>
    </row>
    <row r="506" spans="1:62" ht="15" customHeight="1" x14ac:dyDescent="0.25">
      <c r="A506" t="str">
        <f>"1619236585"</f>
        <v>1619236585</v>
      </c>
      <c r="B506" t="str">
        <f>"03448166"</f>
        <v>03448166</v>
      </c>
      <c r="C506" t="s">
        <v>3697</v>
      </c>
      <c r="D506" t="s">
        <v>3698</v>
      </c>
      <c r="E506" t="s">
        <v>3699</v>
      </c>
      <c r="G506" t="s">
        <v>3697</v>
      </c>
      <c r="H506" t="s">
        <v>3687</v>
      </c>
      <c r="J506" t="s">
        <v>3700</v>
      </c>
      <c r="L506" t="s">
        <v>138</v>
      </c>
      <c r="M506" t="s">
        <v>108</v>
      </c>
      <c r="R506" t="s">
        <v>3701</v>
      </c>
      <c r="W506" t="s">
        <v>3702</v>
      </c>
      <c r="X506" t="s">
        <v>1048</v>
      </c>
      <c r="Y506" t="s">
        <v>966</v>
      </c>
      <c r="Z506" t="s">
        <v>111</v>
      </c>
      <c r="AA506" t="str">
        <f>"13850-3514"</f>
        <v>13850-3514</v>
      </c>
      <c r="AB506" t="s">
        <v>123</v>
      </c>
      <c r="AC506" t="s">
        <v>113</v>
      </c>
      <c r="AD506" t="s">
        <v>108</v>
      </c>
      <c r="AE506" t="s">
        <v>114</v>
      </c>
      <c r="AF506" t="s">
        <v>115</v>
      </c>
      <c r="AG506" t="s">
        <v>116</v>
      </c>
      <c r="AK506" t="str">
        <f t="shared" si="49"/>
        <v/>
      </c>
      <c r="AL506" t="s">
        <v>3698</v>
      </c>
      <c r="AM506">
        <v>0</v>
      </c>
      <c r="AN506">
        <v>0</v>
      </c>
      <c r="AO506">
        <v>0</v>
      </c>
      <c r="AP506">
        <v>0</v>
      </c>
      <c r="AQ506">
        <v>0</v>
      </c>
      <c r="AR506">
        <v>0</v>
      </c>
      <c r="AS506">
        <v>0</v>
      </c>
      <c r="AT506">
        <v>0</v>
      </c>
      <c r="AU506">
        <v>0</v>
      </c>
      <c r="AV506">
        <v>0</v>
      </c>
      <c r="AW506">
        <v>0</v>
      </c>
      <c r="AX506" s="24" t="str">
        <f t="shared" si="53"/>
        <v/>
      </c>
      <c r="AY506" s="24">
        <f t="shared" si="53"/>
        <v>1</v>
      </c>
      <c r="AZ506" s="24" t="str">
        <f t="shared" si="54"/>
        <v/>
      </c>
      <c r="BA506" s="24" t="str">
        <f t="shared" si="54"/>
        <v/>
      </c>
      <c r="BB506" s="24" t="str">
        <f t="shared" si="54"/>
        <v/>
      </c>
      <c r="BC506" s="24" t="str">
        <f t="shared" si="54"/>
        <v/>
      </c>
      <c r="BD506" s="24" t="str">
        <f t="shared" si="54"/>
        <v/>
      </c>
      <c r="BE506" s="24" t="str">
        <f t="shared" si="54"/>
        <v/>
      </c>
      <c r="BF506" s="24" t="str">
        <f t="shared" si="54"/>
        <v/>
      </c>
      <c r="BG506" s="24" t="str">
        <f t="shared" si="54"/>
        <v/>
      </c>
      <c r="BH506" s="24" t="str">
        <f t="shared" si="50"/>
        <v/>
      </c>
      <c r="BI506" s="24">
        <f t="shared" si="54"/>
        <v>1</v>
      </c>
      <c r="BJ506" s="24" t="str">
        <f t="shared" si="51"/>
        <v/>
      </c>
    </row>
    <row r="507" spans="1:62" ht="15" customHeight="1" x14ac:dyDescent="0.25">
      <c r="A507" t="str">
        <f>"1871563908"</f>
        <v>1871563908</v>
      </c>
      <c r="B507" t="str">
        <f>"00754870"</f>
        <v>00754870</v>
      </c>
      <c r="C507" t="s">
        <v>3502</v>
      </c>
      <c r="D507" t="s">
        <v>3503</v>
      </c>
      <c r="E507" t="s">
        <v>3504</v>
      </c>
      <c r="L507" t="s">
        <v>120</v>
      </c>
      <c r="M507" t="s">
        <v>108</v>
      </c>
      <c r="R507" t="s">
        <v>3502</v>
      </c>
      <c r="W507" t="s">
        <v>3504</v>
      </c>
      <c r="X507" t="s">
        <v>3505</v>
      </c>
      <c r="Y507" t="s">
        <v>293</v>
      </c>
      <c r="Z507" t="s">
        <v>111</v>
      </c>
      <c r="AA507" t="str">
        <f>"14850"</f>
        <v>14850</v>
      </c>
      <c r="AB507" t="s">
        <v>123</v>
      </c>
      <c r="AC507" t="s">
        <v>113</v>
      </c>
      <c r="AD507" t="s">
        <v>108</v>
      </c>
      <c r="AE507" t="s">
        <v>114</v>
      </c>
      <c r="AF507" t="s">
        <v>142</v>
      </c>
      <c r="AG507" t="s">
        <v>116</v>
      </c>
      <c r="AK507" t="str">
        <f t="shared" si="49"/>
        <v/>
      </c>
      <c r="AL507" t="s">
        <v>3503</v>
      </c>
      <c r="AM507">
        <v>0</v>
      </c>
      <c r="AN507">
        <v>0</v>
      </c>
      <c r="AO507">
        <v>0</v>
      </c>
      <c r="AP507">
        <v>0</v>
      </c>
      <c r="AQ507">
        <v>0</v>
      </c>
      <c r="AR507">
        <v>0</v>
      </c>
      <c r="AS507">
        <v>0</v>
      </c>
      <c r="AT507">
        <v>0</v>
      </c>
      <c r="AU507">
        <v>0</v>
      </c>
      <c r="AV507">
        <v>0</v>
      </c>
      <c r="AW507">
        <v>0</v>
      </c>
      <c r="AX507" s="24">
        <f t="shared" si="53"/>
        <v>1</v>
      </c>
      <c r="AY507" s="24" t="str">
        <f t="shared" si="53"/>
        <v/>
      </c>
      <c r="AZ507" s="24" t="str">
        <f t="shared" si="54"/>
        <v/>
      </c>
      <c r="BA507" s="24" t="str">
        <f t="shared" si="54"/>
        <v/>
      </c>
      <c r="BB507" s="24" t="str">
        <f t="shared" si="54"/>
        <v/>
      </c>
      <c r="BC507" s="24" t="str">
        <f t="shared" si="54"/>
        <v/>
      </c>
      <c r="BD507" s="24" t="str">
        <f t="shared" si="54"/>
        <v/>
      </c>
      <c r="BE507" s="24" t="str">
        <f t="shared" si="54"/>
        <v/>
      </c>
      <c r="BF507" s="24" t="str">
        <f t="shared" si="54"/>
        <v/>
      </c>
      <c r="BG507" s="24" t="str">
        <f t="shared" si="54"/>
        <v/>
      </c>
      <c r="BH507" s="24" t="str">
        <f t="shared" si="50"/>
        <v/>
      </c>
      <c r="BI507" s="24">
        <f t="shared" si="54"/>
        <v>1</v>
      </c>
      <c r="BJ507" s="24" t="str">
        <f t="shared" si="51"/>
        <v/>
      </c>
    </row>
    <row r="508" spans="1:62" ht="15" customHeight="1" x14ac:dyDescent="0.25">
      <c r="C508" t="s">
        <v>1076</v>
      </c>
      <c r="G508" t="s">
        <v>1077</v>
      </c>
      <c r="H508" t="s">
        <v>1078</v>
      </c>
      <c r="J508" t="s">
        <v>1079</v>
      </c>
      <c r="K508" t="s">
        <v>1080</v>
      </c>
      <c r="L508" t="s">
        <v>781</v>
      </c>
      <c r="M508" t="s">
        <v>108</v>
      </c>
      <c r="N508" t="s">
        <v>1081</v>
      </c>
      <c r="O508" t="s">
        <v>1082</v>
      </c>
      <c r="P508" t="s">
        <v>111</v>
      </c>
      <c r="Q508" t="str">
        <f>"13790"</f>
        <v>13790</v>
      </c>
      <c r="AC508" t="s">
        <v>113</v>
      </c>
      <c r="AD508" t="s">
        <v>108</v>
      </c>
      <c r="AE508" t="s">
        <v>784</v>
      </c>
      <c r="AF508" t="s">
        <v>115</v>
      </c>
      <c r="AG508" t="s">
        <v>116</v>
      </c>
      <c r="AK508" t="str">
        <f t="shared" si="49"/>
        <v>Golden Days</v>
      </c>
      <c r="AM508" t="s">
        <v>108</v>
      </c>
      <c r="AN508" t="s">
        <v>108</v>
      </c>
      <c r="AO508" t="s">
        <v>108</v>
      </c>
      <c r="AP508" t="s">
        <v>108</v>
      </c>
      <c r="AQ508" t="s">
        <v>108</v>
      </c>
      <c r="AR508" t="s">
        <v>108</v>
      </c>
      <c r="AS508" t="s">
        <v>108</v>
      </c>
      <c r="AT508" t="s">
        <v>108</v>
      </c>
      <c r="AU508">
        <v>0</v>
      </c>
      <c r="AV508" t="s">
        <v>108</v>
      </c>
      <c r="AW508" t="s">
        <v>108</v>
      </c>
      <c r="AX508" s="24" t="str">
        <f t="shared" si="53"/>
        <v/>
      </c>
      <c r="AY508" s="24" t="str">
        <f t="shared" si="53"/>
        <v/>
      </c>
      <c r="AZ508" s="24" t="str">
        <f t="shared" si="54"/>
        <v/>
      </c>
      <c r="BA508" s="24" t="str">
        <f t="shared" si="54"/>
        <v/>
      </c>
      <c r="BB508" s="24" t="str">
        <f t="shared" si="54"/>
        <v/>
      </c>
      <c r="BC508" s="24" t="str">
        <f t="shared" si="54"/>
        <v/>
      </c>
      <c r="BD508" s="24" t="str">
        <f t="shared" si="54"/>
        <v/>
      </c>
      <c r="BE508" s="24" t="str">
        <f t="shared" si="54"/>
        <v/>
      </c>
      <c r="BF508" s="24" t="str">
        <f t="shared" si="54"/>
        <v/>
      </c>
      <c r="BG508" s="24" t="str">
        <f t="shared" si="54"/>
        <v/>
      </c>
      <c r="BH508" s="24">
        <f t="shared" si="50"/>
        <v>1</v>
      </c>
      <c r="BI508" s="24" t="str">
        <f t="shared" si="54"/>
        <v/>
      </c>
      <c r="BJ508" s="24" t="str">
        <f t="shared" si="51"/>
        <v/>
      </c>
    </row>
    <row r="509" spans="1:62" ht="15" customHeight="1" x14ac:dyDescent="0.25">
      <c r="A509" t="str">
        <f>"1396924023"</f>
        <v>1396924023</v>
      </c>
      <c r="B509" t="str">
        <f>"03294328"</f>
        <v>03294328</v>
      </c>
      <c r="C509" t="s">
        <v>5144</v>
      </c>
      <c r="D509" t="s">
        <v>5145</v>
      </c>
      <c r="E509" t="s">
        <v>5144</v>
      </c>
      <c r="L509" t="s">
        <v>809</v>
      </c>
      <c r="M509" t="s">
        <v>108</v>
      </c>
      <c r="R509" t="s">
        <v>5144</v>
      </c>
      <c r="W509" t="s">
        <v>5146</v>
      </c>
      <c r="X509" t="s">
        <v>810</v>
      </c>
      <c r="Y509" t="s">
        <v>110</v>
      </c>
      <c r="Z509" t="s">
        <v>111</v>
      </c>
      <c r="AA509" t="str">
        <f>"13905-2522"</f>
        <v>13905-2522</v>
      </c>
      <c r="AB509" t="s">
        <v>811</v>
      </c>
      <c r="AC509" t="s">
        <v>113</v>
      </c>
      <c r="AD509" t="s">
        <v>108</v>
      </c>
      <c r="AE509" t="s">
        <v>114</v>
      </c>
      <c r="AF509" t="s">
        <v>115</v>
      </c>
      <c r="AG509" t="s">
        <v>116</v>
      </c>
      <c r="AK509" t="str">
        <f t="shared" si="49"/>
        <v/>
      </c>
      <c r="AL509" t="s">
        <v>5145</v>
      </c>
      <c r="AM509">
        <v>0</v>
      </c>
      <c r="AN509">
        <v>0</v>
      </c>
      <c r="AO509">
        <v>0</v>
      </c>
      <c r="AP509">
        <v>0</v>
      </c>
      <c r="AQ509">
        <v>0</v>
      </c>
      <c r="AR509">
        <v>0</v>
      </c>
      <c r="AS509">
        <v>0</v>
      </c>
      <c r="AT509">
        <v>0</v>
      </c>
      <c r="AU509">
        <v>0</v>
      </c>
      <c r="AV509">
        <v>0</v>
      </c>
      <c r="AW509">
        <v>0</v>
      </c>
      <c r="AX509" s="24" t="str">
        <f t="shared" si="53"/>
        <v/>
      </c>
      <c r="AY509" s="24">
        <f t="shared" si="53"/>
        <v>1</v>
      </c>
      <c r="AZ509" s="24" t="str">
        <f t="shared" si="54"/>
        <v/>
      </c>
      <c r="BA509" s="24" t="str">
        <f t="shared" si="54"/>
        <v/>
      </c>
      <c r="BB509" s="24" t="str">
        <f t="shared" si="54"/>
        <v/>
      </c>
      <c r="BC509" s="24">
        <f t="shared" si="54"/>
        <v>1</v>
      </c>
      <c r="BD509" s="24" t="str">
        <f t="shared" si="54"/>
        <v/>
      </c>
      <c r="BE509" s="24" t="str">
        <f t="shared" si="54"/>
        <v/>
      </c>
      <c r="BF509" s="24" t="str">
        <f t="shared" si="54"/>
        <v/>
      </c>
      <c r="BG509" s="24" t="str">
        <f t="shared" si="54"/>
        <v/>
      </c>
      <c r="BH509" s="24" t="str">
        <f t="shared" si="50"/>
        <v/>
      </c>
      <c r="BI509" s="24" t="str">
        <f t="shared" si="54"/>
        <v/>
      </c>
      <c r="BJ509" s="24" t="str">
        <f t="shared" si="51"/>
        <v/>
      </c>
    </row>
    <row r="510" spans="1:62" ht="15" customHeight="1" x14ac:dyDescent="0.25">
      <c r="A510" t="str">
        <f>"1841285939"</f>
        <v>1841285939</v>
      </c>
      <c r="B510" t="str">
        <f>"00474699"</f>
        <v>00474699</v>
      </c>
      <c r="C510" t="s">
        <v>1386</v>
      </c>
      <c r="D510" t="s">
        <v>1387</v>
      </c>
      <c r="E510" t="s">
        <v>1388</v>
      </c>
      <c r="G510" t="s">
        <v>1389</v>
      </c>
      <c r="H510" t="s">
        <v>1390</v>
      </c>
      <c r="J510" t="s">
        <v>1391</v>
      </c>
      <c r="L510" t="s">
        <v>1382</v>
      </c>
      <c r="M510" t="s">
        <v>139</v>
      </c>
      <c r="R510" t="s">
        <v>1392</v>
      </c>
      <c r="W510" t="s">
        <v>1388</v>
      </c>
      <c r="X510" t="s">
        <v>1393</v>
      </c>
      <c r="Y510" t="s">
        <v>110</v>
      </c>
      <c r="Z510" t="s">
        <v>111</v>
      </c>
      <c r="AA510" t="str">
        <f>"13904-1132"</f>
        <v>13904-1132</v>
      </c>
      <c r="AB510" t="s">
        <v>312</v>
      </c>
      <c r="AC510" t="s">
        <v>113</v>
      </c>
      <c r="AD510" t="s">
        <v>108</v>
      </c>
      <c r="AE510" t="s">
        <v>114</v>
      </c>
      <c r="AF510" t="s">
        <v>115</v>
      </c>
      <c r="AG510" t="s">
        <v>116</v>
      </c>
      <c r="AK510" t="str">
        <f t="shared" si="49"/>
        <v/>
      </c>
      <c r="AL510" t="s">
        <v>1387</v>
      </c>
      <c r="AM510">
        <v>1</v>
      </c>
      <c r="AN510">
        <v>0</v>
      </c>
      <c r="AO510">
        <v>1</v>
      </c>
      <c r="AP510">
        <v>0</v>
      </c>
      <c r="AQ510">
        <v>0</v>
      </c>
      <c r="AR510">
        <v>0</v>
      </c>
      <c r="AS510">
        <v>0</v>
      </c>
      <c r="AT510">
        <v>0</v>
      </c>
      <c r="AU510">
        <v>0</v>
      </c>
      <c r="AV510">
        <v>0</v>
      </c>
      <c r="AW510">
        <v>0</v>
      </c>
      <c r="AX510" s="24" t="str">
        <f t="shared" si="53"/>
        <v/>
      </c>
      <c r="AY510" s="24" t="str">
        <f t="shared" si="53"/>
        <v/>
      </c>
      <c r="AZ510" s="24" t="str">
        <f t="shared" si="54"/>
        <v/>
      </c>
      <c r="BA510" s="24" t="str">
        <f t="shared" si="54"/>
        <v/>
      </c>
      <c r="BB510" s="24" t="str">
        <f t="shared" si="54"/>
        <v/>
      </c>
      <c r="BC510" s="24" t="str">
        <f t="shared" si="54"/>
        <v/>
      </c>
      <c r="BD510" s="24" t="str">
        <f t="shared" si="54"/>
        <v/>
      </c>
      <c r="BE510" s="24">
        <f t="shared" si="54"/>
        <v>1</v>
      </c>
      <c r="BF510" s="24" t="str">
        <f t="shared" si="54"/>
        <v/>
      </c>
      <c r="BG510" s="24" t="str">
        <f t="shared" si="54"/>
        <v/>
      </c>
      <c r="BH510" s="24" t="str">
        <f t="shared" si="50"/>
        <v/>
      </c>
      <c r="BI510" s="24">
        <f t="shared" si="54"/>
        <v>1</v>
      </c>
      <c r="BJ510" s="24" t="str">
        <f t="shared" si="51"/>
        <v/>
      </c>
    </row>
    <row r="511" spans="1:62" ht="15" customHeight="1" x14ac:dyDescent="0.25">
      <c r="B511" t="str">
        <f>"03037661"</f>
        <v>03037661</v>
      </c>
      <c r="C511" t="s">
        <v>1394</v>
      </c>
      <c r="D511" t="s">
        <v>1395</v>
      </c>
      <c r="E511" t="s">
        <v>1396</v>
      </c>
      <c r="G511" t="s">
        <v>1389</v>
      </c>
      <c r="H511" t="s">
        <v>1390</v>
      </c>
      <c r="J511" t="s">
        <v>1391</v>
      </c>
      <c r="L511" t="s">
        <v>68</v>
      </c>
      <c r="M511" t="s">
        <v>108</v>
      </c>
      <c r="W511" t="s">
        <v>1396</v>
      </c>
      <c r="X511" t="s">
        <v>1393</v>
      </c>
      <c r="Y511" t="s">
        <v>110</v>
      </c>
      <c r="Z511" t="s">
        <v>111</v>
      </c>
      <c r="AA511" t="str">
        <f>"13904-1132"</f>
        <v>13904-1132</v>
      </c>
      <c r="AB511" t="s">
        <v>165</v>
      </c>
      <c r="AC511" t="s">
        <v>113</v>
      </c>
      <c r="AD511" t="s">
        <v>108</v>
      </c>
      <c r="AE511" t="s">
        <v>114</v>
      </c>
      <c r="AF511" t="s">
        <v>115</v>
      </c>
      <c r="AG511" t="s">
        <v>116</v>
      </c>
      <c r="AK511" t="str">
        <f t="shared" si="49"/>
        <v/>
      </c>
      <c r="AL511" t="s">
        <v>1395</v>
      </c>
      <c r="AM511">
        <v>1</v>
      </c>
      <c r="AN511">
        <v>0</v>
      </c>
      <c r="AO511">
        <v>1</v>
      </c>
      <c r="AP511">
        <v>0</v>
      </c>
      <c r="AQ511">
        <v>0</v>
      </c>
      <c r="AR511">
        <v>0</v>
      </c>
      <c r="AS511">
        <v>0</v>
      </c>
      <c r="AT511">
        <v>0</v>
      </c>
      <c r="AU511">
        <v>0</v>
      </c>
      <c r="AV511">
        <v>0</v>
      </c>
      <c r="AW511">
        <v>0</v>
      </c>
      <c r="AX511" s="24" t="str">
        <f t="shared" si="53"/>
        <v/>
      </c>
      <c r="AY511" s="24" t="str">
        <f t="shared" si="53"/>
        <v/>
      </c>
      <c r="AZ511" s="24" t="str">
        <f t="shared" si="54"/>
        <v/>
      </c>
      <c r="BA511" s="24" t="str">
        <f t="shared" si="54"/>
        <v/>
      </c>
      <c r="BB511" s="24" t="str">
        <f t="shared" si="54"/>
        <v/>
      </c>
      <c r="BC511" s="24" t="str">
        <f t="shared" si="54"/>
        <v/>
      </c>
      <c r="BD511" s="24" t="str">
        <f t="shared" si="54"/>
        <v/>
      </c>
      <c r="BE511" s="24" t="str">
        <f t="shared" si="54"/>
        <v/>
      </c>
      <c r="BF511" s="24" t="str">
        <f t="shared" si="54"/>
        <v/>
      </c>
      <c r="BG511" s="24" t="str">
        <f t="shared" si="54"/>
        <v/>
      </c>
      <c r="BH511" s="24" t="str">
        <f t="shared" si="50"/>
        <v/>
      </c>
      <c r="BI511" s="24">
        <f t="shared" si="54"/>
        <v>1</v>
      </c>
      <c r="BJ511" s="24" t="str">
        <f t="shared" si="51"/>
        <v/>
      </c>
    </row>
    <row r="512" spans="1:62" ht="15" customHeight="1" x14ac:dyDescent="0.25">
      <c r="A512" t="str">
        <f>"1710946686"</f>
        <v>1710946686</v>
      </c>
      <c r="B512" t="str">
        <f>"00364961"</f>
        <v>00364961</v>
      </c>
      <c r="C512" t="s">
        <v>4023</v>
      </c>
      <c r="D512" t="s">
        <v>4024</v>
      </c>
      <c r="E512" t="s">
        <v>4023</v>
      </c>
      <c r="G512" t="s">
        <v>699</v>
      </c>
      <c r="H512" t="s">
        <v>700</v>
      </c>
      <c r="J512" t="s">
        <v>701</v>
      </c>
      <c r="L512" t="s">
        <v>138</v>
      </c>
      <c r="M512" t="s">
        <v>108</v>
      </c>
      <c r="R512" t="s">
        <v>4025</v>
      </c>
      <c r="W512" t="s">
        <v>4023</v>
      </c>
      <c r="X512" t="s">
        <v>186</v>
      </c>
      <c r="Y512" t="s">
        <v>181</v>
      </c>
      <c r="Z512" t="s">
        <v>182</v>
      </c>
      <c r="AA512" t="str">
        <f>"16947"</f>
        <v>16947</v>
      </c>
      <c r="AB512" t="s">
        <v>123</v>
      </c>
      <c r="AC512" t="s">
        <v>113</v>
      </c>
      <c r="AD512" t="s">
        <v>108</v>
      </c>
      <c r="AE512" t="s">
        <v>114</v>
      </c>
      <c r="AF512" t="s">
        <v>115</v>
      </c>
      <c r="AG512" t="s">
        <v>116</v>
      </c>
      <c r="AK512" t="str">
        <f t="shared" si="49"/>
        <v/>
      </c>
      <c r="AL512" t="s">
        <v>4024</v>
      </c>
      <c r="AM512">
        <v>1</v>
      </c>
      <c r="AN512">
        <v>1</v>
      </c>
      <c r="AO512">
        <v>0</v>
      </c>
      <c r="AP512">
        <v>0</v>
      </c>
      <c r="AQ512">
        <v>0</v>
      </c>
      <c r="AR512">
        <v>0</v>
      </c>
      <c r="AS512">
        <v>0</v>
      </c>
      <c r="AT512">
        <v>0</v>
      </c>
      <c r="AU512">
        <v>0</v>
      </c>
      <c r="AV512">
        <v>1</v>
      </c>
      <c r="AW512">
        <v>0</v>
      </c>
      <c r="AX512" s="24" t="str">
        <f t="shared" si="53"/>
        <v/>
      </c>
      <c r="AY512" s="24">
        <f t="shared" si="53"/>
        <v>1</v>
      </c>
      <c r="AZ512" s="24" t="str">
        <f t="shared" si="54"/>
        <v/>
      </c>
      <c r="BA512" s="24" t="str">
        <f t="shared" si="54"/>
        <v/>
      </c>
      <c r="BB512" s="24" t="str">
        <f t="shared" si="54"/>
        <v/>
      </c>
      <c r="BC512" s="24" t="str">
        <f t="shared" si="54"/>
        <v/>
      </c>
      <c r="BD512" s="24" t="str">
        <f t="shared" si="54"/>
        <v/>
      </c>
      <c r="BE512" s="24" t="str">
        <f t="shared" si="54"/>
        <v/>
      </c>
      <c r="BF512" s="24" t="str">
        <f t="shared" si="54"/>
        <v/>
      </c>
      <c r="BG512" s="24" t="str">
        <f t="shared" si="54"/>
        <v/>
      </c>
      <c r="BH512" s="24" t="str">
        <f t="shared" si="50"/>
        <v/>
      </c>
      <c r="BI512" s="24">
        <f t="shared" si="54"/>
        <v>1</v>
      </c>
      <c r="BJ512" s="24" t="str">
        <f t="shared" si="51"/>
        <v/>
      </c>
    </row>
    <row r="513" spans="1:62" ht="15" customHeight="1" x14ac:dyDescent="0.25">
      <c r="A513" t="str">
        <f>"1528224334"</f>
        <v>1528224334</v>
      </c>
      <c r="B513" t="str">
        <f>"03349066"</f>
        <v>03349066</v>
      </c>
      <c r="C513" t="s">
        <v>854</v>
      </c>
      <c r="D513" t="s">
        <v>855</v>
      </c>
      <c r="E513" t="s">
        <v>856</v>
      </c>
      <c r="L513" t="s">
        <v>138</v>
      </c>
      <c r="M513" t="s">
        <v>108</v>
      </c>
      <c r="R513" t="s">
        <v>854</v>
      </c>
      <c r="W513" t="s">
        <v>856</v>
      </c>
      <c r="X513" t="s">
        <v>406</v>
      </c>
      <c r="Y513" t="s">
        <v>129</v>
      </c>
      <c r="Z513" t="s">
        <v>111</v>
      </c>
      <c r="AA513" t="str">
        <f>"13790-2107"</f>
        <v>13790-2107</v>
      </c>
      <c r="AB513" t="s">
        <v>123</v>
      </c>
      <c r="AC513" t="s">
        <v>113</v>
      </c>
      <c r="AD513" t="s">
        <v>108</v>
      </c>
      <c r="AE513" t="s">
        <v>114</v>
      </c>
      <c r="AF513" t="s">
        <v>115</v>
      </c>
      <c r="AG513" t="s">
        <v>116</v>
      </c>
      <c r="AK513" t="str">
        <f t="shared" si="49"/>
        <v/>
      </c>
      <c r="AL513" t="s">
        <v>855</v>
      </c>
      <c r="AM513">
        <v>0</v>
      </c>
      <c r="AN513">
        <v>0</v>
      </c>
      <c r="AO513">
        <v>0</v>
      </c>
      <c r="AP513">
        <v>0</v>
      </c>
      <c r="AQ513">
        <v>0</v>
      </c>
      <c r="AR513">
        <v>0</v>
      </c>
      <c r="AS513">
        <v>0</v>
      </c>
      <c r="AT513">
        <v>0</v>
      </c>
      <c r="AU513">
        <v>0</v>
      </c>
      <c r="AV513">
        <v>0</v>
      </c>
      <c r="AW513">
        <v>0</v>
      </c>
      <c r="AX513" s="24" t="str">
        <f t="shared" si="53"/>
        <v/>
      </c>
      <c r="AY513" s="24">
        <f t="shared" si="53"/>
        <v>1</v>
      </c>
      <c r="AZ513" s="24" t="str">
        <f t="shared" si="54"/>
        <v/>
      </c>
      <c r="BA513" s="24" t="str">
        <f t="shared" si="54"/>
        <v/>
      </c>
      <c r="BB513" s="24" t="str">
        <f t="shared" si="54"/>
        <v/>
      </c>
      <c r="BC513" s="24" t="str">
        <f t="shared" si="54"/>
        <v/>
      </c>
      <c r="BD513" s="24" t="str">
        <f t="shared" si="54"/>
        <v/>
      </c>
      <c r="BE513" s="24" t="str">
        <f t="shared" si="54"/>
        <v/>
      </c>
      <c r="BF513" s="24" t="str">
        <f t="shared" si="54"/>
        <v/>
      </c>
      <c r="BG513" s="24" t="str">
        <f t="shared" si="54"/>
        <v/>
      </c>
      <c r="BH513" s="24" t="str">
        <f t="shared" si="50"/>
        <v/>
      </c>
      <c r="BI513" s="24">
        <f t="shared" si="54"/>
        <v>1</v>
      </c>
      <c r="BJ513" s="24" t="str">
        <f t="shared" si="51"/>
        <v/>
      </c>
    </row>
    <row r="514" spans="1:62" ht="15" customHeight="1" x14ac:dyDescent="0.25">
      <c r="A514" t="str">
        <f>"1376912303"</f>
        <v>1376912303</v>
      </c>
      <c r="C514" t="s">
        <v>6389</v>
      </c>
      <c r="G514" t="s">
        <v>6330</v>
      </c>
      <c r="H514" t="s">
        <v>6331</v>
      </c>
      <c r="J514" t="s">
        <v>6332</v>
      </c>
      <c r="K514" t="s">
        <v>6876</v>
      </c>
      <c r="L514" t="s">
        <v>247</v>
      </c>
      <c r="M514" t="s">
        <v>108</v>
      </c>
      <c r="R514" t="s">
        <v>6390</v>
      </c>
      <c r="S514" t="s">
        <v>6391</v>
      </c>
      <c r="T514" t="s">
        <v>6392</v>
      </c>
      <c r="U514" t="s">
        <v>182</v>
      </c>
      <c r="V514" t="str">
        <f>"190061738"</f>
        <v>190061738</v>
      </c>
      <c r="AC514" t="s">
        <v>113</v>
      </c>
      <c r="AD514" t="s">
        <v>108</v>
      </c>
      <c r="AE514" t="s">
        <v>775</v>
      </c>
      <c r="AF514" t="s">
        <v>115</v>
      </c>
      <c r="AG514" t="s">
        <v>116</v>
      </c>
      <c r="AK514" t="str">
        <f t="shared" ref="AK514:AK577" si="55">IF(AM514="No",C514,"")</f>
        <v>Goodrich Victoria</v>
      </c>
      <c r="AM514" t="s">
        <v>108</v>
      </c>
      <c r="AN514" t="s">
        <v>108</v>
      </c>
      <c r="AO514" t="s">
        <v>108</v>
      </c>
      <c r="AP514" t="s">
        <v>108</v>
      </c>
      <c r="AQ514" t="s">
        <v>108</v>
      </c>
      <c r="AR514" t="s">
        <v>108</v>
      </c>
      <c r="AS514" t="s">
        <v>108</v>
      </c>
      <c r="AT514" t="s">
        <v>108</v>
      </c>
      <c r="AU514">
        <v>1</v>
      </c>
      <c r="AV514" t="s">
        <v>108</v>
      </c>
      <c r="AW514" t="s">
        <v>108</v>
      </c>
      <c r="AX514" s="24" t="str">
        <f t="shared" si="53"/>
        <v/>
      </c>
      <c r="AY514" s="24">
        <f t="shared" si="53"/>
        <v>1</v>
      </c>
      <c r="AZ514" s="24" t="str">
        <f t="shared" si="54"/>
        <v/>
      </c>
      <c r="BA514" s="24" t="str">
        <f t="shared" si="54"/>
        <v/>
      </c>
      <c r="BB514" s="24" t="str">
        <f t="shared" si="54"/>
        <v/>
      </c>
      <c r="BC514" s="24" t="str">
        <f t="shared" si="54"/>
        <v/>
      </c>
      <c r="BD514" s="24" t="str">
        <f t="shared" si="54"/>
        <v/>
      </c>
      <c r="BE514" s="24" t="str">
        <f t="shared" si="54"/>
        <v/>
      </c>
      <c r="BF514" s="24" t="str">
        <f t="shared" si="54"/>
        <v/>
      </c>
      <c r="BG514" s="24" t="str">
        <f t="shared" si="54"/>
        <v/>
      </c>
      <c r="BH514" s="24" t="str">
        <f t="shared" si="50"/>
        <v/>
      </c>
      <c r="BI514" s="24" t="str">
        <f t="shared" si="54"/>
        <v/>
      </c>
      <c r="BJ514" s="24" t="str">
        <f t="shared" si="51"/>
        <v/>
      </c>
    </row>
    <row r="515" spans="1:62" ht="15" customHeight="1" x14ac:dyDescent="0.25">
      <c r="A515" t="str">
        <f>"1518139856"</f>
        <v>1518139856</v>
      </c>
      <c r="B515" t="str">
        <f>"02958056"</f>
        <v>02958056</v>
      </c>
      <c r="C515" t="s">
        <v>4607</v>
      </c>
      <c r="D515" t="s">
        <v>4608</v>
      </c>
      <c r="E515" t="s">
        <v>4609</v>
      </c>
      <c r="L515" t="s">
        <v>247</v>
      </c>
      <c r="M515" t="s">
        <v>108</v>
      </c>
      <c r="R515" t="s">
        <v>4607</v>
      </c>
      <c r="W515" t="s">
        <v>4610</v>
      </c>
      <c r="X515" t="s">
        <v>881</v>
      </c>
      <c r="Y515" t="s">
        <v>321</v>
      </c>
      <c r="Z515" t="s">
        <v>111</v>
      </c>
      <c r="AA515" t="str">
        <f>"13760-5430"</f>
        <v>13760-5430</v>
      </c>
      <c r="AB515" t="s">
        <v>1000</v>
      </c>
      <c r="AC515" t="s">
        <v>113</v>
      </c>
      <c r="AD515" t="s">
        <v>108</v>
      </c>
      <c r="AE515" t="s">
        <v>114</v>
      </c>
      <c r="AF515" t="s">
        <v>115</v>
      </c>
      <c r="AG515" t="s">
        <v>116</v>
      </c>
      <c r="AK515" t="str">
        <f t="shared" si="55"/>
        <v>GOTTLIEB MEGAN</v>
      </c>
      <c r="AL515" t="s">
        <v>4608</v>
      </c>
      <c r="AM515" t="s">
        <v>108</v>
      </c>
      <c r="AN515" t="s">
        <v>108</v>
      </c>
      <c r="AO515" t="s">
        <v>108</v>
      </c>
      <c r="AP515" t="s">
        <v>108</v>
      </c>
      <c r="AQ515" t="s">
        <v>108</v>
      </c>
      <c r="AR515" t="s">
        <v>108</v>
      </c>
      <c r="AS515" t="s">
        <v>108</v>
      </c>
      <c r="AT515" t="s">
        <v>108</v>
      </c>
      <c r="AU515">
        <v>0</v>
      </c>
      <c r="AV515" t="s">
        <v>108</v>
      </c>
      <c r="AW515" t="s">
        <v>108</v>
      </c>
      <c r="AX515" s="24" t="str">
        <f t="shared" si="53"/>
        <v/>
      </c>
      <c r="AY515" s="24">
        <f t="shared" si="53"/>
        <v>1</v>
      </c>
      <c r="AZ515" s="24" t="str">
        <f t="shared" si="54"/>
        <v/>
      </c>
      <c r="BA515" s="24" t="str">
        <f t="shared" si="54"/>
        <v/>
      </c>
      <c r="BB515" s="24" t="str">
        <f t="shared" si="54"/>
        <v/>
      </c>
      <c r="BC515" s="24" t="str">
        <f t="shared" si="54"/>
        <v/>
      </c>
      <c r="BD515" s="24" t="str">
        <f t="shared" si="54"/>
        <v/>
      </c>
      <c r="BE515" s="24" t="str">
        <f t="shared" si="54"/>
        <v/>
      </c>
      <c r="BF515" s="24" t="str">
        <f t="shared" si="54"/>
        <v/>
      </c>
      <c r="BG515" s="24" t="str">
        <f t="shared" si="54"/>
        <v/>
      </c>
      <c r="BH515" s="24" t="str">
        <f t="shared" ref="BH515:BH578" si="56">IF(ISERROR(FIND("CBO",$L515,1)),"",1)</f>
        <v/>
      </c>
      <c r="BI515" s="24" t="str">
        <f t="shared" si="54"/>
        <v/>
      </c>
      <c r="BJ515" s="24" t="str">
        <f t="shared" si="51"/>
        <v/>
      </c>
    </row>
    <row r="516" spans="1:62" ht="15" customHeight="1" x14ac:dyDescent="0.25">
      <c r="A516" t="str">
        <f>"1992785497"</f>
        <v>1992785497</v>
      </c>
      <c r="B516" t="str">
        <f>"03064642"</f>
        <v>03064642</v>
      </c>
      <c r="C516" t="s">
        <v>2929</v>
      </c>
      <c r="D516" t="s">
        <v>2930</v>
      </c>
      <c r="E516" t="s">
        <v>2931</v>
      </c>
      <c r="G516" t="s">
        <v>177</v>
      </c>
      <c r="H516" t="s">
        <v>178</v>
      </c>
      <c r="J516" t="s">
        <v>179</v>
      </c>
      <c r="L516" t="s">
        <v>247</v>
      </c>
      <c r="M516" t="s">
        <v>108</v>
      </c>
      <c r="R516" t="s">
        <v>2929</v>
      </c>
      <c r="W516" t="s">
        <v>2931</v>
      </c>
      <c r="X516" t="s">
        <v>196</v>
      </c>
      <c r="Y516" t="s">
        <v>181</v>
      </c>
      <c r="Z516" t="s">
        <v>182</v>
      </c>
      <c r="AA516" t="str">
        <f>"18840-1625"</f>
        <v>18840-1625</v>
      </c>
      <c r="AB516" t="s">
        <v>123</v>
      </c>
      <c r="AC516" t="s">
        <v>113</v>
      </c>
      <c r="AD516" t="s">
        <v>108</v>
      </c>
      <c r="AE516" t="s">
        <v>114</v>
      </c>
      <c r="AF516" t="s">
        <v>115</v>
      </c>
      <c r="AG516" t="s">
        <v>116</v>
      </c>
      <c r="AK516" t="str">
        <f t="shared" si="55"/>
        <v/>
      </c>
      <c r="AL516" t="s">
        <v>2930</v>
      </c>
      <c r="AM516">
        <v>1</v>
      </c>
      <c r="AN516">
        <v>1</v>
      </c>
      <c r="AO516">
        <v>0</v>
      </c>
      <c r="AP516">
        <v>0</v>
      </c>
      <c r="AQ516">
        <v>0</v>
      </c>
      <c r="AR516">
        <v>0</v>
      </c>
      <c r="AS516">
        <v>0</v>
      </c>
      <c r="AT516">
        <v>0</v>
      </c>
      <c r="AU516">
        <v>0</v>
      </c>
      <c r="AV516">
        <v>1</v>
      </c>
      <c r="AW516">
        <v>0</v>
      </c>
      <c r="AX516" s="24" t="str">
        <f t="shared" si="53"/>
        <v/>
      </c>
      <c r="AY516" s="24">
        <f t="shared" si="53"/>
        <v>1</v>
      </c>
      <c r="AZ516" s="24" t="str">
        <f t="shared" si="54"/>
        <v/>
      </c>
      <c r="BA516" s="24" t="str">
        <f t="shared" si="54"/>
        <v/>
      </c>
      <c r="BB516" s="24" t="str">
        <f t="shared" si="54"/>
        <v/>
      </c>
      <c r="BC516" s="24" t="str">
        <f t="shared" si="54"/>
        <v/>
      </c>
      <c r="BD516" s="24" t="str">
        <f t="shared" si="54"/>
        <v/>
      </c>
      <c r="BE516" s="24" t="str">
        <f t="shared" si="54"/>
        <v/>
      </c>
      <c r="BF516" s="24" t="str">
        <f t="shared" si="54"/>
        <v/>
      </c>
      <c r="BG516" s="24" t="str">
        <f t="shared" si="54"/>
        <v/>
      </c>
      <c r="BH516" s="24" t="str">
        <f t="shared" si="56"/>
        <v/>
      </c>
      <c r="BI516" s="24" t="str">
        <f t="shared" si="54"/>
        <v/>
      </c>
      <c r="BJ516" s="24" t="str">
        <f t="shared" si="51"/>
        <v/>
      </c>
    </row>
    <row r="517" spans="1:62" ht="15" customHeight="1" x14ac:dyDescent="0.25">
      <c r="A517" t="str">
        <f>"1427207133"</f>
        <v>1427207133</v>
      </c>
      <c r="B517" t="str">
        <f>"03486940"</f>
        <v>03486940</v>
      </c>
      <c r="C517" t="s">
        <v>2004</v>
      </c>
      <c r="D517" t="s">
        <v>2005</v>
      </c>
      <c r="E517" t="s">
        <v>2006</v>
      </c>
      <c r="L517" t="s">
        <v>442</v>
      </c>
      <c r="M517" t="s">
        <v>108</v>
      </c>
      <c r="R517" t="s">
        <v>2004</v>
      </c>
      <c r="W517" t="s">
        <v>2006</v>
      </c>
      <c r="X517" t="s">
        <v>2007</v>
      </c>
      <c r="Y517" t="s">
        <v>335</v>
      </c>
      <c r="Z517" t="s">
        <v>111</v>
      </c>
      <c r="AA517" t="str">
        <f>"13820-2531"</f>
        <v>13820-2531</v>
      </c>
      <c r="AB517" t="s">
        <v>123</v>
      </c>
      <c r="AC517" t="s">
        <v>113</v>
      </c>
      <c r="AD517" t="s">
        <v>108</v>
      </c>
      <c r="AE517" t="s">
        <v>114</v>
      </c>
      <c r="AF517" t="s">
        <v>124</v>
      </c>
      <c r="AG517" t="s">
        <v>116</v>
      </c>
      <c r="AK517" t="str">
        <f t="shared" si="55"/>
        <v/>
      </c>
      <c r="AL517" t="s">
        <v>2005</v>
      </c>
      <c r="AM517">
        <v>0</v>
      </c>
      <c r="AN517">
        <v>0</v>
      </c>
      <c r="AO517">
        <v>0</v>
      </c>
      <c r="AP517">
        <v>0</v>
      </c>
      <c r="AQ517">
        <v>0</v>
      </c>
      <c r="AR517">
        <v>0</v>
      </c>
      <c r="AS517">
        <v>0</v>
      </c>
      <c r="AT517">
        <v>0</v>
      </c>
      <c r="AU517">
        <v>0</v>
      </c>
      <c r="AV517">
        <v>0</v>
      </c>
      <c r="AW517">
        <v>0</v>
      </c>
      <c r="AX517" s="24">
        <f t="shared" si="53"/>
        <v>1</v>
      </c>
      <c r="AY517" s="24" t="str">
        <f t="shared" si="53"/>
        <v/>
      </c>
      <c r="AZ517" s="24" t="str">
        <f t="shared" si="54"/>
        <v/>
      </c>
      <c r="BA517" s="24" t="str">
        <f t="shared" si="54"/>
        <v/>
      </c>
      <c r="BB517" s="24" t="str">
        <f t="shared" si="54"/>
        <v/>
      </c>
      <c r="BC517" s="24" t="str">
        <f t="shared" si="54"/>
        <v/>
      </c>
      <c r="BD517" s="24" t="str">
        <f t="shared" si="54"/>
        <v/>
      </c>
      <c r="BE517" s="24" t="str">
        <f t="shared" si="54"/>
        <v/>
      </c>
      <c r="BF517" s="24" t="str">
        <f t="shared" si="54"/>
        <v/>
      </c>
      <c r="BG517" s="24" t="str">
        <f t="shared" si="54"/>
        <v/>
      </c>
      <c r="BH517" s="24" t="str">
        <f t="shared" si="56"/>
        <v/>
      </c>
      <c r="BI517" s="24" t="str">
        <f t="shared" si="54"/>
        <v/>
      </c>
      <c r="BJ517" s="24" t="str">
        <f t="shared" si="51"/>
        <v/>
      </c>
    </row>
    <row r="518" spans="1:62" ht="15" customHeight="1" x14ac:dyDescent="0.25">
      <c r="A518" t="str">
        <f>"1013071281"</f>
        <v>1013071281</v>
      </c>
      <c r="B518" t="str">
        <f>"00476600"</f>
        <v>00476600</v>
      </c>
      <c r="C518" t="s">
        <v>3530</v>
      </c>
      <c r="D518" t="s">
        <v>3531</v>
      </c>
      <c r="E518" t="s">
        <v>3532</v>
      </c>
      <c r="G518" t="s">
        <v>3533</v>
      </c>
      <c r="H518" t="s">
        <v>3534</v>
      </c>
      <c r="J518" t="s">
        <v>3535</v>
      </c>
      <c r="L518" t="s">
        <v>278</v>
      </c>
      <c r="M518" t="s">
        <v>108</v>
      </c>
      <c r="R518" t="s">
        <v>3536</v>
      </c>
      <c r="W518" t="s">
        <v>3532</v>
      </c>
      <c r="X518" t="s">
        <v>3537</v>
      </c>
      <c r="Y518" t="s">
        <v>110</v>
      </c>
      <c r="Z518" t="s">
        <v>111</v>
      </c>
      <c r="AA518" t="str">
        <f>"13904-1735"</f>
        <v>13904-1735</v>
      </c>
      <c r="AB518" t="s">
        <v>303</v>
      </c>
      <c r="AC518" t="s">
        <v>113</v>
      </c>
      <c r="AD518" t="s">
        <v>108</v>
      </c>
      <c r="AE518" t="s">
        <v>114</v>
      </c>
      <c r="AF518" t="s">
        <v>115</v>
      </c>
      <c r="AG518" t="s">
        <v>116</v>
      </c>
      <c r="AK518" t="str">
        <f t="shared" si="55"/>
        <v/>
      </c>
      <c r="AL518" t="s">
        <v>3531</v>
      </c>
      <c r="AM518">
        <v>0</v>
      </c>
      <c r="AN518">
        <v>0</v>
      </c>
      <c r="AO518">
        <v>0</v>
      </c>
      <c r="AP518">
        <v>0</v>
      </c>
      <c r="AQ518">
        <v>0</v>
      </c>
      <c r="AR518">
        <v>0</v>
      </c>
      <c r="AS518">
        <v>0</v>
      </c>
      <c r="AT518">
        <v>0</v>
      </c>
      <c r="AU518">
        <v>0</v>
      </c>
      <c r="AV518">
        <v>0</v>
      </c>
      <c r="AW518">
        <v>0</v>
      </c>
      <c r="AX518" s="24" t="str">
        <f t="shared" si="53"/>
        <v/>
      </c>
      <c r="AY518" s="24" t="str">
        <f t="shared" si="53"/>
        <v/>
      </c>
      <c r="AZ518" s="24" t="str">
        <f t="shared" si="54"/>
        <v/>
      </c>
      <c r="BA518" s="24" t="str">
        <f t="shared" si="54"/>
        <v/>
      </c>
      <c r="BB518" s="24" t="str">
        <f t="shared" si="54"/>
        <v/>
      </c>
      <c r="BC518" s="24">
        <f t="shared" si="54"/>
        <v>1</v>
      </c>
      <c r="BD518" s="24" t="str">
        <f t="shared" si="54"/>
        <v/>
      </c>
      <c r="BE518" s="24" t="str">
        <f t="shared" si="54"/>
        <v/>
      </c>
      <c r="BF518" s="24" t="str">
        <f t="shared" si="54"/>
        <v/>
      </c>
      <c r="BG518" s="24" t="str">
        <f t="shared" si="54"/>
        <v/>
      </c>
      <c r="BH518" s="24" t="str">
        <f t="shared" si="56"/>
        <v/>
      </c>
      <c r="BI518" s="24">
        <f t="shared" si="54"/>
        <v>1</v>
      </c>
      <c r="BJ518" s="24" t="str">
        <f t="shared" si="51"/>
        <v/>
      </c>
    </row>
    <row r="519" spans="1:62" ht="15" customHeight="1" x14ac:dyDescent="0.25">
      <c r="A519" t="str">
        <f>"1023172921"</f>
        <v>1023172921</v>
      </c>
      <c r="B519" t="str">
        <f>"00769342"</f>
        <v>00769342</v>
      </c>
      <c r="C519" t="s">
        <v>3530</v>
      </c>
      <c r="D519" t="s">
        <v>4878</v>
      </c>
      <c r="E519" t="s">
        <v>3532</v>
      </c>
      <c r="G519" t="s">
        <v>3533</v>
      </c>
      <c r="H519" t="s">
        <v>3534</v>
      </c>
      <c r="J519" t="s">
        <v>3535</v>
      </c>
      <c r="L519" t="s">
        <v>278</v>
      </c>
      <c r="M519" t="s">
        <v>108</v>
      </c>
      <c r="R519" t="s">
        <v>3536</v>
      </c>
      <c r="W519" t="s">
        <v>3532</v>
      </c>
      <c r="X519" t="s">
        <v>4571</v>
      </c>
      <c r="Y519" t="s">
        <v>110</v>
      </c>
      <c r="Z519" t="s">
        <v>111</v>
      </c>
      <c r="AA519" t="str">
        <f>"13904-1735"</f>
        <v>13904-1735</v>
      </c>
      <c r="AB519" t="s">
        <v>303</v>
      </c>
      <c r="AC519" t="s">
        <v>113</v>
      </c>
      <c r="AD519" t="s">
        <v>108</v>
      </c>
      <c r="AE519" t="s">
        <v>114</v>
      </c>
      <c r="AF519" t="s">
        <v>115</v>
      </c>
      <c r="AG519" t="s">
        <v>116</v>
      </c>
      <c r="AK519" t="str">
        <f t="shared" si="55"/>
        <v/>
      </c>
      <c r="AL519" t="s">
        <v>4878</v>
      </c>
      <c r="AM519">
        <v>0</v>
      </c>
      <c r="AN519">
        <v>0</v>
      </c>
      <c r="AO519">
        <v>0</v>
      </c>
      <c r="AP519">
        <v>0</v>
      </c>
      <c r="AQ519">
        <v>0</v>
      </c>
      <c r="AR519">
        <v>0</v>
      </c>
      <c r="AS519">
        <v>0</v>
      </c>
      <c r="AT519">
        <v>0</v>
      </c>
      <c r="AU519">
        <v>0</v>
      </c>
      <c r="AV519">
        <v>0</v>
      </c>
      <c r="AW519">
        <v>0</v>
      </c>
      <c r="AX519" s="24" t="str">
        <f t="shared" si="53"/>
        <v/>
      </c>
      <c r="AY519" s="24" t="str">
        <f t="shared" si="53"/>
        <v/>
      </c>
      <c r="AZ519" s="24" t="str">
        <f t="shared" si="54"/>
        <v/>
      </c>
      <c r="BA519" s="24" t="str">
        <f t="shared" si="54"/>
        <v/>
      </c>
      <c r="BB519" s="24" t="str">
        <f t="shared" si="54"/>
        <v/>
      </c>
      <c r="BC519" s="24">
        <f t="shared" si="54"/>
        <v>1</v>
      </c>
      <c r="BD519" s="24" t="str">
        <f t="shared" si="54"/>
        <v/>
      </c>
      <c r="BE519" s="24" t="str">
        <f t="shared" si="54"/>
        <v/>
      </c>
      <c r="BF519" s="24" t="str">
        <f t="shared" si="54"/>
        <v/>
      </c>
      <c r="BG519" s="24" t="str">
        <f t="shared" si="54"/>
        <v/>
      </c>
      <c r="BH519" s="24" t="str">
        <f t="shared" si="56"/>
        <v/>
      </c>
      <c r="BI519" s="24">
        <f t="shared" si="54"/>
        <v>1</v>
      </c>
      <c r="BJ519" s="24" t="str">
        <f t="shared" si="51"/>
        <v/>
      </c>
    </row>
    <row r="520" spans="1:62" ht="15" customHeight="1" x14ac:dyDescent="0.25">
      <c r="A520" t="str">
        <f>"1679841357"</f>
        <v>1679841357</v>
      </c>
      <c r="B520" t="str">
        <f>"03430884"</f>
        <v>03430884</v>
      </c>
      <c r="C520" t="s">
        <v>4611</v>
      </c>
      <c r="D520" t="s">
        <v>4612</v>
      </c>
      <c r="E520" t="s">
        <v>4611</v>
      </c>
      <c r="L520" t="s">
        <v>138</v>
      </c>
      <c r="M520" t="s">
        <v>108</v>
      </c>
      <c r="R520" t="s">
        <v>4611</v>
      </c>
      <c r="W520" t="s">
        <v>4613</v>
      </c>
      <c r="X520" t="s">
        <v>406</v>
      </c>
      <c r="Y520" t="s">
        <v>129</v>
      </c>
      <c r="Z520" t="s">
        <v>111</v>
      </c>
      <c r="AA520" t="str">
        <f>"13790-2107"</f>
        <v>13790-2107</v>
      </c>
      <c r="AB520" t="s">
        <v>123</v>
      </c>
      <c r="AC520" t="s">
        <v>113</v>
      </c>
      <c r="AD520" t="s">
        <v>108</v>
      </c>
      <c r="AE520" t="s">
        <v>114</v>
      </c>
      <c r="AF520" t="s">
        <v>115</v>
      </c>
      <c r="AG520" t="s">
        <v>116</v>
      </c>
      <c r="AK520" t="str">
        <f t="shared" si="55"/>
        <v/>
      </c>
      <c r="AL520" t="s">
        <v>4612</v>
      </c>
      <c r="AM520">
        <v>1</v>
      </c>
      <c r="AN520">
        <v>1</v>
      </c>
      <c r="AO520">
        <v>0</v>
      </c>
      <c r="AP520">
        <v>1</v>
      </c>
      <c r="AQ520">
        <v>1</v>
      </c>
      <c r="AR520">
        <v>0</v>
      </c>
      <c r="AS520">
        <v>0</v>
      </c>
      <c r="AT520">
        <v>0</v>
      </c>
      <c r="AU520">
        <v>0</v>
      </c>
      <c r="AV520">
        <v>0</v>
      </c>
      <c r="AW520">
        <v>0</v>
      </c>
      <c r="AX520" s="24" t="str">
        <f t="shared" si="53"/>
        <v/>
      </c>
      <c r="AY520" s="24">
        <f t="shared" si="53"/>
        <v>1</v>
      </c>
      <c r="AZ520" s="24" t="str">
        <f t="shared" si="54"/>
        <v/>
      </c>
      <c r="BA520" s="24" t="str">
        <f t="shared" si="54"/>
        <v/>
      </c>
      <c r="BB520" s="24" t="str">
        <f t="shared" si="54"/>
        <v/>
      </c>
      <c r="BC520" s="24" t="str">
        <f t="shared" si="54"/>
        <v/>
      </c>
      <c r="BD520" s="24" t="str">
        <f t="shared" si="54"/>
        <v/>
      </c>
      <c r="BE520" s="24" t="str">
        <f t="shared" si="54"/>
        <v/>
      </c>
      <c r="BF520" s="24" t="str">
        <f t="shared" si="54"/>
        <v/>
      </c>
      <c r="BG520" s="24" t="str">
        <f t="shared" si="54"/>
        <v/>
      </c>
      <c r="BH520" s="24" t="str">
        <f t="shared" si="56"/>
        <v/>
      </c>
      <c r="BI520" s="24">
        <f t="shared" si="54"/>
        <v>1</v>
      </c>
      <c r="BJ520" s="24" t="str">
        <f t="shared" si="51"/>
        <v/>
      </c>
    </row>
    <row r="521" spans="1:62" ht="15" customHeight="1" x14ac:dyDescent="0.25">
      <c r="A521" t="str">
        <f>"1902872955"</f>
        <v>1902872955</v>
      </c>
      <c r="B521" t="str">
        <f>"01894182"</f>
        <v>01894182</v>
      </c>
      <c r="C521" t="s">
        <v>2303</v>
      </c>
      <c r="D521" t="s">
        <v>2304</v>
      </c>
      <c r="E521" t="s">
        <v>2305</v>
      </c>
      <c r="G521" t="s">
        <v>177</v>
      </c>
      <c r="H521" t="s">
        <v>178</v>
      </c>
      <c r="J521" t="s">
        <v>179</v>
      </c>
      <c r="L521" t="s">
        <v>138</v>
      </c>
      <c r="M521" t="s">
        <v>108</v>
      </c>
      <c r="R521" t="s">
        <v>2303</v>
      </c>
      <c r="W521" t="s">
        <v>2305</v>
      </c>
      <c r="X521" t="s">
        <v>186</v>
      </c>
      <c r="Y521" t="s">
        <v>181</v>
      </c>
      <c r="Z521" t="s">
        <v>182</v>
      </c>
      <c r="AA521" t="str">
        <f>"18840"</f>
        <v>18840</v>
      </c>
      <c r="AB521" t="s">
        <v>123</v>
      </c>
      <c r="AC521" t="s">
        <v>113</v>
      </c>
      <c r="AD521" t="s">
        <v>108</v>
      </c>
      <c r="AE521" t="s">
        <v>114</v>
      </c>
      <c r="AF521" t="s">
        <v>115</v>
      </c>
      <c r="AG521" t="s">
        <v>116</v>
      </c>
      <c r="AK521" t="str">
        <f t="shared" si="55"/>
        <v/>
      </c>
      <c r="AL521" t="s">
        <v>2304</v>
      </c>
      <c r="AM521">
        <v>1</v>
      </c>
      <c r="AN521">
        <v>1</v>
      </c>
      <c r="AO521">
        <v>0</v>
      </c>
      <c r="AP521">
        <v>0</v>
      </c>
      <c r="AQ521">
        <v>0</v>
      </c>
      <c r="AR521">
        <v>0</v>
      </c>
      <c r="AS521">
        <v>0</v>
      </c>
      <c r="AT521">
        <v>0</v>
      </c>
      <c r="AU521">
        <v>0</v>
      </c>
      <c r="AV521">
        <v>1</v>
      </c>
      <c r="AW521">
        <v>0</v>
      </c>
      <c r="AX521" s="24" t="str">
        <f t="shared" si="53"/>
        <v/>
      </c>
      <c r="AY521" s="24">
        <f t="shared" si="53"/>
        <v>1</v>
      </c>
      <c r="AZ521" s="24" t="str">
        <f t="shared" si="54"/>
        <v/>
      </c>
      <c r="BA521" s="24" t="str">
        <f t="shared" si="54"/>
        <v/>
      </c>
      <c r="BB521" s="24" t="str">
        <f t="shared" si="54"/>
        <v/>
      </c>
      <c r="BC521" s="24" t="str">
        <f t="shared" si="54"/>
        <v/>
      </c>
      <c r="BD521" s="24" t="str">
        <f t="shared" si="54"/>
        <v/>
      </c>
      <c r="BE521" s="24" t="str">
        <f t="shared" si="54"/>
        <v/>
      </c>
      <c r="BF521" s="24" t="str">
        <f t="shared" si="54"/>
        <v/>
      </c>
      <c r="BG521" s="24" t="str">
        <f t="shared" si="54"/>
        <v/>
      </c>
      <c r="BH521" s="24" t="str">
        <f t="shared" si="56"/>
        <v/>
      </c>
      <c r="BI521" s="24">
        <f t="shared" si="54"/>
        <v>1</v>
      </c>
      <c r="BJ521" s="24" t="str">
        <f t="shared" si="51"/>
        <v/>
      </c>
    </row>
    <row r="522" spans="1:62" ht="15" customHeight="1" x14ac:dyDescent="0.25">
      <c r="A522" t="str">
        <f>"1356629240"</f>
        <v>1356629240</v>
      </c>
      <c r="B522" t="str">
        <f>"04558912"</f>
        <v>04558912</v>
      </c>
      <c r="C522" t="s">
        <v>6613</v>
      </c>
      <c r="D522" t="s">
        <v>6614</v>
      </c>
      <c r="E522" t="s">
        <v>6615</v>
      </c>
      <c r="G522" t="s">
        <v>4251</v>
      </c>
      <c r="H522" t="s">
        <v>4252</v>
      </c>
      <c r="J522" t="s">
        <v>6616</v>
      </c>
      <c r="L522" t="s">
        <v>138</v>
      </c>
      <c r="M522" t="s">
        <v>108</v>
      </c>
      <c r="R522" t="s">
        <v>6617</v>
      </c>
      <c r="W522" t="s">
        <v>6615</v>
      </c>
      <c r="AB522" t="s">
        <v>123</v>
      </c>
      <c r="AC522" t="s">
        <v>113</v>
      </c>
      <c r="AD522" t="s">
        <v>108</v>
      </c>
      <c r="AE522" t="s">
        <v>114</v>
      </c>
      <c r="AF522" t="s">
        <v>142</v>
      </c>
      <c r="AG522" t="s">
        <v>116</v>
      </c>
      <c r="AK522" t="str">
        <f t="shared" si="55"/>
        <v>Griffin Judith</v>
      </c>
      <c r="AL522" t="s">
        <v>6614</v>
      </c>
      <c r="AM522" t="s">
        <v>108</v>
      </c>
      <c r="AN522" t="s">
        <v>108</v>
      </c>
      <c r="AO522" t="s">
        <v>108</v>
      </c>
      <c r="AP522" t="s">
        <v>108</v>
      </c>
      <c r="AQ522" t="s">
        <v>108</v>
      </c>
      <c r="AR522" t="s">
        <v>108</v>
      </c>
      <c r="AS522" t="s">
        <v>108</v>
      </c>
      <c r="AT522" t="s">
        <v>108</v>
      </c>
      <c r="AU522">
        <v>0</v>
      </c>
      <c r="AV522" t="s">
        <v>108</v>
      </c>
      <c r="AW522" t="s">
        <v>108</v>
      </c>
      <c r="AX522" s="24" t="str">
        <f t="shared" si="53"/>
        <v/>
      </c>
      <c r="AY522" s="24">
        <f t="shared" si="53"/>
        <v>1</v>
      </c>
      <c r="AZ522" s="24" t="str">
        <f t="shared" si="54"/>
        <v/>
      </c>
      <c r="BA522" s="24" t="str">
        <f t="shared" si="54"/>
        <v/>
      </c>
      <c r="BB522" s="24" t="str">
        <f t="shared" si="54"/>
        <v/>
      </c>
      <c r="BC522" s="24" t="str">
        <f t="shared" si="54"/>
        <v/>
      </c>
      <c r="BD522" s="24" t="str">
        <f t="shared" si="54"/>
        <v/>
      </c>
      <c r="BE522" s="24" t="str">
        <f t="shared" si="54"/>
        <v/>
      </c>
      <c r="BF522" s="24" t="str">
        <f t="shared" si="54"/>
        <v/>
      </c>
      <c r="BG522" s="24" t="str">
        <f t="shared" si="54"/>
        <v/>
      </c>
      <c r="BH522" s="24" t="str">
        <f t="shared" si="56"/>
        <v/>
      </c>
      <c r="BI522" s="24">
        <f t="shared" si="54"/>
        <v>1</v>
      </c>
      <c r="BJ522" s="24" t="str">
        <f t="shared" si="51"/>
        <v/>
      </c>
    </row>
    <row r="523" spans="1:62" ht="15" customHeight="1" x14ac:dyDescent="0.25">
      <c r="A523" t="str">
        <f>"1336192525"</f>
        <v>1336192525</v>
      </c>
      <c r="B523" t="str">
        <f>"01777751"</f>
        <v>01777751</v>
      </c>
      <c r="C523" t="s">
        <v>5101</v>
      </c>
      <c r="D523" t="s">
        <v>5102</v>
      </c>
      <c r="E523" t="s">
        <v>5103</v>
      </c>
      <c r="L523" t="s">
        <v>120</v>
      </c>
      <c r="M523" t="s">
        <v>139</v>
      </c>
      <c r="R523" t="s">
        <v>5101</v>
      </c>
      <c r="W523" t="s">
        <v>5103</v>
      </c>
      <c r="X523" t="s">
        <v>5104</v>
      </c>
      <c r="Y523" t="s">
        <v>110</v>
      </c>
      <c r="Z523" t="s">
        <v>111</v>
      </c>
      <c r="AA523" t="str">
        <f>"13903-2308"</f>
        <v>13903-2308</v>
      </c>
      <c r="AB523" t="s">
        <v>123</v>
      </c>
      <c r="AC523" t="s">
        <v>113</v>
      </c>
      <c r="AD523" t="s">
        <v>108</v>
      </c>
      <c r="AE523" t="s">
        <v>114</v>
      </c>
      <c r="AF523" t="s">
        <v>115</v>
      </c>
      <c r="AG523" t="s">
        <v>116</v>
      </c>
      <c r="AK523" t="str">
        <f t="shared" si="55"/>
        <v/>
      </c>
      <c r="AL523" t="s">
        <v>5102</v>
      </c>
      <c r="AM523">
        <v>1</v>
      </c>
      <c r="AN523">
        <v>1</v>
      </c>
      <c r="AO523">
        <v>0</v>
      </c>
      <c r="AP523">
        <v>1</v>
      </c>
      <c r="AQ523">
        <v>1</v>
      </c>
      <c r="AR523">
        <v>0</v>
      </c>
      <c r="AS523">
        <v>0</v>
      </c>
      <c r="AT523">
        <v>0</v>
      </c>
      <c r="AU523">
        <v>1</v>
      </c>
      <c r="AV523">
        <v>0</v>
      </c>
      <c r="AW523">
        <v>0</v>
      </c>
      <c r="AX523" s="24">
        <f t="shared" si="53"/>
        <v>1</v>
      </c>
      <c r="AY523" s="24" t="str">
        <f t="shared" si="53"/>
        <v/>
      </c>
      <c r="AZ523" s="24" t="str">
        <f t="shared" si="54"/>
        <v/>
      </c>
      <c r="BA523" s="24" t="str">
        <f t="shared" si="54"/>
        <v/>
      </c>
      <c r="BB523" s="24" t="str">
        <f t="shared" si="54"/>
        <v/>
      </c>
      <c r="BC523" s="24" t="str">
        <f t="shared" si="54"/>
        <v/>
      </c>
      <c r="BD523" s="24" t="str">
        <f t="shared" si="54"/>
        <v/>
      </c>
      <c r="BE523" s="24" t="str">
        <f t="shared" si="54"/>
        <v/>
      </c>
      <c r="BF523" s="24" t="str">
        <f t="shared" ref="AZ523:BI549" si="57">IF(ISERROR(FIND(BF$1,$L523,1)),"",1)</f>
        <v/>
      </c>
      <c r="BG523" s="24" t="str">
        <f t="shared" si="57"/>
        <v/>
      </c>
      <c r="BH523" s="24" t="str">
        <f t="shared" si="56"/>
        <v/>
      </c>
      <c r="BI523" s="24">
        <f t="shared" si="57"/>
        <v>1</v>
      </c>
      <c r="BJ523" s="24" t="str">
        <f t="shared" si="51"/>
        <v/>
      </c>
    </row>
    <row r="524" spans="1:62" ht="15" customHeight="1" x14ac:dyDescent="0.25">
      <c r="A524" t="str">
        <f>"1760437362"</f>
        <v>1760437362</v>
      </c>
      <c r="B524" t="str">
        <f>"00476971"</f>
        <v>00476971</v>
      </c>
      <c r="C524" t="s">
        <v>1737</v>
      </c>
      <c r="D524" t="s">
        <v>1738</v>
      </c>
      <c r="E524" t="s">
        <v>1739</v>
      </c>
      <c r="F524">
        <v>237300255</v>
      </c>
      <c r="G524" t="s">
        <v>7164</v>
      </c>
      <c r="H524" t="s">
        <v>1740</v>
      </c>
      <c r="J524" t="s">
        <v>7165</v>
      </c>
      <c r="L524" t="s">
        <v>19</v>
      </c>
      <c r="M524" t="s">
        <v>139</v>
      </c>
      <c r="R524" t="s">
        <v>1741</v>
      </c>
      <c r="W524" t="s">
        <v>1742</v>
      </c>
      <c r="X524" t="s">
        <v>1743</v>
      </c>
      <c r="Y524" t="s">
        <v>1744</v>
      </c>
      <c r="Z524" t="s">
        <v>111</v>
      </c>
      <c r="AA524" t="str">
        <f>"13073-1231"</f>
        <v>13073-1231</v>
      </c>
      <c r="AB524" t="s">
        <v>312</v>
      </c>
      <c r="AC524" t="s">
        <v>113</v>
      </c>
      <c r="AD524" t="s">
        <v>108</v>
      </c>
      <c r="AE524" t="s">
        <v>114</v>
      </c>
      <c r="AF524" t="s">
        <v>142</v>
      </c>
      <c r="AG524" t="s">
        <v>116</v>
      </c>
      <c r="AK524" t="str">
        <f t="shared" si="55"/>
        <v/>
      </c>
      <c r="AL524" t="s">
        <v>1738</v>
      </c>
      <c r="AM524">
        <v>1</v>
      </c>
      <c r="AN524">
        <v>0</v>
      </c>
      <c r="AO524">
        <v>1</v>
      </c>
      <c r="AP524">
        <v>0</v>
      </c>
      <c r="AQ524">
        <v>0</v>
      </c>
      <c r="AR524">
        <v>0</v>
      </c>
      <c r="AS524">
        <v>0</v>
      </c>
      <c r="AT524">
        <v>0</v>
      </c>
      <c r="AU524">
        <v>0</v>
      </c>
      <c r="AV524">
        <v>0</v>
      </c>
      <c r="AW524">
        <v>0</v>
      </c>
      <c r="AX524" s="24" t="str">
        <f t="shared" si="53"/>
        <v/>
      </c>
      <c r="AY524" s="24" t="str">
        <f t="shared" si="53"/>
        <v/>
      </c>
      <c r="AZ524" s="24" t="str">
        <f t="shared" si="57"/>
        <v/>
      </c>
      <c r="BA524" s="24" t="str">
        <f t="shared" si="57"/>
        <v/>
      </c>
      <c r="BB524" s="24" t="str">
        <f t="shared" si="57"/>
        <v/>
      </c>
      <c r="BC524" s="24" t="str">
        <f t="shared" si="57"/>
        <v/>
      </c>
      <c r="BD524" s="24" t="str">
        <f t="shared" si="57"/>
        <v/>
      </c>
      <c r="BE524" s="24">
        <f t="shared" si="57"/>
        <v>1</v>
      </c>
      <c r="BF524" s="24" t="str">
        <f t="shared" si="57"/>
        <v/>
      </c>
      <c r="BG524" s="24" t="str">
        <f t="shared" si="57"/>
        <v/>
      </c>
      <c r="BH524" s="24" t="str">
        <f t="shared" si="56"/>
        <v/>
      </c>
      <c r="BI524" s="24" t="str">
        <f t="shared" si="57"/>
        <v/>
      </c>
      <c r="BJ524" s="24" t="str">
        <f t="shared" si="51"/>
        <v/>
      </c>
    </row>
    <row r="525" spans="1:62" ht="15" customHeight="1" x14ac:dyDescent="0.25">
      <c r="A525" t="str">
        <f>"1659470557"</f>
        <v>1659470557</v>
      </c>
      <c r="B525" t="str">
        <f>"01073096"</f>
        <v>01073096</v>
      </c>
      <c r="C525" t="s">
        <v>4263</v>
      </c>
      <c r="D525" t="s">
        <v>4264</v>
      </c>
      <c r="E525" t="s">
        <v>4265</v>
      </c>
      <c r="G525" t="s">
        <v>4266</v>
      </c>
      <c r="H525" t="s">
        <v>4267</v>
      </c>
      <c r="J525" t="s">
        <v>4268</v>
      </c>
      <c r="L525" t="s">
        <v>138</v>
      </c>
      <c r="M525" t="s">
        <v>108</v>
      </c>
      <c r="R525" t="s">
        <v>4269</v>
      </c>
      <c r="W525" t="s">
        <v>4265</v>
      </c>
      <c r="X525" t="s">
        <v>4270</v>
      </c>
      <c r="Y525" t="s">
        <v>865</v>
      </c>
      <c r="Z525" t="s">
        <v>111</v>
      </c>
      <c r="AA525" t="str">
        <f>"11234-5639"</f>
        <v>11234-5639</v>
      </c>
      <c r="AB525" t="s">
        <v>123</v>
      </c>
      <c r="AC525" t="s">
        <v>113</v>
      </c>
      <c r="AD525" t="s">
        <v>108</v>
      </c>
      <c r="AE525" t="s">
        <v>114</v>
      </c>
      <c r="AF525" t="s">
        <v>142</v>
      </c>
      <c r="AG525" t="s">
        <v>116</v>
      </c>
      <c r="AK525" t="str">
        <f t="shared" si="55"/>
        <v/>
      </c>
      <c r="AL525" t="s">
        <v>4264</v>
      </c>
      <c r="AM525">
        <v>1</v>
      </c>
      <c r="AN525">
        <v>1</v>
      </c>
      <c r="AO525">
        <v>0</v>
      </c>
      <c r="AP525">
        <v>0</v>
      </c>
      <c r="AQ525">
        <v>0</v>
      </c>
      <c r="AR525">
        <v>0</v>
      </c>
      <c r="AS525">
        <v>0</v>
      </c>
      <c r="AT525">
        <v>0</v>
      </c>
      <c r="AU525">
        <v>0</v>
      </c>
      <c r="AV525">
        <v>0</v>
      </c>
      <c r="AW525">
        <v>0</v>
      </c>
      <c r="AX525" s="24" t="str">
        <f t="shared" si="53"/>
        <v/>
      </c>
      <c r="AY525" s="24">
        <f t="shared" si="53"/>
        <v>1</v>
      </c>
      <c r="AZ525" s="24" t="str">
        <f t="shared" si="57"/>
        <v/>
      </c>
      <c r="BA525" s="24" t="str">
        <f t="shared" si="57"/>
        <v/>
      </c>
      <c r="BB525" s="24" t="str">
        <f t="shared" si="57"/>
        <v/>
      </c>
      <c r="BC525" s="24" t="str">
        <f t="shared" si="57"/>
        <v/>
      </c>
      <c r="BD525" s="24" t="str">
        <f t="shared" si="57"/>
        <v/>
      </c>
      <c r="BE525" s="24" t="str">
        <f t="shared" si="57"/>
        <v/>
      </c>
      <c r="BF525" s="24" t="str">
        <f t="shared" si="57"/>
        <v/>
      </c>
      <c r="BG525" s="24" t="str">
        <f t="shared" si="57"/>
        <v/>
      </c>
      <c r="BH525" s="24" t="str">
        <f t="shared" si="56"/>
        <v/>
      </c>
      <c r="BI525" s="24">
        <f t="shared" si="57"/>
        <v>1</v>
      </c>
      <c r="BJ525" s="24" t="str">
        <f t="shared" si="51"/>
        <v/>
      </c>
    </row>
    <row r="526" spans="1:62" ht="15" customHeight="1" x14ac:dyDescent="0.25">
      <c r="A526" t="str">
        <f>"1881681823"</f>
        <v>1881681823</v>
      </c>
      <c r="B526" t="str">
        <f>"01982241"</f>
        <v>01982241</v>
      </c>
      <c r="C526" t="s">
        <v>3506</v>
      </c>
      <c r="D526" t="s">
        <v>3507</v>
      </c>
      <c r="E526" t="s">
        <v>3508</v>
      </c>
      <c r="L526" t="s">
        <v>120</v>
      </c>
      <c r="M526" t="s">
        <v>108</v>
      </c>
      <c r="R526" t="s">
        <v>3506</v>
      </c>
      <c r="W526" t="s">
        <v>3508</v>
      </c>
      <c r="X526" t="s">
        <v>3509</v>
      </c>
      <c r="Y526" t="s">
        <v>110</v>
      </c>
      <c r="Z526" t="s">
        <v>111</v>
      </c>
      <c r="AA526" t="str">
        <f>"13903-1617"</f>
        <v>13903-1617</v>
      </c>
      <c r="AB526" t="s">
        <v>123</v>
      </c>
      <c r="AC526" t="s">
        <v>113</v>
      </c>
      <c r="AD526" t="s">
        <v>108</v>
      </c>
      <c r="AE526" t="s">
        <v>114</v>
      </c>
      <c r="AF526" t="s">
        <v>115</v>
      </c>
      <c r="AG526" t="s">
        <v>116</v>
      </c>
      <c r="AK526" t="str">
        <f t="shared" si="55"/>
        <v/>
      </c>
      <c r="AL526" t="s">
        <v>3507</v>
      </c>
      <c r="AM526">
        <v>1</v>
      </c>
      <c r="AN526">
        <v>1</v>
      </c>
      <c r="AO526">
        <v>0</v>
      </c>
      <c r="AP526">
        <v>1</v>
      </c>
      <c r="AQ526">
        <v>1</v>
      </c>
      <c r="AR526">
        <v>0</v>
      </c>
      <c r="AS526">
        <v>0</v>
      </c>
      <c r="AT526">
        <v>0</v>
      </c>
      <c r="AU526">
        <v>1</v>
      </c>
      <c r="AV526">
        <v>0</v>
      </c>
      <c r="AW526">
        <v>0</v>
      </c>
      <c r="AX526" s="24">
        <f t="shared" si="53"/>
        <v>1</v>
      </c>
      <c r="AY526" s="24" t="str">
        <f t="shared" si="53"/>
        <v/>
      </c>
      <c r="AZ526" s="24" t="str">
        <f t="shared" si="57"/>
        <v/>
      </c>
      <c r="BA526" s="24" t="str">
        <f t="shared" si="57"/>
        <v/>
      </c>
      <c r="BB526" s="24" t="str">
        <f t="shared" si="57"/>
        <v/>
      </c>
      <c r="BC526" s="24" t="str">
        <f t="shared" si="57"/>
        <v/>
      </c>
      <c r="BD526" s="24" t="str">
        <f t="shared" si="57"/>
        <v/>
      </c>
      <c r="BE526" s="24" t="str">
        <f t="shared" si="57"/>
        <v/>
      </c>
      <c r="BF526" s="24" t="str">
        <f t="shared" si="57"/>
        <v/>
      </c>
      <c r="BG526" s="24" t="str">
        <f t="shared" si="57"/>
        <v/>
      </c>
      <c r="BH526" s="24" t="str">
        <f t="shared" si="56"/>
        <v/>
      </c>
      <c r="BI526" s="24">
        <f t="shared" si="57"/>
        <v>1</v>
      </c>
      <c r="BJ526" s="24" t="str">
        <f t="shared" si="51"/>
        <v/>
      </c>
    </row>
    <row r="527" spans="1:62" ht="15" customHeight="1" x14ac:dyDescent="0.25">
      <c r="A527" t="str">
        <f>"1982837613"</f>
        <v>1982837613</v>
      </c>
      <c r="B527" t="str">
        <f>"03989360"</f>
        <v>03989360</v>
      </c>
      <c r="C527" t="s">
        <v>5967</v>
      </c>
      <c r="D527" t="s">
        <v>5968</v>
      </c>
      <c r="E527" t="s">
        <v>5969</v>
      </c>
      <c r="G527" t="s">
        <v>815</v>
      </c>
      <c r="H527" t="s">
        <v>816</v>
      </c>
      <c r="J527" t="s">
        <v>817</v>
      </c>
      <c r="L527" t="s">
        <v>138</v>
      </c>
      <c r="M527" t="s">
        <v>108</v>
      </c>
      <c r="R527" t="s">
        <v>5970</v>
      </c>
      <c r="W527" t="s">
        <v>5969</v>
      </c>
      <c r="X527" t="s">
        <v>204</v>
      </c>
      <c r="Y527" t="s">
        <v>110</v>
      </c>
      <c r="Z527" t="s">
        <v>111</v>
      </c>
      <c r="AA527" t="str">
        <f>"13905-4246"</f>
        <v>13905-4246</v>
      </c>
      <c r="AB527" t="s">
        <v>123</v>
      </c>
      <c r="AC527" t="s">
        <v>113</v>
      </c>
      <c r="AD527" t="s">
        <v>108</v>
      </c>
      <c r="AE527" t="s">
        <v>114</v>
      </c>
      <c r="AF527" t="s">
        <v>115</v>
      </c>
      <c r="AG527" t="s">
        <v>116</v>
      </c>
      <c r="AK527" t="str">
        <f t="shared" si="55"/>
        <v>Gurdeep Singh, MD</v>
      </c>
      <c r="AL527" t="s">
        <v>5968</v>
      </c>
      <c r="AM527" t="s">
        <v>108</v>
      </c>
      <c r="AN527" t="s">
        <v>108</v>
      </c>
      <c r="AO527" t="s">
        <v>108</v>
      </c>
      <c r="AP527" t="s">
        <v>108</v>
      </c>
      <c r="AQ527" t="s">
        <v>108</v>
      </c>
      <c r="AR527" t="s">
        <v>108</v>
      </c>
      <c r="AS527" t="s">
        <v>108</v>
      </c>
      <c r="AT527" t="s">
        <v>108</v>
      </c>
      <c r="AU527">
        <v>0</v>
      </c>
      <c r="AV527" t="s">
        <v>108</v>
      </c>
      <c r="AW527" t="s">
        <v>108</v>
      </c>
      <c r="AX527" s="24" t="str">
        <f t="shared" si="53"/>
        <v/>
      </c>
      <c r="AY527" s="24">
        <f t="shared" si="53"/>
        <v>1</v>
      </c>
      <c r="AZ527" s="24" t="str">
        <f t="shared" si="57"/>
        <v/>
      </c>
      <c r="BA527" s="24" t="str">
        <f t="shared" si="57"/>
        <v/>
      </c>
      <c r="BB527" s="24" t="str">
        <f t="shared" si="57"/>
        <v/>
      </c>
      <c r="BC527" s="24" t="str">
        <f t="shared" si="57"/>
        <v/>
      </c>
      <c r="BD527" s="24" t="str">
        <f t="shared" si="57"/>
        <v/>
      </c>
      <c r="BE527" s="24" t="str">
        <f t="shared" si="57"/>
        <v/>
      </c>
      <c r="BF527" s="24" t="str">
        <f t="shared" si="57"/>
        <v/>
      </c>
      <c r="BG527" s="24" t="str">
        <f t="shared" si="57"/>
        <v/>
      </c>
      <c r="BH527" s="24" t="str">
        <f t="shared" si="56"/>
        <v/>
      </c>
      <c r="BI527" s="24">
        <f t="shared" si="57"/>
        <v>1</v>
      </c>
      <c r="BJ527" s="24" t="str">
        <f t="shared" si="51"/>
        <v/>
      </c>
    </row>
    <row r="528" spans="1:62" ht="15" customHeight="1" x14ac:dyDescent="0.25">
      <c r="A528" t="str">
        <f>"1720055528"</f>
        <v>1720055528</v>
      </c>
      <c r="B528" t="str">
        <f>"01255774"</f>
        <v>01255774</v>
      </c>
      <c r="C528" t="s">
        <v>4026</v>
      </c>
      <c r="D528" t="s">
        <v>4027</v>
      </c>
      <c r="E528" t="s">
        <v>4026</v>
      </c>
      <c r="G528" t="s">
        <v>699</v>
      </c>
      <c r="H528" t="s">
        <v>700</v>
      </c>
      <c r="J528" t="s">
        <v>701</v>
      </c>
      <c r="L528" t="s">
        <v>120</v>
      </c>
      <c r="M528" t="s">
        <v>108</v>
      </c>
      <c r="R528" t="s">
        <v>4028</v>
      </c>
      <c r="W528" t="s">
        <v>4026</v>
      </c>
      <c r="X528" t="s">
        <v>4029</v>
      </c>
      <c r="Y528" t="s">
        <v>927</v>
      </c>
      <c r="Z528" t="s">
        <v>111</v>
      </c>
      <c r="AA528" t="str">
        <f>"14904-2951"</f>
        <v>14904-2951</v>
      </c>
      <c r="AB528" t="s">
        <v>123</v>
      </c>
      <c r="AC528" t="s">
        <v>113</v>
      </c>
      <c r="AD528" t="s">
        <v>108</v>
      </c>
      <c r="AE528" t="s">
        <v>114</v>
      </c>
      <c r="AF528" t="s">
        <v>149</v>
      </c>
      <c r="AG528" t="s">
        <v>116</v>
      </c>
      <c r="AK528" t="str">
        <f t="shared" si="55"/>
        <v/>
      </c>
      <c r="AL528" t="s">
        <v>4027</v>
      </c>
      <c r="AM528">
        <v>1</v>
      </c>
      <c r="AN528">
        <v>1</v>
      </c>
      <c r="AO528">
        <v>0</v>
      </c>
      <c r="AP528">
        <v>0</v>
      </c>
      <c r="AQ528">
        <v>0</v>
      </c>
      <c r="AR528">
        <v>0</v>
      </c>
      <c r="AS528">
        <v>0</v>
      </c>
      <c r="AT528">
        <v>1</v>
      </c>
      <c r="AU528">
        <v>1</v>
      </c>
      <c r="AV528">
        <v>1</v>
      </c>
      <c r="AW528">
        <v>0</v>
      </c>
      <c r="AX528" s="24">
        <f t="shared" si="53"/>
        <v>1</v>
      </c>
      <c r="AY528" s="24" t="str">
        <f t="shared" si="53"/>
        <v/>
      </c>
      <c r="AZ528" s="24" t="str">
        <f t="shared" si="57"/>
        <v/>
      </c>
      <c r="BA528" s="24" t="str">
        <f t="shared" si="57"/>
        <v/>
      </c>
      <c r="BB528" s="24" t="str">
        <f t="shared" si="57"/>
        <v/>
      </c>
      <c r="BC528" s="24" t="str">
        <f t="shared" si="57"/>
        <v/>
      </c>
      <c r="BD528" s="24" t="str">
        <f t="shared" si="57"/>
        <v/>
      </c>
      <c r="BE528" s="24" t="str">
        <f t="shared" si="57"/>
        <v/>
      </c>
      <c r="BF528" s="24" t="str">
        <f t="shared" si="57"/>
        <v/>
      </c>
      <c r="BG528" s="24" t="str">
        <f t="shared" si="57"/>
        <v/>
      </c>
      <c r="BH528" s="24" t="str">
        <f t="shared" si="56"/>
        <v/>
      </c>
      <c r="BI528" s="24">
        <f t="shared" si="57"/>
        <v>1</v>
      </c>
      <c r="BJ528" s="24" t="str">
        <f t="shared" si="51"/>
        <v/>
      </c>
    </row>
    <row r="529" spans="1:62" ht="15" customHeight="1" x14ac:dyDescent="0.25">
      <c r="A529" t="str">
        <f>"1356318653"</f>
        <v>1356318653</v>
      </c>
      <c r="B529" t="str">
        <f>"01191359"</f>
        <v>01191359</v>
      </c>
      <c r="C529" t="s">
        <v>5116</v>
      </c>
      <c r="D529" t="s">
        <v>5117</v>
      </c>
      <c r="E529" t="s">
        <v>5118</v>
      </c>
      <c r="L529" t="s">
        <v>133</v>
      </c>
      <c r="M529" t="s">
        <v>108</v>
      </c>
      <c r="R529" t="s">
        <v>5116</v>
      </c>
      <c r="W529" t="s">
        <v>5118</v>
      </c>
      <c r="X529" t="s">
        <v>849</v>
      </c>
      <c r="Y529" t="s">
        <v>110</v>
      </c>
      <c r="Z529" t="s">
        <v>111</v>
      </c>
      <c r="AA529" t="str">
        <f>"13903"</f>
        <v>13903</v>
      </c>
      <c r="AB529" t="s">
        <v>123</v>
      </c>
      <c r="AC529" t="s">
        <v>113</v>
      </c>
      <c r="AD529" t="s">
        <v>108</v>
      </c>
      <c r="AE529" t="s">
        <v>114</v>
      </c>
      <c r="AF529" t="s">
        <v>115</v>
      </c>
      <c r="AG529" t="s">
        <v>116</v>
      </c>
      <c r="AK529" t="str">
        <f t="shared" si="55"/>
        <v>GUTER MARVIN DR.</v>
      </c>
      <c r="AL529" t="s">
        <v>5117</v>
      </c>
      <c r="AM529" t="s">
        <v>108</v>
      </c>
      <c r="AN529" t="s">
        <v>108</v>
      </c>
      <c r="AO529" t="s">
        <v>108</v>
      </c>
      <c r="AP529" t="s">
        <v>108</v>
      </c>
      <c r="AQ529" t="s">
        <v>108</v>
      </c>
      <c r="AR529" t="s">
        <v>108</v>
      </c>
      <c r="AS529" t="s">
        <v>108</v>
      </c>
      <c r="AT529" t="s">
        <v>108</v>
      </c>
      <c r="AU529">
        <v>0</v>
      </c>
      <c r="AV529" t="s">
        <v>108</v>
      </c>
      <c r="AW529" t="s">
        <v>108</v>
      </c>
      <c r="AX529" s="24" t="str">
        <f t="shared" si="53"/>
        <v/>
      </c>
      <c r="AY529" s="24" t="str">
        <f t="shared" si="53"/>
        <v/>
      </c>
      <c r="AZ529" s="24" t="str">
        <f t="shared" si="57"/>
        <v/>
      </c>
      <c r="BA529" s="24" t="str">
        <f t="shared" si="57"/>
        <v/>
      </c>
      <c r="BB529" s="24" t="str">
        <f t="shared" si="57"/>
        <v/>
      </c>
      <c r="BC529" s="24" t="str">
        <f t="shared" si="57"/>
        <v/>
      </c>
      <c r="BD529" s="24" t="str">
        <f t="shared" si="57"/>
        <v/>
      </c>
      <c r="BE529" s="24" t="str">
        <f t="shared" si="57"/>
        <v/>
      </c>
      <c r="BF529" s="24" t="str">
        <f t="shared" si="57"/>
        <v/>
      </c>
      <c r="BG529" s="24" t="str">
        <f t="shared" si="57"/>
        <v/>
      </c>
      <c r="BH529" s="24" t="str">
        <f t="shared" si="56"/>
        <v/>
      </c>
      <c r="BI529" s="24" t="str">
        <f t="shared" si="57"/>
        <v/>
      </c>
      <c r="BJ529" s="24">
        <f t="shared" si="51"/>
        <v>1</v>
      </c>
    </row>
    <row r="530" spans="1:62" ht="15" customHeight="1" x14ac:dyDescent="0.25">
      <c r="A530" t="str">
        <f>"1245246644"</f>
        <v>1245246644</v>
      </c>
      <c r="B530" t="str">
        <f>"02079481"</f>
        <v>02079481</v>
      </c>
      <c r="C530" t="s">
        <v>180</v>
      </c>
      <c r="D530" t="s">
        <v>3112</v>
      </c>
      <c r="E530" t="s">
        <v>180</v>
      </c>
      <c r="G530" t="s">
        <v>3113</v>
      </c>
      <c r="H530" t="s">
        <v>178</v>
      </c>
      <c r="J530" t="s">
        <v>1361</v>
      </c>
      <c r="L530" t="s">
        <v>68</v>
      </c>
      <c r="M530" t="s">
        <v>108</v>
      </c>
      <c r="R530" t="s">
        <v>2473</v>
      </c>
      <c r="W530" t="s">
        <v>3114</v>
      </c>
      <c r="X530" t="s">
        <v>196</v>
      </c>
      <c r="Y530" t="s">
        <v>181</v>
      </c>
      <c r="Z530" t="s">
        <v>182</v>
      </c>
      <c r="AA530" t="str">
        <f>"18840-1625"</f>
        <v>18840-1625</v>
      </c>
      <c r="AB530" t="s">
        <v>3115</v>
      </c>
      <c r="AC530" t="s">
        <v>113</v>
      </c>
      <c r="AD530" t="s">
        <v>108</v>
      </c>
      <c r="AE530" t="s">
        <v>114</v>
      </c>
      <c r="AF530" t="s">
        <v>115</v>
      </c>
      <c r="AG530" t="s">
        <v>116</v>
      </c>
      <c r="AK530" t="str">
        <f t="shared" si="55"/>
        <v/>
      </c>
      <c r="AL530" t="s">
        <v>3112</v>
      </c>
      <c r="AM530">
        <v>1</v>
      </c>
      <c r="AN530">
        <v>1</v>
      </c>
      <c r="AO530">
        <v>0</v>
      </c>
      <c r="AP530">
        <v>0</v>
      </c>
      <c r="AQ530">
        <v>0</v>
      </c>
      <c r="AR530">
        <v>0</v>
      </c>
      <c r="AS530">
        <v>0</v>
      </c>
      <c r="AT530">
        <v>1</v>
      </c>
      <c r="AU530">
        <v>0</v>
      </c>
      <c r="AV530">
        <v>1</v>
      </c>
      <c r="AW530">
        <v>0</v>
      </c>
      <c r="AX530" s="24" t="str">
        <f t="shared" si="53"/>
        <v/>
      </c>
      <c r="AY530" s="24" t="str">
        <f t="shared" si="53"/>
        <v/>
      </c>
      <c r="AZ530" s="24" t="str">
        <f t="shared" si="57"/>
        <v/>
      </c>
      <c r="BA530" s="24" t="str">
        <f t="shared" si="57"/>
        <v/>
      </c>
      <c r="BB530" s="24" t="str">
        <f t="shared" si="57"/>
        <v/>
      </c>
      <c r="BC530" s="24" t="str">
        <f t="shared" si="57"/>
        <v/>
      </c>
      <c r="BD530" s="24" t="str">
        <f t="shared" si="57"/>
        <v/>
      </c>
      <c r="BE530" s="24" t="str">
        <f t="shared" si="57"/>
        <v/>
      </c>
      <c r="BF530" s="24" t="str">
        <f t="shared" si="57"/>
        <v/>
      </c>
      <c r="BG530" s="24" t="str">
        <f t="shared" si="57"/>
        <v/>
      </c>
      <c r="BH530" s="24" t="str">
        <f t="shared" si="56"/>
        <v/>
      </c>
      <c r="BI530" s="24">
        <f t="shared" si="57"/>
        <v>1</v>
      </c>
      <c r="BJ530" s="24" t="str">
        <f t="shared" ref="BJ530:BJ593" si="58">IF(ISERROR(FIND(BJ$1,$L530,1)),"",1)</f>
        <v/>
      </c>
    </row>
    <row r="531" spans="1:62" x14ac:dyDescent="0.25">
      <c r="A531" t="str">
        <f>"1346241973"</f>
        <v>1346241973</v>
      </c>
      <c r="B531" t="str">
        <f>"00361739"</f>
        <v>00361739</v>
      </c>
      <c r="C531" t="s">
        <v>1358</v>
      </c>
      <c r="D531" t="s">
        <v>1359</v>
      </c>
      <c r="E531" t="s">
        <v>722</v>
      </c>
      <c r="G531" t="s">
        <v>1360</v>
      </c>
      <c r="H531" t="s">
        <v>178</v>
      </c>
      <c r="J531" t="s">
        <v>1361</v>
      </c>
      <c r="L531" t="s">
        <v>1362</v>
      </c>
      <c r="M531" t="s">
        <v>139</v>
      </c>
      <c r="R531" t="s">
        <v>1363</v>
      </c>
      <c r="W531" t="s">
        <v>722</v>
      </c>
      <c r="X531" t="s">
        <v>1364</v>
      </c>
      <c r="Y531" t="s">
        <v>157</v>
      </c>
      <c r="Z531" t="s">
        <v>111</v>
      </c>
      <c r="AA531" t="str">
        <f>"14830-3696"</f>
        <v>14830-3696</v>
      </c>
      <c r="AB531" t="s">
        <v>303</v>
      </c>
      <c r="AC531" t="s">
        <v>113</v>
      </c>
      <c r="AD531" t="s">
        <v>108</v>
      </c>
      <c r="AE531" t="s">
        <v>114</v>
      </c>
      <c r="AF531" t="s">
        <v>149</v>
      </c>
      <c r="AG531" t="s">
        <v>116</v>
      </c>
      <c r="AK531" t="str">
        <f t="shared" si="55"/>
        <v/>
      </c>
      <c r="AL531" t="s">
        <v>1359</v>
      </c>
      <c r="AM531">
        <v>1</v>
      </c>
      <c r="AN531">
        <v>1</v>
      </c>
      <c r="AO531">
        <v>0</v>
      </c>
      <c r="AP531">
        <v>0</v>
      </c>
      <c r="AQ531">
        <v>0</v>
      </c>
      <c r="AR531">
        <v>0</v>
      </c>
      <c r="AS531">
        <v>0</v>
      </c>
      <c r="AT531">
        <v>1</v>
      </c>
      <c r="AU531">
        <v>1</v>
      </c>
      <c r="AV531">
        <v>1</v>
      </c>
      <c r="AW531">
        <v>1</v>
      </c>
      <c r="AX531" s="24" t="str">
        <f t="shared" si="53"/>
        <v/>
      </c>
      <c r="AY531" s="24" t="str">
        <f t="shared" si="53"/>
        <v/>
      </c>
      <c r="AZ531" s="24">
        <f t="shared" si="57"/>
        <v>1</v>
      </c>
      <c r="BA531" s="24">
        <f t="shared" si="57"/>
        <v>1</v>
      </c>
      <c r="BB531" s="24" t="str">
        <f t="shared" si="57"/>
        <v/>
      </c>
      <c r="BC531" s="24" t="str">
        <f t="shared" si="57"/>
        <v/>
      </c>
      <c r="BD531" s="24" t="str">
        <f t="shared" si="57"/>
        <v/>
      </c>
      <c r="BE531" s="24" t="str">
        <f t="shared" si="57"/>
        <v/>
      </c>
      <c r="BF531" s="24" t="str">
        <f t="shared" si="57"/>
        <v/>
      </c>
      <c r="BG531" s="24" t="str">
        <f t="shared" si="57"/>
        <v/>
      </c>
      <c r="BH531" s="24" t="str">
        <f t="shared" si="56"/>
        <v/>
      </c>
      <c r="BI531" s="24">
        <f t="shared" si="57"/>
        <v>1</v>
      </c>
      <c r="BJ531" s="24" t="str">
        <f t="shared" si="58"/>
        <v/>
      </c>
    </row>
    <row r="532" spans="1:62" ht="15" customHeight="1" x14ac:dyDescent="0.25">
      <c r="A532" t="str">
        <f>"1083666275"</f>
        <v>1083666275</v>
      </c>
      <c r="C532" t="s">
        <v>2473</v>
      </c>
      <c r="G532" t="s">
        <v>177</v>
      </c>
      <c r="H532" t="s">
        <v>178</v>
      </c>
      <c r="J532" t="s">
        <v>179</v>
      </c>
      <c r="K532" t="s">
        <v>1597</v>
      </c>
      <c r="L532" t="s">
        <v>133</v>
      </c>
      <c r="M532" t="s">
        <v>108</v>
      </c>
      <c r="R532" t="s">
        <v>2473</v>
      </c>
      <c r="S532" t="s">
        <v>196</v>
      </c>
      <c r="T532" t="s">
        <v>181</v>
      </c>
      <c r="U532" t="s">
        <v>182</v>
      </c>
      <c r="V532" t="str">
        <f>"188401625"</f>
        <v>188401625</v>
      </c>
      <c r="AC532" t="s">
        <v>113</v>
      </c>
      <c r="AD532" t="s">
        <v>108</v>
      </c>
      <c r="AE532" t="s">
        <v>775</v>
      </c>
      <c r="AF532" t="s">
        <v>115</v>
      </c>
      <c r="AG532" t="s">
        <v>116</v>
      </c>
      <c r="AK532" t="str">
        <f t="shared" si="55"/>
        <v>GUTHRIE MEDICAL GROUP, P.C.</v>
      </c>
      <c r="AM532" t="s">
        <v>108</v>
      </c>
      <c r="AN532" t="s">
        <v>108</v>
      </c>
      <c r="AO532" t="s">
        <v>108</v>
      </c>
      <c r="AP532" t="s">
        <v>108</v>
      </c>
      <c r="AQ532" t="s">
        <v>108</v>
      </c>
      <c r="AR532" t="s">
        <v>108</v>
      </c>
      <c r="AS532" t="s">
        <v>108</v>
      </c>
      <c r="AT532" t="s">
        <v>108</v>
      </c>
      <c r="AU532">
        <v>0</v>
      </c>
      <c r="AV532" t="s">
        <v>108</v>
      </c>
      <c r="AW532" t="s">
        <v>108</v>
      </c>
      <c r="AX532" s="24" t="str">
        <f t="shared" si="53"/>
        <v/>
      </c>
      <c r="AY532" s="24" t="str">
        <f t="shared" si="53"/>
        <v/>
      </c>
      <c r="AZ532" s="24" t="str">
        <f t="shared" si="57"/>
        <v/>
      </c>
      <c r="BA532" s="24" t="str">
        <f t="shared" si="57"/>
        <v/>
      </c>
      <c r="BB532" s="24" t="str">
        <f t="shared" si="57"/>
        <v/>
      </c>
      <c r="BC532" s="24" t="str">
        <f t="shared" si="57"/>
        <v/>
      </c>
      <c r="BD532" s="24" t="str">
        <f t="shared" si="57"/>
        <v/>
      </c>
      <c r="BE532" s="24" t="str">
        <f t="shared" si="57"/>
        <v/>
      </c>
      <c r="BF532" s="24" t="str">
        <f t="shared" si="57"/>
        <v/>
      </c>
      <c r="BG532" s="24" t="str">
        <f t="shared" si="57"/>
        <v/>
      </c>
      <c r="BH532" s="24" t="str">
        <f t="shared" si="56"/>
        <v/>
      </c>
      <c r="BI532" s="24" t="str">
        <f t="shared" si="57"/>
        <v/>
      </c>
      <c r="BJ532" s="24">
        <f t="shared" si="58"/>
        <v>1</v>
      </c>
    </row>
    <row r="533" spans="1:62" ht="15" customHeight="1" x14ac:dyDescent="0.25">
      <c r="A533" t="str">
        <f>"1699775254"</f>
        <v>1699775254</v>
      </c>
      <c r="B533" t="str">
        <f>"02843772"</f>
        <v>02843772</v>
      </c>
      <c r="C533" t="s">
        <v>1948</v>
      </c>
      <c r="D533" t="s">
        <v>1949</v>
      </c>
      <c r="E533" t="s">
        <v>1950</v>
      </c>
      <c r="G533" t="s">
        <v>6330</v>
      </c>
      <c r="H533" t="s">
        <v>6331</v>
      </c>
      <c r="J533" t="s">
        <v>6332</v>
      </c>
      <c r="L533" t="s">
        <v>120</v>
      </c>
      <c r="M533" t="s">
        <v>108</v>
      </c>
      <c r="R533" t="s">
        <v>1948</v>
      </c>
      <c r="W533" t="s">
        <v>1950</v>
      </c>
      <c r="X533" t="s">
        <v>881</v>
      </c>
      <c r="Y533" t="s">
        <v>321</v>
      </c>
      <c r="Z533" t="s">
        <v>111</v>
      </c>
      <c r="AA533" t="str">
        <f>"13760-5430"</f>
        <v>13760-5430</v>
      </c>
      <c r="AB533" t="s">
        <v>123</v>
      </c>
      <c r="AC533" t="s">
        <v>113</v>
      </c>
      <c r="AD533" t="s">
        <v>108</v>
      </c>
      <c r="AE533" t="s">
        <v>114</v>
      </c>
      <c r="AF533" t="s">
        <v>115</v>
      </c>
      <c r="AG533" t="s">
        <v>116</v>
      </c>
      <c r="AK533" t="str">
        <f t="shared" si="55"/>
        <v/>
      </c>
      <c r="AL533" t="s">
        <v>1949</v>
      </c>
      <c r="AM533">
        <v>1</v>
      </c>
      <c r="AN533">
        <v>1</v>
      </c>
      <c r="AO533">
        <v>0</v>
      </c>
      <c r="AP533">
        <v>1</v>
      </c>
      <c r="AQ533">
        <v>1</v>
      </c>
      <c r="AR533">
        <v>0</v>
      </c>
      <c r="AS533">
        <v>0</v>
      </c>
      <c r="AT533">
        <v>0</v>
      </c>
      <c r="AU533">
        <v>0</v>
      </c>
      <c r="AV533">
        <v>0</v>
      </c>
      <c r="AW533">
        <v>0</v>
      </c>
      <c r="AX533" s="24">
        <f t="shared" si="53"/>
        <v>1</v>
      </c>
      <c r="AY533" s="24" t="str">
        <f t="shared" si="53"/>
        <v/>
      </c>
      <c r="AZ533" s="24" t="str">
        <f t="shared" si="57"/>
        <v/>
      </c>
      <c r="BA533" s="24" t="str">
        <f t="shared" si="57"/>
        <v/>
      </c>
      <c r="BB533" s="24" t="str">
        <f t="shared" si="57"/>
        <v/>
      </c>
      <c r="BC533" s="24" t="str">
        <f t="shared" si="57"/>
        <v/>
      </c>
      <c r="BD533" s="24" t="str">
        <f t="shared" si="57"/>
        <v/>
      </c>
      <c r="BE533" s="24" t="str">
        <f t="shared" si="57"/>
        <v/>
      </c>
      <c r="BF533" s="24" t="str">
        <f t="shared" si="57"/>
        <v/>
      </c>
      <c r="BG533" s="24" t="str">
        <f t="shared" si="57"/>
        <v/>
      </c>
      <c r="BH533" s="24" t="str">
        <f t="shared" si="56"/>
        <v/>
      </c>
      <c r="BI533" s="24">
        <f t="shared" si="57"/>
        <v>1</v>
      </c>
      <c r="BJ533" s="24" t="str">
        <f t="shared" si="58"/>
        <v/>
      </c>
    </row>
    <row r="534" spans="1:62" ht="15" customHeight="1" x14ac:dyDescent="0.25">
      <c r="A534" t="str">
        <f>"1750535977"</f>
        <v>1750535977</v>
      </c>
      <c r="B534" t="str">
        <f>"03676717"</f>
        <v>03676717</v>
      </c>
      <c r="C534" t="s">
        <v>4614</v>
      </c>
      <c r="D534" t="s">
        <v>4615</v>
      </c>
      <c r="E534" t="s">
        <v>4616</v>
      </c>
      <c r="L534" t="s">
        <v>133</v>
      </c>
      <c r="M534" t="s">
        <v>108</v>
      </c>
      <c r="R534" t="s">
        <v>4614</v>
      </c>
      <c r="W534" t="s">
        <v>4616</v>
      </c>
      <c r="X534" t="s">
        <v>406</v>
      </c>
      <c r="Y534" t="s">
        <v>129</v>
      </c>
      <c r="Z534" t="s">
        <v>111</v>
      </c>
      <c r="AA534" t="str">
        <f>"13790-2107"</f>
        <v>13790-2107</v>
      </c>
      <c r="AB534" t="s">
        <v>1000</v>
      </c>
      <c r="AC534" t="s">
        <v>113</v>
      </c>
      <c r="AD534" t="s">
        <v>108</v>
      </c>
      <c r="AE534" t="s">
        <v>114</v>
      </c>
      <c r="AF534" t="s">
        <v>115</v>
      </c>
      <c r="AG534" t="s">
        <v>116</v>
      </c>
      <c r="AK534" t="str">
        <f t="shared" si="55"/>
        <v>HAAS CATHERINE MRS.</v>
      </c>
      <c r="AL534" t="s">
        <v>4615</v>
      </c>
      <c r="AM534" t="s">
        <v>108</v>
      </c>
      <c r="AN534" t="s">
        <v>108</v>
      </c>
      <c r="AO534" t="s">
        <v>108</v>
      </c>
      <c r="AP534" t="s">
        <v>108</v>
      </c>
      <c r="AQ534" t="s">
        <v>108</v>
      </c>
      <c r="AR534" t="s">
        <v>108</v>
      </c>
      <c r="AS534" t="s">
        <v>108</v>
      </c>
      <c r="AT534" t="s">
        <v>108</v>
      </c>
      <c r="AU534">
        <v>0</v>
      </c>
      <c r="AV534" t="s">
        <v>108</v>
      </c>
      <c r="AW534" t="s">
        <v>108</v>
      </c>
      <c r="AX534" s="24" t="str">
        <f t="shared" si="53"/>
        <v/>
      </c>
      <c r="AY534" s="24" t="str">
        <f t="shared" si="53"/>
        <v/>
      </c>
      <c r="AZ534" s="24" t="str">
        <f t="shared" si="57"/>
        <v/>
      </c>
      <c r="BA534" s="24" t="str">
        <f t="shared" si="57"/>
        <v/>
      </c>
      <c r="BB534" s="24" t="str">
        <f t="shared" si="57"/>
        <v/>
      </c>
      <c r="BC534" s="24" t="str">
        <f t="shared" si="57"/>
        <v/>
      </c>
      <c r="BD534" s="24" t="str">
        <f t="shared" si="57"/>
        <v/>
      </c>
      <c r="BE534" s="24" t="str">
        <f t="shared" si="57"/>
        <v/>
      </c>
      <c r="BF534" s="24" t="str">
        <f t="shared" si="57"/>
        <v/>
      </c>
      <c r="BG534" s="24" t="str">
        <f t="shared" si="57"/>
        <v/>
      </c>
      <c r="BH534" s="24" t="str">
        <f t="shared" si="56"/>
        <v/>
      </c>
      <c r="BI534" s="24" t="str">
        <f t="shared" si="57"/>
        <v/>
      </c>
      <c r="BJ534" s="24">
        <f t="shared" si="58"/>
        <v>1</v>
      </c>
    </row>
    <row r="535" spans="1:62" ht="15" customHeight="1" x14ac:dyDescent="0.25">
      <c r="A535" t="str">
        <f>"1821175183"</f>
        <v>1821175183</v>
      </c>
      <c r="B535" t="str">
        <f>"02327140"</f>
        <v>02327140</v>
      </c>
      <c r="C535" t="s">
        <v>1750</v>
      </c>
      <c r="D535" t="s">
        <v>1751</v>
      </c>
      <c r="E535" t="s">
        <v>1752</v>
      </c>
      <c r="G535" t="s">
        <v>815</v>
      </c>
      <c r="H535" t="s">
        <v>816</v>
      </c>
      <c r="J535" t="s">
        <v>817</v>
      </c>
      <c r="L535" t="s">
        <v>120</v>
      </c>
      <c r="M535" t="s">
        <v>139</v>
      </c>
      <c r="R535" t="s">
        <v>1750</v>
      </c>
      <c r="W535" t="s">
        <v>1753</v>
      </c>
      <c r="X535" t="s">
        <v>1754</v>
      </c>
      <c r="Y535" t="s">
        <v>110</v>
      </c>
      <c r="Z535" t="s">
        <v>111</v>
      </c>
      <c r="AA535" t="str">
        <f>"13905-2539"</f>
        <v>13905-2539</v>
      </c>
      <c r="AB535" t="s">
        <v>123</v>
      </c>
      <c r="AC535" t="s">
        <v>113</v>
      </c>
      <c r="AD535" t="s">
        <v>108</v>
      </c>
      <c r="AE535" t="s">
        <v>114</v>
      </c>
      <c r="AF535" t="s">
        <v>115</v>
      </c>
      <c r="AG535" t="s">
        <v>116</v>
      </c>
      <c r="AK535" t="str">
        <f t="shared" si="55"/>
        <v/>
      </c>
      <c r="AL535" t="s">
        <v>1751</v>
      </c>
      <c r="AM535">
        <v>1</v>
      </c>
      <c r="AN535">
        <v>1</v>
      </c>
      <c r="AO535">
        <v>0</v>
      </c>
      <c r="AP535">
        <v>1</v>
      </c>
      <c r="AQ535">
        <v>1</v>
      </c>
      <c r="AR535">
        <v>0</v>
      </c>
      <c r="AS535">
        <v>0</v>
      </c>
      <c r="AT535">
        <v>1</v>
      </c>
      <c r="AU535">
        <v>0</v>
      </c>
      <c r="AV535">
        <v>0</v>
      </c>
      <c r="AW535">
        <v>1</v>
      </c>
      <c r="AX535" s="24">
        <f t="shared" si="53"/>
        <v>1</v>
      </c>
      <c r="AY535" s="24" t="str">
        <f t="shared" si="53"/>
        <v/>
      </c>
      <c r="AZ535" s="24" t="str">
        <f t="shared" si="57"/>
        <v/>
      </c>
      <c r="BA535" s="24" t="str">
        <f t="shared" si="57"/>
        <v/>
      </c>
      <c r="BB535" s="24" t="str">
        <f t="shared" si="57"/>
        <v/>
      </c>
      <c r="BC535" s="24" t="str">
        <f t="shared" si="57"/>
        <v/>
      </c>
      <c r="BD535" s="24" t="str">
        <f t="shared" si="57"/>
        <v/>
      </c>
      <c r="BE535" s="24" t="str">
        <f t="shared" si="57"/>
        <v/>
      </c>
      <c r="BF535" s="24" t="str">
        <f t="shared" si="57"/>
        <v/>
      </c>
      <c r="BG535" s="24" t="str">
        <f t="shared" si="57"/>
        <v/>
      </c>
      <c r="BH535" s="24" t="str">
        <f t="shared" si="56"/>
        <v/>
      </c>
      <c r="BI535" s="24">
        <f t="shared" si="57"/>
        <v>1</v>
      </c>
      <c r="BJ535" s="24" t="str">
        <f t="shared" si="58"/>
        <v/>
      </c>
    </row>
    <row r="536" spans="1:62" ht="15" customHeight="1" x14ac:dyDescent="0.25">
      <c r="A536" t="str">
        <f>"1326039058"</f>
        <v>1326039058</v>
      </c>
      <c r="B536" t="str">
        <f>"01976829"</f>
        <v>01976829</v>
      </c>
      <c r="C536" t="s">
        <v>4030</v>
      </c>
      <c r="D536" t="s">
        <v>4031</v>
      </c>
      <c r="E536" t="s">
        <v>4030</v>
      </c>
      <c r="G536" t="s">
        <v>699</v>
      </c>
      <c r="H536" t="s">
        <v>700</v>
      </c>
      <c r="J536" t="s">
        <v>701</v>
      </c>
      <c r="L536" t="s">
        <v>120</v>
      </c>
      <c r="M536" t="s">
        <v>108</v>
      </c>
      <c r="R536" t="s">
        <v>4032</v>
      </c>
      <c r="W536" t="s">
        <v>4030</v>
      </c>
      <c r="X536" t="s">
        <v>4033</v>
      </c>
      <c r="Y536" t="s">
        <v>157</v>
      </c>
      <c r="Z536" t="s">
        <v>111</v>
      </c>
      <c r="AA536" t="str">
        <f>"14830-2814"</f>
        <v>14830-2814</v>
      </c>
      <c r="AB536" t="s">
        <v>123</v>
      </c>
      <c r="AC536" t="s">
        <v>113</v>
      </c>
      <c r="AD536" t="s">
        <v>108</v>
      </c>
      <c r="AE536" t="s">
        <v>114</v>
      </c>
      <c r="AF536" t="s">
        <v>149</v>
      </c>
      <c r="AG536" t="s">
        <v>116</v>
      </c>
      <c r="AK536" t="str">
        <f t="shared" si="55"/>
        <v/>
      </c>
      <c r="AL536" t="s">
        <v>4031</v>
      </c>
      <c r="AM536">
        <v>1</v>
      </c>
      <c r="AN536">
        <v>1</v>
      </c>
      <c r="AO536">
        <v>0</v>
      </c>
      <c r="AP536">
        <v>0</v>
      </c>
      <c r="AQ536">
        <v>0</v>
      </c>
      <c r="AR536">
        <v>0</v>
      </c>
      <c r="AS536">
        <v>0</v>
      </c>
      <c r="AT536">
        <v>1</v>
      </c>
      <c r="AU536">
        <v>1</v>
      </c>
      <c r="AV536">
        <v>1</v>
      </c>
      <c r="AW536">
        <v>0</v>
      </c>
      <c r="AX536" s="24">
        <f t="shared" si="53"/>
        <v>1</v>
      </c>
      <c r="AY536" s="24" t="str">
        <f t="shared" si="53"/>
        <v/>
      </c>
      <c r="AZ536" s="24" t="str">
        <f t="shared" si="57"/>
        <v/>
      </c>
      <c r="BA536" s="24" t="str">
        <f t="shared" si="57"/>
        <v/>
      </c>
      <c r="BB536" s="24" t="str">
        <f t="shared" si="57"/>
        <v/>
      </c>
      <c r="BC536" s="24" t="str">
        <f t="shared" si="57"/>
        <v/>
      </c>
      <c r="BD536" s="24" t="str">
        <f t="shared" si="57"/>
        <v/>
      </c>
      <c r="BE536" s="24" t="str">
        <f t="shared" si="57"/>
        <v/>
      </c>
      <c r="BF536" s="24" t="str">
        <f t="shared" si="57"/>
        <v/>
      </c>
      <c r="BG536" s="24" t="str">
        <f t="shared" si="57"/>
        <v/>
      </c>
      <c r="BH536" s="24" t="str">
        <f t="shared" si="56"/>
        <v/>
      </c>
      <c r="BI536" s="24">
        <f t="shared" si="57"/>
        <v>1</v>
      </c>
      <c r="BJ536" s="24" t="str">
        <f t="shared" si="58"/>
        <v/>
      </c>
    </row>
    <row r="537" spans="1:62" ht="15" customHeight="1" x14ac:dyDescent="0.25">
      <c r="A537" t="str">
        <f>"1770816365"</f>
        <v>1770816365</v>
      </c>
      <c r="B537" t="str">
        <f>"03151791"</f>
        <v>03151791</v>
      </c>
      <c r="C537" t="s">
        <v>2689</v>
      </c>
      <c r="D537" t="s">
        <v>2690</v>
      </c>
      <c r="E537" t="s">
        <v>2689</v>
      </c>
      <c r="L537" t="s">
        <v>809</v>
      </c>
      <c r="M537" t="s">
        <v>108</v>
      </c>
      <c r="R537" t="s">
        <v>2689</v>
      </c>
      <c r="W537" t="s">
        <v>2689</v>
      </c>
      <c r="X537" t="s">
        <v>2691</v>
      </c>
      <c r="Y537" t="s">
        <v>110</v>
      </c>
      <c r="Z537" t="s">
        <v>111</v>
      </c>
      <c r="AA537" t="str">
        <f>"13903-1617"</f>
        <v>13903-1617</v>
      </c>
      <c r="AB537" t="s">
        <v>123</v>
      </c>
      <c r="AC537" t="s">
        <v>113</v>
      </c>
      <c r="AD537" t="s">
        <v>108</v>
      </c>
      <c r="AE537" t="s">
        <v>114</v>
      </c>
      <c r="AF537" t="s">
        <v>115</v>
      </c>
      <c r="AG537" t="s">
        <v>116</v>
      </c>
      <c r="AK537" t="str">
        <f t="shared" si="55"/>
        <v/>
      </c>
      <c r="AL537" t="s">
        <v>2690</v>
      </c>
      <c r="AM537">
        <v>1</v>
      </c>
      <c r="AN537">
        <v>1</v>
      </c>
      <c r="AO537">
        <v>0</v>
      </c>
      <c r="AP537">
        <v>1</v>
      </c>
      <c r="AQ537">
        <v>1</v>
      </c>
      <c r="AR537">
        <v>0</v>
      </c>
      <c r="AS537">
        <v>0</v>
      </c>
      <c r="AT537">
        <v>0</v>
      </c>
      <c r="AU537">
        <v>0</v>
      </c>
      <c r="AV537">
        <v>0</v>
      </c>
      <c r="AW537">
        <v>0</v>
      </c>
      <c r="AX537" s="24" t="str">
        <f t="shared" si="53"/>
        <v/>
      </c>
      <c r="AY537" s="24">
        <f t="shared" si="53"/>
        <v>1</v>
      </c>
      <c r="AZ537" s="24" t="str">
        <f t="shared" si="57"/>
        <v/>
      </c>
      <c r="BA537" s="24" t="str">
        <f t="shared" si="57"/>
        <v/>
      </c>
      <c r="BB537" s="24" t="str">
        <f t="shared" si="57"/>
        <v/>
      </c>
      <c r="BC537" s="24">
        <f t="shared" si="57"/>
        <v>1</v>
      </c>
      <c r="BD537" s="24" t="str">
        <f t="shared" si="57"/>
        <v/>
      </c>
      <c r="BE537" s="24" t="str">
        <f t="shared" si="57"/>
        <v/>
      </c>
      <c r="BF537" s="24" t="str">
        <f t="shared" si="57"/>
        <v/>
      </c>
      <c r="BG537" s="24" t="str">
        <f t="shared" si="57"/>
        <v/>
      </c>
      <c r="BH537" s="24" t="str">
        <f t="shared" si="56"/>
        <v/>
      </c>
      <c r="BI537" s="24" t="str">
        <f t="shared" si="57"/>
        <v/>
      </c>
      <c r="BJ537" s="24" t="str">
        <f t="shared" si="58"/>
        <v/>
      </c>
    </row>
    <row r="538" spans="1:62" ht="15" customHeight="1" x14ac:dyDescent="0.25">
      <c r="A538" t="str">
        <f>"1467433078"</f>
        <v>1467433078</v>
      </c>
      <c r="B538" t="str">
        <f>"00371577"</f>
        <v>00371577</v>
      </c>
      <c r="C538" t="s">
        <v>472</v>
      </c>
      <c r="D538" t="s">
        <v>473</v>
      </c>
      <c r="E538" t="s">
        <v>474</v>
      </c>
      <c r="L538" t="s">
        <v>138</v>
      </c>
      <c r="M538" t="s">
        <v>108</v>
      </c>
      <c r="R538" t="s">
        <v>472</v>
      </c>
      <c r="W538" t="s">
        <v>474</v>
      </c>
      <c r="Y538" t="s">
        <v>129</v>
      </c>
      <c r="Z538" t="s">
        <v>111</v>
      </c>
      <c r="AA538" t="str">
        <f>"13790-2597"</f>
        <v>13790-2597</v>
      </c>
      <c r="AB538" t="s">
        <v>123</v>
      </c>
      <c r="AC538" t="s">
        <v>113</v>
      </c>
      <c r="AD538" t="s">
        <v>108</v>
      </c>
      <c r="AE538" t="s">
        <v>114</v>
      </c>
      <c r="AF538" t="s">
        <v>115</v>
      </c>
      <c r="AG538" t="s">
        <v>116</v>
      </c>
      <c r="AK538" t="str">
        <f t="shared" si="55"/>
        <v/>
      </c>
      <c r="AL538" t="s">
        <v>473</v>
      </c>
      <c r="AM538">
        <v>1</v>
      </c>
      <c r="AN538">
        <v>1</v>
      </c>
      <c r="AO538">
        <v>0</v>
      </c>
      <c r="AP538">
        <v>1</v>
      </c>
      <c r="AQ538">
        <v>1</v>
      </c>
      <c r="AR538">
        <v>0</v>
      </c>
      <c r="AS538">
        <v>0</v>
      </c>
      <c r="AT538">
        <v>0</v>
      </c>
      <c r="AU538">
        <v>0</v>
      </c>
      <c r="AV538">
        <v>0</v>
      </c>
      <c r="AW538">
        <v>0</v>
      </c>
      <c r="AX538" s="24" t="str">
        <f t="shared" si="53"/>
        <v/>
      </c>
      <c r="AY538" s="24">
        <f t="shared" si="53"/>
        <v>1</v>
      </c>
      <c r="AZ538" s="24" t="str">
        <f t="shared" si="57"/>
        <v/>
      </c>
      <c r="BA538" s="24" t="str">
        <f t="shared" si="57"/>
        <v/>
      </c>
      <c r="BB538" s="24" t="str">
        <f t="shared" si="57"/>
        <v/>
      </c>
      <c r="BC538" s="24" t="str">
        <f t="shared" si="57"/>
        <v/>
      </c>
      <c r="BD538" s="24" t="str">
        <f t="shared" si="57"/>
        <v/>
      </c>
      <c r="BE538" s="24" t="str">
        <f t="shared" si="57"/>
        <v/>
      </c>
      <c r="BF538" s="24" t="str">
        <f t="shared" si="57"/>
        <v/>
      </c>
      <c r="BG538" s="24" t="str">
        <f t="shared" si="57"/>
        <v/>
      </c>
      <c r="BH538" s="24" t="str">
        <f t="shared" si="56"/>
        <v/>
      </c>
      <c r="BI538" s="24">
        <f t="shared" si="57"/>
        <v>1</v>
      </c>
      <c r="BJ538" s="24" t="str">
        <f t="shared" si="58"/>
        <v/>
      </c>
    </row>
    <row r="539" spans="1:62" ht="15" customHeight="1" x14ac:dyDescent="0.25">
      <c r="A539" t="str">
        <f>"1831406677"</f>
        <v>1831406677</v>
      </c>
      <c r="B539" t="str">
        <f>"03875803"</f>
        <v>03875803</v>
      </c>
      <c r="C539" t="s">
        <v>240</v>
      </c>
      <c r="D539" t="s">
        <v>241</v>
      </c>
      <c r="E539" t="s">
        <v>242</v>
      </c>
      <c r="G539" t="s">
        <v>229</v>
      </c>
      <c r="H539" t="s">
        <v>230</v>
      </c>
      <c r="J539" t="s">
        <v>231</v>
      </c>
      <c r="L539" t="s">
        <v>138</v>
      </c>
      <c r="M539" t="s">
        <v>108</v>
      </c>
      <c r="R539" t="s">
        <v>243</v>
      </c>
      <c r="W539" t="s">
        <v>242</v>
      </c>
      <c r="X539" t="s">
        <v>238</v>
      </c>
      <c r="Y539" t="s">
        <v>239</v>
      </c>
      <c r="Z539" t="s">
        <v>111</v>
      </c>
      <c r="AA539" t="str">
        <f>"13045-1206"</f>
        <v>13045-1206</v>
      </c>
      <c r="AB539" t="s">
        <v>123</v>
      </c>
      <c r="AC539" t="s">
        <v>113</v>
      </c>
      <c r="AD539" t="s">
        <v>108</v>
      </c>
      <c r="AE539" t="s">
        <v>114</v>
      </c>
      <c r="AF539" t="s">
        <v>142</v>
      </c>
      <c r="AG539" t="s">
        <v>116</v>
      </c>
      <c r="AK539" t="str">
        <f t="shared" si="55"/>
        <v/>
      </c>
      <c r="AL539" t="s">
        <v>241</v>
      </c>
      <c r="AM539">
        <v>1</v>
      </c>
      <c r="AN539">
        <v>1</v>
      </c>
      <c r="AO539">
        <v>0</v>
      </c>
      <c r="AP539">
        <v>0</v>
      </c>
      <c r="AQ539">
        <v>1</v>
      </c>
      <c r="AR539">
        <v>0</v>
      </c>
      <c r="AS539">
        <v>0</v>
      </c>
      <c r="AT539">
        <v>0</v>
      </c>
      <c r="AU539">
        <v>0</v>
      </c>
      <c r="AV539">
        <v>0</v>
      </c>
      <c r="AW539">
        <v>0</v>
      </c>
      <c r="AX539" s="24" t="str">
        <f t="shared" si="53"/>
        <v/>
      </c>
      <c r="AY539" s="24">
        <f t="shared" si="53"/>
        <v>1</v>
      </c>
      <c r="AZ539" s="24" t="str">
        <f t="shared" si="57"/>
        <v/>
      </c>
      <c r="BA539" s="24" t="str">
        <f t="shared" si="57"/>
        <v/>
      </c>
      <c r="BB539" s="24" t="str">
        <f t="shared" si="57"/>
        <v/>
      </c>
      <c r="BC539" s="24" t="str">
        <f t="shared" si="57"/>
        <v/>
      </c>
      <c r="BD539" s="24" t="str">
        <f t="shared" si="57"/>
        <v/>
      </c>
      <c r="BE539" s="24" t="str">
        <f t="shared" si="57"/>
        <v/>
      </c>
      <c r="BF539" s="24" t="str">
        <f t="shared" si="57"/>
        <v/>
      </c>
      <c r="BG539" s="24" t="str">
        <f t="shared" si="57"/>
        <v/>
      </c>
      <c r="BH539" s="24" t="str">
        <f t="shared" si="56"/>
        <v/>
      </c>
      <c r="BI539" s="24">
        <f t="shared" si="57"/>
        <v>1</v>
      </c>
      <c r="BJ539" s="24" t="str">
        <f t="shared" si="58"/>
        <v/>
      </c>
    </row>
    <row r="540" spans="1:62" ht="15" customHeight="1" x14ac:dyDescent="0.25">
      <c r="B540" t="str">
        <f>"02722705"</f>
        <v>02722705</v>
      </c>
      <c r="C540" t="s">
        <v>2154</v>
      </c>
      <c r="D540" t="s">
        <v>2155</v>
      </c>
      <c r="E540" t="s">
        <v>2154</v>
      </c>
      <c r="F540">
        <v>150516395</v>
      </c>
      <c r="G540" t="s">
        <v>2142</v>
      </c>
      <c r="H540" t="s">
        <v>2143</v>
      </c>
      <c r="I540">
        <v>311</v>
      </c>
      <c r="J540" t="s">
        <v>2144</v>
      </c>
      <c r="L540" t="s">
        <v>68</v>
      </c>
      <c r="M540" t="s">
        <v>139</v>
      </c>
      <c r="W540" t="s">
        <v>2154</v>
      </c>
      <c r="X540" t="s">
        <v>2156</v>
      </c>
      <c r="Y540" t="s">
        <v>110</v>
      </c>
      <c r="Z540" t="s">
        <v>111</v>
      </c>
      <c r="AA540" t="str">
        <f>"13901"</f>
        <v>13901</v>
      </c>
      <c r="AB540" t="s">
        <v>165</v>
      </c>
      <c r="AC540" t="s">
        <v>113</v>
      </c>
      <c r="AD540" t="s">
        <v>108</v>
      </c>
      <c r="AE540" t="s">
        <v>114</v>
      </c>
      <c r="AF540" t="s">
        <v>115</v>
      </c>
      <c r="AG540" t="s">
        <v>116</v>
      </c>
      <c r="AK540" t="str">
        <f t="shared" si="55"/>
        <v>HANDICAPPED CHILD ASSOC FSRI</v>
      </c>
      <c r="AL540" t="s">
        <v>2155</v>
      </c>
      <c r="AM540" t="s">
        <v>108</v>
      </c>
      <c r="AN540" t="s">
        <v>108</v>
      </c>
      <c r="AO540" t="s">
        <v>108</v>
      </c>
      <c r="AP540" t="s">
        <v>108</v>
      </c>
      <c r="AQ540" t="s">
        <v>108</v>
      </c>
      <c r="AR540" t="s">
        <v>108</v>
      </c>
      <c r="AS540" t="s">
        <v>108</v>
      </c>
      <c r="AT540" t="s">
        <v>108</v>
      </c>
      <c r="AU540">
        <v>0</v>
      </c>
      <c r="AV540" t="s">
        <v>108</v>
      </c>
      <c r="AW540" t="s">
        <v>108</v>
      </c>
      <c r="AX540" s="24" t="str">
        <f t="shared" si="53"/>
        <v/>
      </c>
      <c r="AY540" s="24" t="str">
        <f t="shared" si="53"/>
        <v/>
      </c>
      <c r="AZ540" s="24" t="str">
        <f t="shared" si="57"/>
        <v/>
      </c>
      <c r="BA540" s="24" t="str">
        <f t="shared" si="57"/>
        <v/>
      </c>
      <c r="BB540" s="24" t="str">
        <f t="shared" si="57"/>
        <v/>
      </c>
      <c r="BC540" s="24" t="str">
        <f t="shared" si="57"/>
        <v/>
      </c>
      <c r="BD540" s="24" t="str">
        <f t="shared" si="57"/>
        <v/>
      </c>
      <c r="BE540" s="24" t="str">
        <f t="shared" si="57"/>
        <v/>
      </c>
      <c r="BF540" s="24" t="str">
        <f t="shared" si="57"/>
        <v/>
      </c>
      <c r="BG540" s="24" t="str">
        <f t="shared" si="57"/>
        <v/>
      </c>
      <c r="BH540" s="24" t="str">
        <f t="shared" si="56"/>
        <v/>
      </c>
      <c r="BI540" s="24">
        <f t="shared" si="57"/>
        <v>1</v>
      </c>
      <c r="BJ540" s="24" t="str">
        <f t="shared" si="58"/>
        <v/>
      </c>
    </row>
    <row r="541" spans="1:62" ht="15" customHeight="1" x14ac:dyDescent="0.25">
      <c r="B541" t="str">
        <f>"02591817"</f>
        <v>02591817</v>
      </c>
      <c r="C541" t="s">
        <v>2146</v>
      </c>
      <c r="D541" t="s">
        <v>2147</v>
      </c>
      <c r="E541" t="s">
        <v>2146</v>
      </c>
      <c r="F541">
        <v>150516395</v>
      </c>
      <c r="G541" t="s">
        <v>2142</v>
      </c>
      <c r="H541" t="s">
        <v>2143</v>
      </c>
      <c r="I541">
        <v>311</v>
      </c>
      <c r="J541" t="s">
        <v>2144</v>
      </c>
      <c r="L541" t="s">
        <v>68</v>
      </c>
      <c r="M541" t="s">
        <v>139</v>
      </c>
      <c r="W541" t="s">
        <v>2146</v>
      </c>
      <c r="X541" t="s">
        <v>2148</v>
      </c>
      <c r="Y541" t="s">
        <v>129</v>
      </c>
      <c r="Z541" t="s">
        <v>111</v>
      </c>
      <c r="AA541" t="str">
        <f>"13790-2106"</f>
        <v>13790-2106</v>
      </c>
      <c r="AB541" t="s">
        <v>165</v>
      </c>
      <c r="AC541" t="s">
        <v>113</v>
      </c>
      <c r="AD541" t="s">
        <v>108</v>
      </c>
      <c r="AE541" t="s">
        <v>114</v>
      </c>
      <c r="AF541" t="s">
        <v>115</v>
      </c>
      <c r="AG541" t="s">
        <v>116</v>
      </c>
      <c r="AK541" t="str">
        <f t="shared" si="55"/>
        <v>HANDICAPPED CHILD ASSOC RSP</v>
      </c>
      <c r="AL541" t="s">
        <v>2147</v>
      </c>
      <c r="AM541" t="s">
        <v>108</v>
      </c>
      <c r="AN541" t="s">
        <v>108</v>
      </c>
      <c r="AO541" t="s">
        <v>108</v>
      </c>
      <c r="AP541" t="s">
        <v>108</v>
      </c>
      <c r="AQ541" t="s">
        <v>108</v>
      </c>
      <c r="AR541" t="s">
        <v>108</v>
      </c>
      <c r="AS541" t="s">
        <v>108</v>
      </c>
      <c r="AT541" t="s">
        <v>108</v>
      </c>
      <c r="AU541">
        <v>0</v>
      </c>
      <c r="AV541" t="s">
        <v>108</v>
      </c>
      <c r="AW541" t="s">
        <v>108</v>
      </c>
      <c r="AX541" s="24" t="str">
        <f t="shared" si="53"/>
        <v/>
      </c>
      <c r="AY541" s="24" t="str">
        <f t="shared" si="53"/>
        <v/>
      </c>
      <c r="AZ541" s="24" t="str">
        <f t="shared" si="57"/>
        <v/>
      </c>
      <c r="BA541" s="24" t="str">
        <f t="shared" si="57"/>
        <v/>
      </c>
      <c r="BB541" s="24" t="str">
        <f t="shared" si="57"/>
        <v/>
      </c>
      <c r="BC541" s="24" t="str">
        <f t="shared" si="57"/>
        <v/>
      </c>
      <c r="BD541" s="24" t="str">
        <f t="shared" si="57"/>
        <v/>
      </c>
      <c r="BE541" s="24" t="str">
        <f t="shared" si="57"/>
        <v/>
      </c>
      <c r="BF541" s="24" t="str">
        <f t="shared" si="57"/>
        <v/>
      </c>
      <c r="BG541" s="24" t="str">
        <f t="shared" si="57"/>
        <v/>
      </c>
      <c r="BH541" s="24" t="str">
        <f t="shared" si="56"/>
        <v/>
      </c>
      <c r="BI541" s="24">
        <f t="shared" si="57"/>
        <v>1</v>
      </c>
      <c r="BJ541" s="24" t="str">
        <f t="shared" si="58"/>
        <v/>
      </c>
    </row>
    <row r="542" spans="1:62" ht="15" customHeight="1" x14ac:dyDescent="0.25">
      <c r="B542" t="str">
        <f>"02699190"</f>
        <v>02699190</v>
      </c>
      <c r="C542" t="s">
        <v>2149</v>
      </c>
      <c r="D542" t="s">
        <v>2150</v>
      </c>
      <c r="E542" t="s">
        <v>2149</v>
      </c>
      <c r="F542">
        <v>150516395</v>
      </c>
      <c r="G542" t="s">
        <v>2142</v>
      </c>
      <c r="H542" t="s">
        <v>2143</v>
      </c>
      <c r="I542">
        <v>311</v>
      </c>
      <c r="J542" t="s">
        <v>2144</v>
      </c>
      <c r="L542" t="s">
        <v>68</v>
      </c>
      <c r="M542" t="s">
        <v>139</v>
      </c>
      <c r="W542" t="s">
        <v>2149</v>
      </c>
      <c r="X542" t="s">
        <v>173</v>
      </c>
      <c r="Y542" t="s">
        <v>129</v>
      </c>
      <c r="Z542" t="s">
        <v>111</v>
      </c>
      <c r="AA542" t="str">
        <f>"13790-2106"</f>
        <v>13790-2106</v>
      </c>
      <c r="AB542" t="s">
        <v>165</v>
      </c>
      <c r="AC542" t="s">
        <v>113</v>
      </c>
      <c r="AD542" t="s">
        <v>108</v>
      </c>
      <c r="AE542" t="s">
        <v>114</v>
      </c>
      <c r="AF542" t="s">
        <v>115</v>
      </c>
      <c r="AG542" t="s">
        <v>116</v>
      </c>
      <c r="AK542" t="str">
        <f t="shared" si="55"/>
        <v>HANDICAPPED CHILD SO NY DAY</v>
      </c>
      <c r="AL542" t="s">
        <v>2150</v>
      </c>
      <c r="AM542" t="s">
        <v>108</v>
      </c>
      <c r="AN542" t="s">
        <v>108</v>
      </c>
      <c r="AO542" t="s">
        <v>108</v>
      </c>
      <c r="AP542" t="s">
        <v>108</v>
      </c>
      <c r="AQ542" t="s">
        <v>108</v>
      </c>
      <c r="AR542" t="s">
        <v>108</v>
      </c>
      <c r="AS542" t="s">
        <v>108</v>
      </c>
      <c r="AT542" t="s">
        <v>108</v>
      </c>
      <c r="AU542">
        <v>0</v>
      </c>
      <c r="AV542" t="s">
        <v>108</v>
      </c>
      <c r="AW542" t="s">
        <v>108</v>
      </c>
      <c r="AX542" s="24" t="str">
        <f t="shared" si="53"/>
        <v/>
      </c>
      <c r="AY542" s="24" t="str">
        <f t="shared" si="53"/>
        <v/>
      </c>
      <c r="AZ542" s="24" t="str">
        <f t="shared" si="57"/>
        <v/>
      </c>
      <c r="BA542" s="24" t="str">
        <f t="shared" si="57"/>
        <v/>
      </c>
      <c r="BB542" s="24" t="str">
        <f t="shared" si="57"/>
        <v/>
      </c>
      <c r="BC542" s="24" t="str">
        <f t="shared" si="57"/>
        <v/>
      </c>
      <c r="BD542" s="24" t="str">
        <f t="shared" si="57"/>
        <v/>
      </c>
      <c r="BE542" s="24" t="str">
        <f t="shared" si="57"/>
        <v/>
      </c>
      <c r="BF542" s="24" t="str">
        <f t="shared" si="57"/>
        <v/>
      </c>
      <c r="BG542" s="24" t="str">
        <f t="shared" si="57"/>
        <v/>
      </c>
      <c r="BH542" s="24" t="str">
        <f t="shared" si="56"/>
        <v/>
      </c>
      <c r="BI542" s="24">
        <f t="shared" si="57"/>
        <v>1</v>
      </c>
      <c r="BJ542" s="24" t="str">
        <f t="shared" si="58"/>
        <v/>
      </c>
    </row>
    <row r="543" spans="1:62" ht="15" customHeight="1" x14ac:dyDescent="0.25">
      <c r="B543" t="str">
        <f>"01736685"</f>
        <v>01736685</v>
      </c>
      <c r="C543" t="s">
        <v>2140</v>
      </c>
      <c r="D543" t="s">
        <v>2141</v>
      </c>
      <c r="E543" t="s">
        <v>2140</v>
      </c>
      <c r="F543">
        <v>150516395</v>
      </c>
      <c r="G543" t="s">
        <v>2142</v>
      </c>
      <c r="H543" t="s">
        <v>2143</v>
      </c>
      <c r="I543">
        <v>311</v>
      </c>
      <c r="J543" t="s">
        <v>2144</v>
      </c>
      <c r="L543" t="s">
        <v>68</v>
      </c>
      <c r="M543" t="s">
        <v>139</v>
      </c>
      <c r="W543" t="s">
        <v>2140</v>
      </c>
      <c r="X543" t="s">
        <v>2145</v>
      </c>
      <c r="Y543" t="s">
        <v>129</v>
      </c>
      <c r="Z543" t="s">
        <v>111</v>
      </c>
      <c r="AA543" t="str">
        <f>"13790-2106"</f>
        <v>13790-2106</v>
      </c>
      <c r="AB543" t="s">
        <v>165</v>
      </c>
      <c r="AC543" t="s">
        <v>113</v>
      </c>
      <c r="AD543" t="s">
        <v>108</v>
      </c>
      <c r="AE543" t="s">
        <v>114</v>
      </c>
      <c r="AF543" t="s">
        <v>115</v>
      </c>
      <c r="AG543" t="s">
        <v>116</v>
      </c>
      <c r="AK543" t="str">
        <f t="shared" si="55"/>
        <v>HANDICAPPED CHILD SO NY HCBS</v>
      </c>
      <c r="AL543" t="s">
        <v>2141</v>
      </c>
      <c r="AM543" t="s">
        <v>108</v>
      </c>
      <c r="AN543" t="s">
        <v>108</v>
      </c>
      <c r="AO543" t="s">
        <v>108</v>
      </c>
      <c r="AP543" t="s">
        <v>108</v>
      </c>
      <c r="AQ543" t="s">
        <v>108</v>
      </c>
      <c r="AR543" t="s">
        <v>108</v>
      </c>
      <c r="AS543" t="s">
        <v>108</v>
      </c>
      <c r="AT543" t="s">
        <v>108</v>
      </c>
      <c r="AU543">
        <v>0</v>
      </c>
      <c r="AV543" t="s">
        <v>108</v>
      </c>
      <c r="AW543" t="s">
        <v>108</v>
      </c>
      <c r="AX543" s="24" t="str">
        <f t="shared" si="53"/>
        <v/>
      </c>
      <c r="AY543" s="24" t="str">
        <f t="shared" si="53"/>
        <v/>
      </c>
      <c r="AZ543" s="24" t="str">
        <f t="shared" si="57"/>
        <v/>
      </c>
      <c r="BA543" s="24" t="str">
        <f t="shared" si="57"/>
        <v/>
      </c>
      <c r="BB543" s="24" t="str">
        <f t="shared" si="57"/>
        <v/>
      </c>
      <c r="BC543" s="24" t="str">
        <f t="shared" si="57"/>
        <v/>
      </c>
      <c r="BD543" s="24" t="str">
        <f t="shared" si="57"/>
        <v/>
      </c>
      <c r="BE543" s="24" t="str">
        <f t="shared" si="57"/>
        <v/>
      </c>
      <c r="BF543" s="24" t="str">
        <f t="shared" si="57"/>
        <v/>
      </c>
      <c r="BG543" s="24" t="str">
        <f t="shared" si="57"/>
        <v/>
      </c>
      <c r="BH543" s="24" t="str">
        <f t="shared" si="56"/>
        <v/>
      </c>
      <c r="BI543" s="24">
        <f t="shared" si="57"/>
        <v>1</v>
      </c>
      <c r="BJ543" s="24" t="str">
        <f t="shared" si="58"/>
        <v/>
      </c>
    </row>
    <row r="544" spans="1:62" ht="15" customHeight="1" x14ac:dyDescent="0.25">
      <c r="B544" t="str">
        <f>"02247038"</f>
        <v>02247038</v>
      </c>
      <c r="C544" t="s">
        <v>2157</v>
      </c>
      <c r="D544" t="s">
        <v>2158</v>
      </c>
      <c r="E544" t="s">
        <v>2157</v>
      </c>
      <c r="F544">
        <v>150516395</v>
      </c>
      <c r="G544" t="s">
        <v>2142</v>
      </c>
      <c r="H544" t="s">
        <v>2143</v>
      </c>
      <c r="I544">
        <v>311</v>
      </c>
      <c r="J544" t="s">
        <v>2144</v>
      </c>
      <c r="L544" t="s">
        <v>68</v>
      </c>
      <c r="M544" t="s">
        <v>139</v>
      </c>
      <c r="W544" t="s">
        <v>2157</v>
      </c>
      <c r="X544" t="s">
        <v>170</v>
      </c>
      <c r="Y544" t="s">
        <v>129</v>
      </c>
      <c r="Z544" t="s">
        <v>111</v>
      </c>
      <c r="AA544" t="str">
        <f>"13790-2106"</f>
        <v>13790-2106</v>
      </c>
      <c r="AB544" t="s">
        <v>165</v>
      </c>
      <c r="AC544" t="s">
        <v>113</v>
      </c>
      <c r="AD544" t="s">
        <v>108</v>
      </c>
      <c r="AE544" t="s">
        <v>114</v>
      </c>
      <c r="AF544" t="s">
        <v>115</v>
      </c>
      <c r="AG544" t="s">
        <v>116</v>
      </c>
      <c r="AK544" t="str">
        <f t="shared" si="55"/>
        <v>HANDICAPPED CHILD SO NY SPV</v>
      </c>
      <c r="AL544" t="s">
        <v>2158</v>
      </c>
      <c r="AM544" t="s">
        <v>108</v>
      </c>
      <c r="AN544" t="s">
        <v>108</v>
      </c>
      <c r="AO544" t="s">
        <v>108</v>
      </c>
      <c r="AP544" t="s">
        <v>108</v>
      </c>
      <c r="AQ544" t="s">
        <v>108</v>
      </c>
      <c r="AR544" t="s">
        <v>108</v>
      </c>
      <c r="AS544" t="s">
        <v>108</v>
      </c>
      <c r="AT544" t="s">
        <v>108</v>
      </c>
      <c r="AU544">
        <v>0</v>
      </c>
      <c r="AV544" t="s">
        <v>108</v>
      </c>
      <c r="AW544" t="s">
        <v>108</v>
      </c>
      <c r="AX544" s="24" t="str">
        <f t="shared" si="53"/>
        <v/>
      </c>
      <c r="AY544" s="24" t="str">
        <f t="shared" si="53"/>
        <v/>
      </c>
      <c r="AZ544" s="24" t="str">
        <f t="shared" si="57"/>
        <v/>
      </c>
      <c r="BA544" s="24" t="str">
        <f t="shared" si="57"/>
        <v/>
      </c>
      <c r="BB544" s="24" t="str">
        <f t="shared" si="57"/>
        <v/>
      </c>
      <c r="BC544" s="24" t="str">
        <f t="shared" si="57"/>
        <v/>
      </c>
      <c r="BD544" s="24" t="str">
        <f t="shared" si="57"/>
        <v/>
      </c>
      <c r="BE544" s="24" t="str">
        <f t="shared" si="57"/>
        <v/>
      </c>
      <c r="BF544" s="24" t="str">
        <f t="shared" si="57"/>
        <v/>
      </c>
      <c r="BG544" s="24" t="str">
        <f t="shared" si="57"/>
        <v/>
      </c>
      <c r="BH544" s="24" t="str">
        <f t="shared" si="56"/>
        <v/>
      </c>
      <c r="BI544" s="24">
        <f t="shared" si="57"/>
        <v>1</v>
      </c>
      <c r="BJ544" s="24" t="str">
        <f t="shared" si="58"/>
        <v/>
      </c>
    </row>
    <row r="545" spans="1:62" ht="15" customHeight="1" x14ac:dyDescent="0.25">
      <c r="B545" t="str">
        <f>"03827034"</f>
        <v>03827034</v>
      </c>
      <c r="C545" t="s">
        <v>4926</v>
      </c>
      <c r="D545" t="s">
        <v>4927</v>
      </c>
      <c r="E545" t="s">
        <v>4926</v>
      </c>
      <c r="F545">
        <v>150516395</v>
      </c>
      <c r="G545" t="s">
        <v>2142</v>
      </c>
      <c r="H545" t="s">
        <v>2143</v>
      </c>
      <c r="I545">
        <v>311</v>
      </c>
      <c r="J545" t="s">
        <v>2144</v>
      </c>
      <c r="L545" t="s">
        <v>68</v>
      </c>
      <c r="M545" t="s">
        <v>139</v>
      </c>
      <c r="W545" t="s">
        <v>4926</v>
      </c>
      <c r="X545" t="s">
        <v>2148</v>
      </c>
      <c r="Y545" t="s">
        <v>129</v>
      </c>
      <c r="Z545" t="s">
        <v>111</v>
      </c>
      <c r="AA545" t="str">
        <f>"13790-2106"</f>
        <v>13790-2106</v>
      </c>
      <c r="AB545" t="s">
        <v>165</v>
      </c>
      <c r="AC545" t="s">
        <v>113</v>
      </c>
      <c r="AD545" t="s">
        <v>108</v>
      </c>
      <c r="AE545" t="s">
        <v>114</v>
      </c>
      <c r="AF545" t="s">
        <v>115</v>
      </c>
      <c r="AG545" t="s">
        <v>116</v>
      </c>
      <c r="AK545" t="str">
        <f t="shared" si="55"/>
        <v/>
      </c>
      <c r="AL545" t="s">
        <v>4927</v>
      </c>
      <c r="AM545">
        <v>1</v>
      </c>
      <c r="AN545">
        <v>0</v>
      </c>
      <c r="AO545">
        <v>0</v>
      </c>
      <c r="AP545">
        <v>1</v>
      </c>
      <c r="AQ545">
        <v>0</v>
      </c>
      <c r="AR545">
        <v>0</v>
      </c>
      <c r="AS545">
        <v>0</v>
      </c>
      <c r="AT545">
        <v>0</v>
      </c>
      <c r="AU545">
        <v>0</v>
      </c>
      <c r="AV545">
        <v>0</v>
      </c>
      <c r="AW545">
        <v>0</v>
      </c>
      <c r="AX545" s="24" t="str">
        <f t="shared" si="53"/>
        <v/>
      </c>
      <c r="AY545" s="24" t="str">
        <f t="shared" si="53"/>
        <v/>
      </c>
      <c r="AZ545" s="24" t="str">
        <f t="shared" si="57"/>
        <v/>
      </c>
      <c r="BA545" s="24" t="str">
        <f t="shared" si="57"/>
        <v/>
      </c>
      <c r="BB545" s="24" t="str">
        <f t="shared" si="57"/>
        <v/>
      </c>
      <c r="BC545" s="24" t="str">
        <f t="shared" si="57"/>
        <v/>
      </c>
      <c r="BD545" s="24" t="str">
        <f t="shared" si="57"/>
        <v/>
      </c>
      <c r="BE545" s="24" t="str">
        <f t="shared" si="57"/>
        <v/>
      </c>
      <c r="BF545" s="24" t="str">
        <f t="shared" si="57"/>
        <v/>
      </c>
      <c r="BG545" s="24" t="str">
        <f t="shared" si="57"/>
        <v/>
      </c>
      <c r="BH545" s="24" t="str">
        <f t="shared" si="56"/>
        <v/>
      </c>
      <c r="BI545" s="24">
        <f t="shared" si="57"/>
        <v>1</v>
      </c>
      <c r="BJ545" s="24" t="str">
        <f t="shared" si="58"/>
        <v/>
      </c>
    </row>
    <row r="546" spans="1:62" x14ac:dyDescent="0.25">
      <c r="A546" t="str">
        <f>"1679808273"</f>
        <v>1679808273</v>
      </c>
      <c r="B546" t="str">
        <f>"03511300"</f>
        <v>03511300</v>
      </c>
      <c r="C546" t="s">
        <v>4928</v>
      </c>
      <c r="D546" t="s">
        <v>4929</v>
      </c>
      <c r="E546" t="s">
        <v>4930</v>
      </c>
      <c r="F546">
        <v>150516395</v>
      </c>
      <c r="G546" t="s">
        <v>2142</v>
      </c>
      <c r="H546" t="s">
        <v>2143</v>
      </c>
      <c r="I546">
        <v>311</v>
      </c>
      <c r="J546" t="s">
        <v>2144</v>
      </c>
      <c r="L546" t="s">
        <v>695</v>
      </c>
      <c r="M546" t="s">
        <v>139</v>
      </c>
      <c r="R546" t="s">
        <v>4928</v>
      </c>
      <c r="W546" t="s">
        <v>4930</v>
      </c>
      <c r="X546" t="s">
        <v>4931</v>
      </c>
      <c r="Y546" t="s">
        <v>110</v>
      </c>
      <c r="Z546" t="s">
        <v>111</v>
      </c>
      <c r="AA546" t="str">
        <f>"13905-2448"</f>
        <v>13905-2448</v>
      </c>
      <c r="AB546" t="s">
        <v>385</v>
      </c>
      <c r="AC546" t="s">
        <v>113</v>
      </c>
      <c r="AD546" t="s">
        <v>108</v>
      </c>
      <c r="AE546" t="s">
        <v>114</v>
      </c>
      <c r="AF546" t="s">
        <v>115</v>
      </c>
      <c r="AG546" t="s">
        <v>116</v>
      </c>
      <c r="AK546" t="str">
        <f t="shared" si="55"/>
        <v>HANDICAPPED CHILDREN'S ASSOCIATION</v>
      </c>
      <c r="AL546" t="s">
        <v>4929</v>
      </c>
      <c r="AM546" t="s">
        <v>108</v>
      </c>
      <c r="AN546" t="s">
        <v>108</v>
      </c>
      <c r="AO546" t="s">
        <v>108</v>
      </c>
      <c r="AP546" t="s">
        <v>108</v>
      </c>
      <c r="AQ546" t="s">
        <v>108</v>
      </c>
      <c r="AR546" t="s">
        <v>108</v>
      </c>
      <c r="AS546" t="s">
        <v>108</v>
      </c>
      <c r="AT546" t="s">
        <v>108</v>
      </c>
      <c r="AU546">
        <v>0</v>
      </c>
      <c r="AV546" t="s">
        <v>108</v>
      </c>
      <c r="AW546" t="s">
        <v>108</v>
      </c>
      <c r="AX546" s="24" t="str">
        <f t="shared" si="53"/>
        <v/>
      </c>
      <c r="AY546" s="24" t="str">
        <f t="shared" si="53"/>
        <v/>
      </c>
      <c r="AZ546" s="24" t="str">
        <f t="shared" si="57"/>
        <v/>
      </c>
      <c r="BA546" s="24">
        <f t="shared" si="57"/>
        <v>1</v>
      </c>
      <c r="BB546" s="24" t="str">
        <f t="shared" si="57"/>
        <v/>
      </c>
      <c r="BC546" s="24" t="str">
        <f t="shared" si="57"/>
        <v/>
      </c>
      <c r="BD546" s="24" t="str">
        <f t="shared" si="57"/>
        <v/>
      </c>
      <c r="BE546" s="24" t="str">
        <f t="shared" si="57"/>
        <v/>
      </c>
      <c r="BF546" s="24" t="str">
        <f t="shared" si="57"/>
        <v/>
      </c>
      <c r="BG546" s="24" t="str">
        <f t="shared" si="57"/>
        <v/>
      </c>
      <c r="BH546" s="24" t="str">
        <f t="shared" si="56"/>
        <v/>
      </c>
      <c r="BI546" s="24">
        <f t="shared" si="57"/>
        <v>1</v>
      </c>
      <c r="BJ546" s="24" t="str">
        <f t="shared" si="58"/>
        <v/>
      </c>
    </row>
    <row r="547" spans="1:62" ht="15" customHeight="1" x14ac:dyDescent="0.25">
      <c r="A547" t="str">
        <f>"1972680239"</f>
        <v>1972680239</v>
      </c>
      <c r="B547" t="str">
        <f>"02620015"</f>
        <v>02620015</v>
      </c>
      <c r="C547" t="s">
        <v>6762</v>
      </c>
      <c r="D547" t="s">
        <v>7031</v>
      </c>
      <c r="E547" t="s">
        <v>6887</v>
      </c>
      <c r="G547" t="s">
        <v>815</v>
      </c>
      <c r="H547" t="s">
        <v>816</v>
      </c>
      <c r="J547" t="s">
        <v>817</v>
      </c>
      <c r="L547" t="s">
        <v>6868</v>
      </c>
      <c r="M547" t="s">
        <v>108</v>
      </c>
      <c r="R547" t="s">
        <v>6762</v>
      </c>
      <c r="W547" t="s">
        <v>6887</v>
      </c>
      <c r="X547" t="s">
        <v>204</v>
      </c>
      <c r="Y547" t="s">
        <v>110</v>
      </c>
      <c r="Z547" t="s">
        <v>111</v>
      </c>
      <c r="AA547" t="str">
        <f>"13905-4198"</f>
        <v>13905-4198</v>
      </c>
      <c r="AB547" t="s">
        <v>123</v>
      </c>
      <c r="AC547" t="s">
        <v>113</v>
      </c>
      <c r="AD547" t="s">
        <v>108</v>
      </c>
      <c r="AE547" t="s">
        <v>114</v>
      </c>
      <c r="AF547" t="s">
        <v>115</v>
      </c>
      <c r="AG547" t="s">
        <v>116</v>
      </c>
      <c r="AK547" t="str">
        <f t="shared" si="55"/>
        <v>HARDI UMAR DR.</v>
      </c>
      <c r="AL547" t="s">
        <v>7031</v>
      </c>
      <c r="AM547" t="s">
        <v>108</v>
      </c>
      <c r="AN547" t="s">
        <v>108</v>
      </c>
      <c r="AO547" t="s">
        <v>108</v>
      </c>
      <c r="AP547" t="s">
        <v>108</v>
      </c>
      <c r="AQ547" t="s">
        <v>108</v>
      </c>
      <c r="AR547" t="s">
        <v>108</v>
      </c>
      <c r="AS547" t="s">
        <v>108</v>
      </c>
      <c r="AT547" t="s">
        <v>108</v>
      </c>
      <c r="AU547">
        <v>0</v>
      </c>
      <c r="AV547" t="s">
        <v>108</v>
      </c>
      <c r="AW547" t="s">
        <v>108</v>
      </c>
      <c r="AX547" s="24">
        <f t="shared" si="53"/>
        <v>1</v>
      </c>
      <c r="AY547" s="24">
        <f t="shared" si="53"/>
        <v>1</v>
      </c>
      <c r="AZ547" s="24" t="str">
        <f t="shared" si="57"/>
        <v/>
      </c>
      <c r="BA547" s="24" t="str">
        <f t="shared" si="57"/>
        <v/>
      </c>
      <c r="BB547" s="24" t="str">
        <f t="shared" si="57"/>
        <v/>
      </c>
      <c r="BC547" s="24" t="str">
        <f t="shared" si="57"/>
        <v/>
      </c>
      <c r="BD547" s="24" t="str">
        <f t="shared" si="57"/>
        <v/>
      </c>
      <c r="BE547" s="24" t="str">
        <f t="shared" si="57"/>
        <v/>
      </c>
      <c r="BF547" s="24" t="str">
        <f t="shared" si="57"/>
        <v/>
      </c>
      <c r="BG547" s="24" t="str">
        <f t="shared" si="57"/>
        <v/>
      </c>
      <c r="BH547" s="24" t="str">
        <f t="shared" si="56"/>
        <v/>
      </c>
      <c r="BI547" s="24" t="str">
        <f t="shared" si="57"/>
        <v/>
      </c>
      <c r="BJ547" s="24" t="str">
        <f t="shared" si="58"/>
        <v/>
      </c>
    </row>
    <row r="548" spans="1:62" ht="15" customHeight="1" x14ac:dyDescent="0.25">
      <c r="A548" t="str">
        <f>"1629027990"</f>
        <v>1629027990</v>
      </c>
      <c r="B548" t="str">
        <f>"01265961"</f>
        <v>01265961</v>
      </c>
      <c r="C548" t="s">
        <v>6832</v>
      </c>
      <c r="D548" t="s">
        <v>7119</v>
      </c>
      <c r="E548" t="s">
        <v>7120</v>
      </c>
      <c r="G548" t="s">
        <v>815</v>
      </c>
      <c r="H548" t="s">
        <v>816</v>
      </c>
      <c r="J548" t="s">
        <v>817</v>
      </c>
      <c r="L548" t="s">
        <v>6867</v>
      </c>
      <c r="M548" t="s">
        <v>108</v>
      </c>
      <c r="R548" t="s">
        <v>6832</v>
      </c>
      <c r="W548" t="s">
        <v>6977</v>
      </c>
      <c r="X548" t="s">
        <v>5987</v>
      </c>
      <c r="Y548" t="s">
        <v>321</v>
      </c>
      <c r="Z548" t="s">
        <v>111</v>
      </c>
      <c r="AA548" t="str">
        <f>"13760-4925"</f>
        <v>13760-4925</v>
      </c>
      <c r="AB548" t="s">
        <v>123</v>
      </c>
      <c r="AC548" t="s">
        <v>113</v>
      </c>
      <c r="AD548" t="s">
        <v>108</v>
      </c>
      <c r="AE548" t="s">
        <v>114</v>
      </c>
      <c r="AF548" t="s">
        <v>115</v>
      </c>
      <c r="AG548" t="s">
        <v>116</v>
      </c>
      <c r="AK548" t="str">
        <f t="shared" si="55"/>
        <v>HARDING KURT</v>
      </c>
      <c r="AL548" t="s">
        <v>7119</v>
      </c>
      <c r="AM548" t="s">
        <v>108</v>
      </c>
      <c r="AN548" t="s">
        <v>108</v>
      </c>
      <c r="AO548" t="s">
        <v>108</v>
      </c>
      <c r="AP548" t="s">
        <v>108</v>
      </c>
      <c r="AQ548" t="s">
        <v>108</v>
      </c>
      <c r="AR548" t="s">
        <v>108</v>
      </c>
      <c r="AS548" t="s">
        <v>108</v>
      </c>
      <c r="AT548" t="s">
        <v>108</v>
      </c>
      <c r="AU548">
        <v>0</v>
      </c>
      <c r="AV548" t="s">
        <v>108</v>
      </c>
      <c r="AW548" t="s">
        <v>108</v>
      </c>
      <c r="AX548" s="24">
        <f t="shared" si="53"/>
        <v>1</v>
      </c>
      <c r="AY548" s="24">
        <f t="shared" si="53"/>
        <v>1</v>
      </c>
      <c r="AZ548" s="24" t="str">
        <f t="shared" si="57"/>
        <v/>
      </c>
      <c r="BA548" s="24" t="str">
        <f t="shared" si="57"/>
        <v/>
      </c>
      <c r="BB548" s="24" t="str">
        <f t="shared" si="57"/>
        <v/>
      </c>
      <c r="BC548" s="24" t="str">
        <f t="shared" si="57"/>
        <v/>
      </c>
      <c r="BD548" s="24" t="str">
        <f t="shared" si="57"/>
        <v/>
      </c>
      <c r="BE548" s="24" t="str">
        <f t="shared" si="57"/>
        <v/>
      </c>
      <c r="BF548" s="24" t="str">
        <f t="shared" si="57"/>
        <v/>
      </c>
      <c r="BG548" s="24" t="str">
        <f t="shared" si="57"/>
        <v/>
      </c>
      <c r="BH548" s="24" t="str">
        <f t="shared" si="56"/>
        <v/>
      </c>
      <c r="BI548" s="24">
        <f t="shared" si="57"/>
        <v>1</v>
      </c>
      <c r="BJ548" s="24" t="str">
        <f t="shared" si="58"/>
        <v/>
      </c>
    </row>
    <row r="549" spans="1:62" ht="15" customHeight="1" x14ac:dyDescent="0.25">
      <c r="A549" t="str">
        <f>"1821179722"</f>
        <v>1821179722</v>
      </c>
      <c r="B549" t="str">
        <f>"01673505"</f>
        <v>01673505</v>
      </c>
      <c r="C549" t="s">
        <v>3453</v>
      </c>
      <c r="D549" t="s">
        <v>3454</v>
      </c>
      <c r="E549" t="s">
        <v>3455</v>
      </c>
      <c r="L549" t="s">
        <v>120</v>
      </c>
      <c r="M549" t="s">
        <v>108</v>
      </c>
      <c r="R549" t="s">
        <v>3453</v>
      </c>
      <c r="W549" t="s">
        <v>3455</v>
      </c>
      <c r="X549" t="s">
        <v>327</v>
      </c>
      <c r="Y549" t="s">
        <v>122</v>
      </c>
      <c r="Z549" t="s">
        <v>111</v>
      </c>
      <c r="AA549" t="str">
        <f>"13815-1097"</f>
        <v>13815-1097</v>
      </c>
      <c r="AB549" t="s">
        <v>123</v>
      </c>
      <c r="AC549" t="s">
        <v>113</v>
      </c>
      <c r="AD549" t="s">
        <v>108</v>
      </c>
      <c r="AE549" t="s">
        <v>114</v>
      </c>
      <c r="AF549" t="s">
        <v>124</v>
      </c>
      <c r="AG549" t="s">
        <v>116</v>
      </c>
      <c r="AK549" t="str">
        <f t="shared" si="55"/>
        <v/>
      </c>
      <c r="AL549" t="s">
        <v>3454</v>
      </c>
      <c r="AM549">
        <v>1</v>
      </c>
      <c r="AN549">
        <v>1</v>
      </c>
      <c r="AO549">
        <v>0</v>
      </c>
      <c r="AP549">
        <v>1</v>
      </c>
      <c r="AQ549">
        <v>1</v>
      </c>
      <c r="AR549">
        <v>0</v>
      </c>
      <c r="AS549">
        <v>0</v>
      </c>
      <c r="AT549">
        <v>0</v>
      </c>
      <c r="AU549">
        <v>0</v>
      </c>
      <c r="AV549">
        <v>0</v>
      </c>
      <c r="AW549">
        <v>0</v>
      </c>
      <c r="AX549" s="24">
        <f t="shared" si="53"/>
        <v>1</v>
      </c>
      <c r="AY549" s="24" t="str">
        <f t="shared" si="53"/>
        <v/>
      </c>
      <c r="AZ549" s="24" t="str">
        <f t="shared" si="57"/>
        <v/>
      </c>
      <c r="BA549" s="24" t="str">
        <f t="shared" ref="AZ549:BI574" si="59">IF(ISERROR(FIND(BA$1,$L549,1)),"",1)</f>
        <v/>
      </c>
      <c r="BB549" s="24" t="str">
        <f t="shared" si="59"/>
        <v/>
      </c>
      <c r="BC549" s="24" t="str">
        <f t="shared" si="59"/>
        <v/>
      </c>
      <c r="BD549" s="24" t="str">
        <f t="shared" si="59"/>
        <v/>
      </c>
      <c r="BE549" s="24" t="str">
        <f t="shared" si="59"/>
        <v/>
      </c>
      <c r="BF549" s="24" t="str">
        <f t="shared" si="59"/>
        <v/>
      </c>
      <c r="BG549" s="24" t="str">
        <f t="shared" si="59"/>
        <v/>
      </c>
      <c r="BH549" s="24" t="str">
        <f t="shared" si="56"/>
        <v/>
      </c>
      <c r="BI549" s="24">
        <f t="shared" si="59"/>
        <v>1</v>
      </c>
      <c r="BJ549" s="24" t="str">
        <f t="shared" si="58"/>
        <v/>
      </c>
    </row>
    <row r="550" spans="1:62" ht="15" customHeight="1" x14ac:dyDescent="0.25">
      <c r="A550" t="str">
        <f>"1699742387"</f>
        <v>1699742387</v>
      </c>
      <c r="B550" t="str">
        <f>"01923326"</f>
        <v>01923326</v>
      </c>
      <c r="C550" t="s">
        <v>4034</v>
      </c>
      <c r="D550" t="s">
        <v>4035</v>
      </c>
      <c r="E550" t="s">
        <v>4034</v>
      </c>
      <c r="G550" t="s">
        <v>699</v>
      </c>
      <c r="H550" t="s">
        <v>700</v>
      </c>
      <c r="J550" t="s">
        <v>701</v>
      </c>
      <c r="L550" t="s">
        <v>6869</v>
      </c>
      <c r="M550" t="s">
        <v>108</v>
      </c>
      <c r="R550" t="s">
        <v>4036</v>
      </c>
      <c r="W550" t="s">
        <v>4034</v>
      </c>
      <c r="X550" t="s">
        <v>740</v>
      </c>
      <c r="Y550" t="s">
        <v>181</v>
      </c>
      <c r="Z550" t="s">
        <v>182</v>
      </c>
      <c r="AA550" t="str">
        <f>"18840"</f>
        <v>18840</v>
      </c>
      <c r="AB550" t="s">
        <v>123</v>
      </c>
      <c r="AC550" t="s">
        <v>113</v>
      </c>
      <c r="AD550" t="s">
        <v>108</v>
      </c>
      <c r="AE550" t="s">
        <v>114</v>
      </c>
      <c r="AF550" t="s">
        <v>115</v>
      </c>
      <c r="AG550" t="s">
        <v>116</v>
      </c>
      <c r="AK550" t="str">
        <f t="shared" si="55"/>
        <v/>
      </c>
      <c r="AL550" t="s">
        <v>4035</v>
      </c>
      <c r="AM550">
        <v>1</v>
      </c>
      <c r="AN550">
        <v>1</v>
      </c>
      <c r="AO550">
        <v>0</v>
      </c>
      <c r="AP550">
        <v>0</v>
      </c>
      <c r="AQ550">
        <v>0</v>
      </c>
      <c r="AR550">
        <v>0</v>
      </c>
      <c r="AS550">
        <v>0</v>
      </c>
      <c r="AT550">
        <v>1</v>
      </c>
      <c r="AU550">
        <v>1</v>
      </c>
      <c r="AV550">
        <v>1</v>
      </c>
      <c r="AW550">
        <v>0</v>
      </c>
      <c r="AX550" s="24">
        <f t="shared" si="53"/>
        <v>1</v>
      </c>
      <c r="AY550" s="24" t="str">
        <f t="shared" si="53"/>
        <v/>
      </c>
      <c r="AZ550" s="24" t="str">
        <f t="shared" si="59"/>
        <v/>
      </c>
      <c r="BA550" s="24" t="str">
        <f t="shared" si="59"/>
        <v/>
      </c>
      <c r="BB550" s="24" t="str">
        <f t="shared" si="59"/>
        <v/>
      </c>
      <c r="BC550" s="24">
        <f t="shared" si="59"/>
        <v>1</v>
      </c>
      <c r="BD550" s="24" t="str">
        <f t="shared" si="59"/>
        <v/>
      </c>
      <c r="BE550" s="24" t="str">
        <f t="shared" si="59"/>
        <v/>
      </c>
      <c r="BF550" s="24" t="str">
        <f t="shared" si="59"/>
        <v/>
      </c>
      <c r="BG550" s="24" t="str">
        <f t="shared" si="59"/>
        <v/>
      </c>
      <c r="BH550" s="24" t="str">
        <f t="shared" si="56"/>
        <v/>
      </c>
      <c r="BI550" s="24">
        <f t="shared" si="59"/>
        <v>1</v>
      </c>
      <c r="BJ550" s="24" t="str">
        <f t="shared" si="58"/>
        <v/>
      </c>
    </row>
    <row r="551" spans="1:62" ht="15" customHeight="1" x14ac:dyDescent="0.25">
      <c r="A551" t="str">
        <f>"1376563551"</f>
        <v>1376563551</v>
      </c>
      <c r="B551" t="str">
        <f>"00557617"</f>
        <v>00557617</v>
      </c>
      <c r="C551" t="s">
        <v>6841</v>
      </c>
      <c r="D551" t="s">
        <v>7132</v>
      </c>
      <c r="E551" t="s">
        <v>7133</v>
      </c>
      <c r="G551" t="s">
        <v>7184</v>
      </c>
      <c r="H551" t="s">
        <v>2379</v>
      </c>
      <c r="J551" t="s">
        <v>7185</v>
      </c>
      <c r="L551" t="s">
        <v>120</v>
      </c>
      <c r="M551" t="s">
        <v>108</v>
      </c>
      <c r="R551" t="s">
        <v>6841</v>
      </c>
      <c r="W551" t="s">
        <v>6987</v>
      </c>
      <c r="X551" t="s">
        <v>2382</v>
      </c>
      <c r="Y551" t="s">
        <v>979</v>
      </c>
      <c r="Z551" t="s">
        <v>111</v>
      </c>
      <c r="AA551" t="str">
        <f>"13760-3698"</f>
        <v>13760-3698</v>
      </c>
      <c r="AB551" t="s">
        <v>123</v>
      </c>
      <c r="AC551" t="s">
        <v>113</v>
      </c>
      <c r="AD551" t="s">
        <v>108</v>
      </c>
      <c r="AE551" t="s">
        <v>114</v>
      </c>
      <c r="AF551" t="s">
        <v>115</v>
      </c>
      <c r="AG551" t="s">
        <v>116</v>
      </c>
      <c r="AK551" t="str">
        <f t="shared" si="55"/>
        <v>HARRIS JONATHAN</v>
      </c>
      <c r="AL551" t="s">
        <v>7132</v>
      </c>
      <c r="AM551" t="s">
        <v>108</v>
      </c>
      <c r="AN551" t="s">
        <v>108</v>
      </c>
      <c r="AO551" t="s">
        <v>108</v>
      </c>
      <c r="AP551" t="s">
        <v>108</v>
      </c>
      <c r="AQ551" t="s">
        <v>108</v>
      </c>
      <c r="AR551" t="s">
        <v>108</v>
      </c>
      <c r="AS551" t="s">
        <v>108</v>
      </c>
      <c r="AT551" t="s">
        <v>108</v>
      </c>
      <c r="AU551">
        <v>0</v>
      </c>
      <c r="AV551" t="s">
        <v>108</v>
      </c>
      <c r="AW551" t="s">
        <v>108</v>
      </c>
      <c r="AX551" s="24">
        <f t="shared" si="53"/>
        <v>1</v>
      </c>
      <c r="AY551" s="24" t="str">
        <f t="shared" si="53"/>
        <v/>
      </c>
      <c r="AZ551" s="24" t="str">
        <f t="shared" si="59"/>
        <v/>
      </c>
      <c r="BA551" s="24" t="str">
        <f t="shared" si="59"/>
        <v/>
      </c>
      <c r="BB551" s="24" t="str">
        <f t="shared" si="59"/>
        <v/>
      </c>
      <c r="BC551" s="24" t="str">
        <f t="shared" si="59"/>
        <v/>
      </c>
      <c r="BD551" s="24" t="str">
        <f t="shared" si="59"/>
        <v/>
      </c>
      <c r="BE551" s="24" t="str">
        <f t="shared" si="59"/>
        <v/>
      </c>
      <c r="BF551" s="24" t="str">
        <f t="shared" si="59"/>
        <v/>
      </c>
      <c r="BG551" s="24" t="str">
        <f t="shared" si="59"/>
        <v/>
      </c>
      <c r="BH551" s="24" t="str">
        <f t="shared" si="56"/>
        <v/>
      </c>
      <c r="BI551" s="24">
        <f t="shared" si="59"/>
        <v>1</v>
      </c>
      <c r="BJ551" s="24" t="str">
        <f t="shared" si="58"/>
        <v/>
      </c>
    </row>
    <row r="552" spans="1:62" ht="15" customHeight="1" x14ac:dyDescent="0.25">
      <c r="A552" t="str">
        <f>"1861475444"</f>
        <v>1861475444</v>
      </c>
      <c r="B552" t="str">
        <f>"02214253"</f>
        <v>02214253</v>
      </c>
      <c r="C552" t="s">
        <v>500</v>
      </c>
      <c r="D552" t="s">
        <v>501</v>
      </c>
      <c r="E552" t="s">
        <v>502</v>
      </c>
      <c r="G552" t="s">
        <v>177</v>
      </c>
      <c r="H552" t="s">
        <v>178</v>
      </c>
      <c r="J552" t="s">
        <v>179</v>
      </c>
      <c r="L552" t="s">
        <v>247</v>
      </c>
      <c r="M552" t="s">
        <v>108</v>
      </c>
      <c r="R552" t="s">
        <v>500</v>
      </c>
      <c r="W552" t="s">
        <v>503</v>
      </c>
      <c r="X552" t="s">
        <v>186</v>
      </c>
      <c r="Y552" t="s">
        <v>181</v>
      </c>
      <c r="Z552" t="s">
        <v>182</v>
      </c>
      <c r="AA552" t="str">
        <f>"18840-1625"</f>
        <v>18840-1625</v>
      </c>
      <c r="AB552" t="s">
        <v>123</v>
      </c>
      <c r="AC552" t="s">
        <v>113</v>
      </c>
      <c r="AD552" t="s">
        <v>108</v>
      </c>
      <c r="AE552" t="s">
        <v>114</v>
      </c>
      <c r="AF552" t="s">
        <v>115</v>
      </c>
      <c r="AG552" t="s">
        <v>116</v>
      </c>
      <c r="AK552" t="str">
        <f t="shared" si="55"/>
        <v/>
      </c>
      <c r="AL552" t="s">
        <v>501</v>
      </c>
      <c r="AM552">
        <v>1</v>
      </c>
      <c r="AN552">
        <v>1</v>
      </c>
      <c r="AO552">
        <v>0</v>
      </c>
      <c r="AP552">
        <v>0</v>
      </c>
      <c r="AQ552">
        <v>0</v>
      </c>
      <c r="AR552">
        <v>0</v>
      </c>
      <c r="AS552">
        <v>0</v>
      </c>
      <c r="AT552">
        <v>0</v>
      </c>
      <c r="AU552">
        <v>0</v>
      </c>
      <c r="AV552">
        <v>1</v>
      </c>
      <c r="AW552">
        <v>0</v>
      </c>
      <c r="AX552" s="24" t="str">
        <f t="shared" ref="AX552:AY615" si="60">IF(ISERROR(FIND(AX$1,$L552,1)),"",1)</f>
        <v/>
      </c>
      <c r="AY552" s="24">
        <f t="shared" si="60"/>
        <v>1</v>
      </c>
      <c r="AZ552" s="24" t="str">
        <f t="shared" si="59"/>
        <v/>
      </c>
      <c r="BA552" s="24" t="str">
        <f t="shared" si="59"/>
        <v/>
      </c>
      <c r="BB552" s="24" t="str">
        <f t="shared" si="59"/>
        <v/>
      </c>
      <c r="BC552" s="24" t="str">
        <f t="shared" si="59"/>
        <v/>
      </c>
      <c r="BD552" s="24" t="str">
        <f t="shared" si="59"/>
        <v/>
      </c>
      <c r="BE552" s="24" t="str">
        <f t="shared" si="59"/>
        <v/>
      </c>
      <c r="BF552" s="24" t="str">
        <f t="shared" si="59"/>
        <v/>
      </c>
      <c r="BG552" s="24" t="str">
        <f t="shared" si="59"/>
        <v/>
      </c>
      <c r="BH552" s="24" t="str">
        <f t="shared" si="56"/>
        <v/>
      </c>
      <c r="BI552" s="24" t="str">
        <f t="shared" si="59"/>
        <v/>
      </c>
      <c r="BJ552" s="24" t="str">
        <f t="shared" si="58"/>
        <v/>
      </c>
    </row>
    <row r="553" spans="1:62" ht="15" customHeight="1" x14ac:dyDescent="0.25">
      <c r="A553" t="str">
        <f>"1972718765"</f>
        <v>1972718765</v>
      </c>
      <c r="B553" t="str">
        <f>"03434246"</f>
        <v>03434246</v>
      </c>
      <c r="C553" t="s">
        <v>4589</v>
      </c>
      <c r="D553" t="s">
        <v>4590</v>
      </c>
      <c r="E553" t="s">
        <v>4591</v>
      </c>
      <c r="L553" t="s">
        <v>138</v>
      </c>
      <c r="M553" t="s">
        <v>108</v>
      </c>
      <c r="R553" t="s">
        <v>4589</v>
      </c>
      <c r="W553" t="s">
        <v>4591</v>
      </c>
      <c r="X553" t="s">
        <v>2382</v>
      </c>
      <c r="Y553" t="s">
        <v>979</v>
      </c>
      <c r="Z553" t="s">
        <v>111</v>
      </c>
      <c r="AA553" t="str">
        <f>"13760-3646"</f>
        <v>13760-3646</v>
      </c>
      <c r="AB553" t="s">
        <v>123</v>
      </c>
      <c r="AC553" t="s">
        <v>113</v>
      </c>
      <c r="AD553" t="s">
        <v>108</v>
      </c>
      <c r="AE553" t="s">
        <v>114</v>
      </c>
      <c r="AF553" t="s">
        <v>115</v>
      </c>
      <c r="AG553" t="s">
        <v>116</v>
      </c>
      <c r="AK553" t="str">
        <f t="shared" si="55"/>
        <v/>
      </c>
      <c r="AL553" t="s">
        <v>4590</v>
      </c>
      <c r="AM553">
        <v>1</v>
      </c>
      <c r="AN553">
        <v>1</v>
      </c>
      <c r="AO553">
        <v>0</v>
      </c>
      <c r="AP553">
        <v>1</v>
      </c>
      <c r="AQ553">
        <v>1</v>
      </c>
      <c r="AR553">
        <v>0</v>
      </c>
      <c r="AS553">
        <v>0</v>
      </c>
      <c r="AT553">
        <v>0</v>
      </c>
      <c r="AU553">
        <v>0</v>
      </c>
      <c r="AV553">
        <v>0</v>
      </c>
      <c r="AW553">
        <v>0</v>
      </c>
      <c r="AX553" s="24" t="str">
        <f t="shared" si="60"/>
        <v/>
      </c>
      <c r="AY553" s="24">
        <f t="shared" si="60"/>
        <v>1</v>
      </c>
      <c r="AZ553" s="24" t="str">
        <f t="shared" si="59"/>
        <v/>
      </c>
      <c r="BA553" s="24" t="str">
        <f t="shared" si="59"/>
        <v/>
      </c>
      <c r="BB553" s="24" t="str">
        <f t="shared" si="59"/>
        <v/>
      </c>
      <c r="BC553" s="24" t="str">
        <f t="shared" si="59"/>
        <v/>
      </c>
      <c r="BD553" s="24" t="str">
        <f t="shared" si="59"/>
        <v/>
      </c>
      <c r="BE553" s="24" t="str">
        <f t="shared" si="59"/>
        <v/>
      </c>
      <c r="BF553" s="24" t="str">
        <f t="shared" si="59"/>
        <v/>
      </c>
      <c r="BG553" s="24" t="str">
        <f t="shared" si="59"/>
        <v/>
      </c>
      <c r="BH553" s="24" t="str">
        <f t="shared" si="56"/>
        <v/>
      </c>
      <c r="BI553" s="24">
        <f t="shared" si="59"/>
        <v>1</v>
      </c>
      <c r="BJ553" s="24" t="str">
        <f t="shared" si="58"/>
        <v/>
      </c>
    </row>
    <row r="554" spans="1:62" ht="15" customHeight="1" x14ac:dyDescent="0.25">
      <c r="A554" t="str">
        <f>"1770549586"</f>
        <v>1770549586</v>
      </c>
      <c r="B554" t="str">
        <f>"03339273"</f>
        <v>03339273</v>
      </c>
      <c r="C554" t="s">
        <v>2266</v>
      </c>
      <c r="D554" t="s">
        <v>2267</v>
      </c>
      <c r="E554" t="s">
        <v>2268</v>
      </c>
      <c r="G554" t="s">
        <v>177</v>
      </c>
      <c r="H554" t="s">
        <v>178</v>
      </c>
      <c r="J554" t="s">
        <v>179</v>
      </c>
      <c r="L554" t="s">
        <v>138</v>
      </c>
      <c r="M554" t="s">
        <v>108</v>
      </c>
      <c r="R554" t="s">
        <v>2266</v>
      </c>
      <c r="W554" t="s">
        <v>2268</v>
      </c>
      <c r="X554" t="s">
        <v>196</v>
      </c>
      <c r="Y554" t="s">
        <v>181</v>
      </c>
      <c r="Z554" t="s">
        <v>182</v>
      </c>
      <c r="AA554" t="str">
        <f>"18840-1625"</f>
        <v>18840-1625</v>
      </c>
      <c r="AB554" t="s">
        <v>385</v>
      </c>
      <c r="AC554" t="s">
        <v>113</v>
      </c>
      <c r="AD554" t="s">
        <v>108</v>
      </c>
      <c r="AE554" t="s">
        <v>114</v>
      </c>
      <c r="AF554" t="s">
        <v>115</v>
      </c>
      <c r="AG554" t="s">
        <v>116</v>
      </c>
      <c r="AK554" t="str">
        <f t="shared" si="55"/>
        <v/>
      </c>
      <c r="AL554" t="s">
        <v>2267</v>
      </c>
      <c r="AM554">
        <v>1</v>
      </c>
      <c r="AN554">
        <v>1</v>
      </c>
      <c r="AO554">
        <v>0</v>
      </c>
      <c r="AP554">
        <v>0</v>
      </c>
      <c r="AQ554">
        <v>0</v>
      </c>
      <c r="AR554">
        <v>0</v>
      </c>
      <c r="AS554">
        <v>0</v>
      </c>
      <c r="AT554">
        <v>0</v>
      </c>
      <c r="AU554">
        <v>0</v>
      </c>
      <c r="AV554">
        <v>1</v>
      </c>
      <c r="AW554">
        <v>0</v>
      </c>
      <c r="AX554" s="24" t="str">
        <f t="shared" si="60"/>
        <v/>
      </c>
      <c r="AY554" s="24">
        <f t="shared" si="60"/>
        <v>1</v>
      </c>
      <c r="AZ554" s="24" t="str">
        <f t="shared" si="59"/>
        <v/>
      </c>
      <c r="BA554" s="24" t="str">
        <f t="shared" si="59"/>
        <v/>
      </c>
      <c r="BB554" s="24" t="str">
        <f t="shared" si="59"/>
        <v/>
      </c>
      <c r="BC554" s="24" t="str">
        <f t="shared" si="59"/>
        <v/>
      </c>
      <c r="BD554" s="24" t="str">
        <f t="shared" si="59"/>
        <v/>
      </c>
      <c r="BE554" s="24" t="str">
        <f t="shared" si="59"/>
        <v/>
      </c>
      <c r="BF554" s="24" t="str">
        <f t="shared" si="59"/>
        <v/>
      </c>
      <c r="BG554" s="24" t="str">
        <f t="shared" si="59"/>
        <v/>
      </c>
      <c r="BH554" s="24" t="str">
        <f t="shared" si="56"/>
        <v/>
      </c>
      <c r="BI554" s="24">
        <f t="shared" si="59"/>
        <v>1</v>
      </c>
      <c r="BJ554" s="24" t="str">
        <f t="shared" si="58"/>
        <v/>
      </c>
    </row>
    <row r="555" spans="1:62" ht="15" customHeight="1" x14ac:dyDescent="0.25">
      <c r="A555" t="str">
        <f>"1679720049"</f>
        <v>1679720049</v>
      </c>
      <c r="B555" t="str">
        <f>"03016795"</f>
        <v>03016795</v>
      </c>
      <c r="C555" t="s">
        <v>4901</v>
      </c>
      <c r="D555" t="s">
        <v>4902</v>
      </c>
      <c r="E555" t="s">
        <v>4903</v>
      </c>
      <c r="L555" t="s">
        <v>247</v>
      </c>
      <c r="M555" t="s">
        <v>108</v>
      </c>
      <c r="R555" t="s">
        <v>4901</v>
      </c>
      <c r="W555" t="s">
        <v>4904</v>
      </c>
      <c r="X555" t="s">
        <v>798</v>
      </c>
      <c r="Y555" t="s">
        <v>110</v>
      </c>
      <c r="Z555" t="s">
        <v>111</v>
      </c>
      <c r="AA555" t="str">
        <f>"13901-1293"</f>
        <v>13901-1293</v>
      </c>
      <c r="AB555" t="s">
        <v>1000</v>
      </c>
      <c r="AC555" t="s">
        <v>113</v>
      </c>
      <c r="AD555" t="s">
        <v>108</v>
      </c>
      <c r="AE555" t="s">
        <v>114</v>
      </c>
      <c r="AF555" t="s">
        <v>115</v>
      </c>
      <c r="AG555" t="s">
        <v>116</v>
      </c>
      <c r="AK555" t="str">
        <f t="shared" si="55"/>
        <v>HARVEY DARREL</v>
      </c>
      <c r="AL555" t="s">
        <v>4902</v>
      </c>
      <c r="AM555" t="s">
        <v>108</v>
      </c>
      <c r="AN555" t="s">
        <v>108</v>
      </c>
      <c r="AO555" t="s">
        <v>108</v>
      </c>
      <c r="AP555" t="s">
        <v>108</v>
      </c>
      <c r="AQ555" t="s">
        <v>108</v>
      </c>
      <c r="AR555" t="s">
        <v>108</v>
      </c>
      <c r="AS555" t="s">
        <v>108</v>
      </c>
      <c r="AT555" t="s">
        <v>108</v>
      </c>
      <c r="AU555">
        <v>0</v>
      </c>
      <c r="AV555" t="s">
        <v>108</v>
      </c>
      <c r="AW555" t="s">
        <v>108</v>
      </c>
      <c r="AX555" s="24" t="str">
        <f t="shared" si="60"/>
        <v/>
      </c>
      <c r="AY555" s="24">
        <f t="shared" si="60"/>
        <v>1</v>
      </c>
      <c r="AZ555" s="24" t="str">
        <f t="shared" si="59"/>
        <v/>
      </c>
      <c r="BA555" s="24" t="str">
        <f t="shared" si="59"/>
        <v/>
      </c>
      <c r="BB555" s="24" t="str">
        <f t="shared" si="59"/>
        <v/>
      </c>
      <c r="BC555" s="24" t="str">
        <f t="shared" si="59"/>
        <v/>
      </c>
      <c r="BD555" s="24" t="str">
        <f t="shared" si="59"/>
        <v/>
      </c>
      <c r="BE555" s="24" t="str">
        <f t="shared" si="59"/>
        <v/>
      </c>
      <c r="BF555" s="24" t="str">
        <f t="shared" si="59"/>
        <v/>
      </c>
      <c r="BG555" s="24" t="str">
        <f t="shared" si="59"/>
        <v/>
      </c>
      <c r="BH555" s="24" t="str">
        <f t="shared" si="56"/>
        <v/>
      </c>
      <c r="BI555" s="24" t="str">
        <f t="shared" si="59"/>
        <v/>
      </c>
      <c r="BJ555" s="24" t="str">
        <f t="shared" si="58"/>
        <v/>
      </c>
    </row>
    <row r="556" spans="1:62" ht="15" customHeight="1" x14ac:dyDescent="0.25">
      <c r="A556" t="str">
        <f>"1578638573"</f>
        <v>1578638573</v>
      </c>
      <c r="B556" t="str">
        <f>"00895381"</f>
        <v>00895381</v>
      </c>
      <c r="C556" t="s">
        <v>3141</v>
      </c>
      <c r="D556" t="s">
        <v>3142</v>
      </c>
      <c r="E556" t="s">
        <v>3143</v>
      </c>
      <c r="G556" t="s">
        <v>229</v>
      </c>
      <c r="H556" t="s">
        <v>230</v>
      </c>
      <c r="J556" t="s">
        <v>231</v>
      </c>
      <c r="L556" t="s">
        <v>6867</v>
      </c>
      <c r="M556" t="s">
        <v>108</v>
      </c>
      <c r="R556" t="s">
        <v>3144</v>
      </c>
      <c r="W556" t="s">
        <v>3145</v>
      </c>
      <c r="X556" t="s">
        <v>238</v>
      </c>
      <c r="Y556" t="s">
        <v>239</v>
      </c>
      <c r="Z556" t="s">
        <v>111</v>
      </c>
      <c r="AA556" t="str">
        <f>"13045-1206"</f>
        <v>13045-1206</v>
      </c>
      <c r="AB556" t="s">
        <v>123</v>
      </c>
      <c r="AC556" t="s">
        <v>113</v>
      </c>
      <c r="AD556" t="s">
        <v>108</v>
      </c>
      <c r="AE556" t="s">
        <v>114</v>
      </c>
      <c r="AF556" t="s">
        <v>142</v>
      </c>
      <c r="AG556" t="s">
        <v>116</v>
      </c>
      <c r="AK556" t="str">
        <f t="shared" si="55"/>
        <v/>
      </c>
      <c r="AL556" t="s">
        <v>3142</v>
      </c>
      <c r="AM556">
        <v>1</v>
      </c>
      <c r="AN556">
        <v>1</v>
      </c>
      <c r="AO556">
        <v>0</v>
      </c>
      <c r="AP556">
        <v>0</v>
      </c>
      <c r="AQ556">
        <v>1</v>
      </c>
      <c r="AR556">
        <v>0</v>
      </c>
      <c r="AS556">
        <v>0</v>
      </c>
      <c r="AT556">
        <v>0</v>
      </c>
      <c r="AU556">
        <v>0</v>
      </c>
      <c r="AV556">
        <v>0</v>
      </c>
      <c r="AW556">
        <v>0</v>
      </c>
      <c r="AX556" s="24">
        <f t="shared" si="60"/>
        <v>1</v>
      </c>
      <c r="AY556" s="24">
        <f t="shared" si="60"/>
        <v>1</v>
      </c>
      <c r="AZ556" s="24" t="str">
        <f t="shared" si="59"/>
        <v/>
      </c>
      <c r="BA556" s="24" t="str">
        <f t="shared" si="59"/>
        <v/>
      </c>
      <c r="BB556" s="24" t="str">
        <f t="shared" si="59"/>
        <v/>
      </c>
      <c r="BC556" s="24" t="str">
        <f t="shared" si="59"/>
        <v/>
      </c>
      <c r="BD556" s="24" t="str">
        <f t="shared" si="59"/>
        <v/>
      </c>
      <c r="BE556" s="24" t="str">
        <f t="shared" si="59"/>
        <v/>
      </c>
      <c r="BF556" s="24" t="str">
        <f t="shared" si="59"/>
        <v/>
      </c>
      <c r="BG556" s="24" t="str">
        <f t="shared" si="59"/>
        <v/>
      </c>
      <c r="BH556" s="24" t="str">
        <f t="shared" si="56"/>
        <v/>
      </c>
      <c r="BI556" s="24">
        <f t="shared" si="59"/>
        <v>1</v>
      </c>
      <c r="BJ556" s="24" t="str">
        <f t="shared" si="58"/>
        <v/>
      </c>
    </row>
    <row r="557" spans="1:62" ht="15" customHeight="1" x14ac:dyDescent="0.25">
      <c r="A557" t="str">
        <f>"1639120124"</f>
        <v>1639120124</v>
      </c>
      <c r="B557" t="str">
        <f>"01187475"</f>
        <v>01187475</v>
      </c>
      <c r="C557" t="s">
        <v>6828</v>
      </c>
      <c r="D557" t="s">
        <v>7114</v>
      </c>
      <c r="E557" t="s">
        <v>6972</v>
      </c>
      <c r="G557" t="s">
        <v>815</v>
      </c>
      <c r="H557" t="s">
        <v>816</v>
      </c>
      <c r="J557" t="s">
        <v>817</v>
      </c>
      <c r="L557" t="s">
        <v>138</v>
      </c>
      <c r="M557" t="s">
        <v>108</v>
      </c>
      <c r="R557" t="s">
        <v>6828</v>
      </c>
      <c r="W557" t="s">
        <v>6972</v>
      </c>
      <c r="X557" t="s">
        <v>6973</v>
      </c>
      <c r="Y557" t="s">
        <v>2840</v>
      </c>
      <c r="Z557" t="s">
        <v>111</v>
      </c>
      <c r="AA557" t="str">
        <f>"12309-6350"</f>
        <v>12309-6350</v>
      </c>
      <c r="AB557" t="s">
        <v>123</v>
      </c>
      <c r="AC557" t="s">
        <v>113</v>
      </c>
      <c r="AD557" t="s">
        <v>108</v>
      </c>
      <c r="AE557" t="s">
        <v>114</v>
      </c>
      <c r="AF557" t="s">
        <v>115</v>
      </c>
      <c r="AG557" t="s">
        <v>116</v>
      </c>
      <c r="AK557" t="str">
        <f t="shared" si="55"/>
        <v>HASSIG STEVEN DR.</v>
      </c>
      <c r="AL557" t="s">
        <v>7114</v>
      </c>
      <c r="AM557" t="s">
        <v>108</v>
      </c>
      <c r="AN557" t="s">
        <v>108</v>
      </c>
      <c r="AO557" t="s">
        <v>108</v>
      </c>
      <c r="AP557" t="s">
        <v>108</v>
      </c>
      <c r="AQ557" t="s">
        <v>108</v>
      </c>
      <c r="AR557" t="s">
        <v>108</v>
      </c>
      <c r="AS557" t="s">
        <v>108</v>
      </c>
      <c r="AT557" t="s">
        <v>108</v>
      </c>
      <c r="AU557">
        <v>0</v>
      </c>
      <c r="AV557" t="s">
        <v>108</v>
      </c>
      <c r="AW557" t="s">
        <v>108</v>
      </c>
      <c r="AX557" s="24" t="str">
        <f t="shared" si="60"/>
        <v/>
      </c>
      <c r="AY557" s="24">
        <f t="shared" si="60"/>
        <v>1</v>
      </c>
      <c r="AZ557" s="24" t="str">
        <f t="shared" si="59"/>
        <v/>
      </c>
      <c r="BA557" s="24" t="str">
        <f t="shared" si="59"/>
        <v/>
      </c>
      <c r="BB557" s="24" t="str">
        <f t="shared" si="59"/>
        <v/>
      </c>
      <c r="BC557" s="24" t="str">
        <f t="shared" si="59"/>
        <v/>
      </c>
      <c r="BD557" s="24" t="str">
        <f t="shared" si="59"/>
        <v/>
      </c>
      <c r="BE557" s="24" t="str">
        <f t="shared" si="59"/>
        <v/>
      </c>
      <c r="BF557" s="24" t="str">
        <f t="shared" si="59"/>
        <v/>
      </c>
      <c r="BG557" s="24" t="str">
        <f t="shared" si="59"/>
        <v/>
      </c>
      <c r="BH557" s="24" t="str">
        <f t="shared" si="56"/>
        <v/>
      </c>
      <c r="BI557" s="24">
        <f t="shared" si="59"/>
        <v>1</v>
      </c>
      <c r="BJ557" s="24" t="str">
        <f t="shared" si="58"/>
        <v/>
      </c>
    </row>
    <row r="558" spans="1:62" ht="15" customHeight="1" x14ac:dyDescent="0.25">
      <c r="A558" t="str">
        <f>"1609257468"</f>
        <v>1609257468</v>
      </c>
      <c r="B558" t="str">
        <f>"04187757"</f>
        <v>04187757</v>
      </c>
      <c r="C558" t="s">
        <v>6491</v>
      </c>
      <c r="D558" t="s">
        <v>6492</v>
      </c>
      <c r="E558" t="s">
        <v>6493</v>
      </c>
      <c r="G558" t="s">
        <v>2363</v>
      </c>
      <c r="H558" t="s">
        <v>2364</v>
      </c>
      <c r="J558" t="s">
        <v>5847</v>
      </c>
      <c r="L558" t="s">
        <v>120</v>
      </c>
      <c r="M558" t="s">
        <v>108</v>
      </c>
      <c r="R558" t="s">
        <v>6494</v>
      </c>
      <c r="W558" t="s">
        <v>6495</v>
      </c>
      <c r="X558" t="s">
        <v>2367</v>
      </c>
      <c r="Y558" t="s">
        <v>2368</v>
      </c>
      <c r="Z558" t="s">
        <v>111</v>
      </c>
      <c r="AA558" t="str">
        <f>"14886-9201"</f>
        <v>14886-9201</v>
      </c>
      <c r="AB558" t="s">
        <v>123</v>
      </c>
      <c r="AC558" t="s">
        <v>113</v>
      </c>
      <c r="AD558" t="s">
        <v>108</v>
      </c>
      <c r="AE558" t="s">
        <v>114</v>
      </c>
      <c r="AF558" t="s">
        <v>142</v>
      </c>
      <c r="AG558" t="s">
        <v>116</v>
      </c>
      <c r="AK558" t="str">
        <f t="shared" si="55"/>
        <v xml:space="preserve">Hastings III Kevin </v>
      </c>
      <c r="AL558" t="s">
        <v>6492</v>
      </c>
      <c r="AM558" t="s">
        <v>108</v>
      </c>
      <c r="AN558" t="s">
        <v>108</v>
      </c>
      <c r="AO558" t="s">
        <v>108</v>
      </c>
      <c r="AP558" t="s">
        <v>108</v>
      </c>
      <c r="AQ558" t="s">
        <v>108</v>
      </c>
      <c r="AR558" t="s">
        <v>108</v>
      </c>
      <c r="AS558" t="s">
        <v>108</v>
      </c>
      <c r="AT558" t="s">
        <v>108</v>
      </c>
      <c r="AU558">
        <v>0</v>
      </c>
      <c r="AV558" t="s">
        <v>108</v>
      </c>
      <c r="AW558" t="s">
        <v>108</v>
      </c>
      <c r="AX558" s="24">
        <f t="shared" si="60"/>
        <v>1</v>
      </c>
      <c r="AY558" s="24" t="str">
        <f t="shared" si="60"/>
        <v/>
      </c>
      <c r="AZ558" s="24" t="str">
        <f t="shared" si="59"/>
        <v/>
      </c>
      <c r="BA558" s="24" t="str">
        <f t="shared" si="59"/>
        <v/>
      </c>
      <c r="BB558" s="24" t="str">
        <f t="shared" si="59"/>
        <v/>
      </c>
      <c r="BC558" s="24" t="str">
        <f t="shared" si="59"/>
        <v/>
      </c>
      <c r="BD558" s="24" t="str">
        <f t="shared" si="59"/>
        <v/>
      </c>
      <c r="BE558" s="24" t="str">
        <f t="shared" si="59"/>
        <v/>
      </c>
      <c r="BF558" s="24" t="str">
        <f t="shared" si="59"/>
        <v/>
      </c>
      <c r="BG558" s="24" t="str">
        <f t="shared" si="59"/>
        <v/>
      </c>
      <c r="BH558" s="24" t="str">
        <f t="shared" si="56"/>
        <v/>
      </c>
      <c r="BI558" s="24">
        <f t="shared" si="59"/>
        <v>1</v>
      </c>
      <c r="BJ558" s="24" t="str">
        <f t="shared" si="58"/>
        <v/>
      </c>
    </row>
    <row r="559" spans="1:62" ht="15" customHeight="1" x14ac:dyDescent="0.25">
      <c r="A559" t="str">
        <f>"1295890788"</f>
        <v>1295890788</v>
      </c>
      <c r="B559" t="str">
        <f>"03365051"</f>
        <v>03365051</v>
      </c>
      <c r="C559" t="s">
        <v>4152</v>
      </c>
      <c r="D559" t="s">
        <v>4153</v>
      </c>
      <c r="E559" t="s">
        <v>4152</v>
      </c>
      <c r="L559" t="s">
        <v>247</v>
      </c>
      <c r="M559" t="s">
        <v>108</v>
      </c>
      <c r="R559" t="s">
        <v>4152</v>
      </c>
      <c r="W559" t="s">
        <v>4152</v>
      </c>
      <c r="X559" t="s">
        <v>1009</v>
      </c>
      <c r="Y559" t="s">
        <v>110</v>
      </c>
      <c r="Z559" t="s">
        <v>111</v>
      </c>
      <c r="AA559" t="str">
        <f>"13903-1617"</f>
        <v>13903-1617</v>
      </c>
      <c r="AB559" t="s">
        <v>1872</v>
      </c>
      <c r="AC559" t="s">
        <v>113</v>
      </c>
      <c r="AD559" t="s">
        <v>108</v>
      </c>
      <c r="AE559" t="s">
        <v>114</v>
      </c>
      <c r="AF559" t="s">
        <v>115</v>
      </c>
      <c r="AG559" t="s">
        <v>116</v>
      </c>
      <c r="AK559" t="str">
        <f t="shared" si="55"/>
        <v/>
      </c>
      <c r="AL559" t="s">
        <v>4153</v>
      </c>
      <c r="AM559">
        <v>1</v>
      </c>
      <c r="AN559">
        <v>1</v>
      </c>
      <c r="AO559">
        <v>0</v>
      </c>
      <c r="AP559">
        <v>1</v>
      </c>
      <c r="AQ559">
        <v>1</v>
      </c>
      <c r="AR559">
        <v>0</v>
      </c>
      <c r="AS559">
        <v>0</v>
      </c>
      <c r="AT559">
        <v>0</v>
      </c>
      <c r="AU559">
        <v>0</v>
      </c>
      <c r="AV559">
        <v>0</v>
      </c>
      <c r="AW559">
        <v>0</v>
      </c>
      <c r="AX559" s="24" t="str">
        <f t="shared" si="60"/>
        <v/>
      </c>
      <c r="AY559" s="24">
        <f t="shared" si="60"/>
        <v>1</v>
      </c>
      <c r="AZ559" s="24" t="str">
        <f t="shared" si="59"/>
        <v/>
      </c>
      <c r="BA559" s="24" t="str">
        <f t="shared" si="59"/>
        <v/>
      </c>
      <c r="BB559" s="24" t="str">
        <f t="shared" si="59"/>
        <v/>
      </c>
      <c r="BC559" s="24" t="str">
        <f t="shared" si="59"/>
        <v/>
      </c>
      <c r="BD559" s="24" t="str">
        <f t="shared" si="59"/>
        <v/>
      </c>
      <c r="BE559" s="24" t="str">
        <f t="shared" si="59"/>
        <v/>
      </c>
      <c r="BF559" s="24" t="str">
        <f t="shared" si="59"/>
        <v/>
      </c>
      <c r="BG559" s="24" t="str">
        <f t="shared" si="59"/>
        <v/>
      </c>
      <c r="BH559" s="24" t="str">
        <f t="shared" si="56"/>
        <v/>
      </c>
      <c r="BI559" s="24" t="str">
        <f t="shared" si="59"/>
        <v/>
      </c>
      <c r="BJ559" s="24" t="str">
        <f t="shared" si="58"/>
        <v/>
      </c>
    </row>
    <row r="560" spans="1:62" ht="15" customHeight="1" x14ac:dyDescent="0.25">
      <c r="A560" t="str">
        <f>"1659358067"</f>
        <v>1659358067</v>
      </c>
      <c r="B560" t="str">
        <f>"02300030"</f>
        <v>02300030</v>
      </c>
      <c r="C560" t="s">
        <v>1902</v>
      </c>
      <c r="D560" t="s">
        <v>1903</v>
      </c>
      <c r="E560" t="s">
        <v>1904</v>
      </c>
      <c r="L560" t="s">
        <v>138</v>
      </c>
      <c r="M560" t="s">
        <v>108</v>
      </c>
      <c r="R560" t="s">
        <v>1902</v>
      </c>
      <c r="W560" t="s">
        <v>1904</v>
      </c>
      <c r="X560" t="s">
        <v>1905</v>
      </c>
      <c r="Y560" t="s">
        <v>129</v>
      </c>
      <c r="Z560" t="s">
        <v>111</v>
      </c>
      <c r="AA560" t="str">
        <f>"13790-2162"</f>
        <v>13790-2162</v>
      </c>
      <c r="AB560" t="s">
        <v>123</v>
      </c>
      <c r="AC560" t="s">
        <v>113</v>
      </c>
      <c r="AD560" t="s">
        <v>108</v>
      </c>
      <c r="AE560" t="s">
        <v>114</v>
      </c>
      <c r="AF560" t="s">
        <v>115</v>
      </c>
      <c r="AG560" t="s">
        <v>116</v>
      </c>
      <c r="AK560" t="str">
        <f t="shared" si="55"/>
        <v/>
      </c>
      <c r="AL560" t="s">
        <v>1903</v>
      </c>
      <c r="AM560">
        <v>0</v>
      </c>
      <c r="AN560">
        <v>0</v>
      </c>
      <c r="AO560">
        <v>0</v>
      </c>
      <c r="AP560">
        <v>0</v>
      </c>
      <c r="AQ560">
        <v>0</v>
      </c>
      <c r="AR560">
        <v>0</v>
      </c>
      <c r="AS560">
        <v>0</v>
      </c>
      <c r="AT560">
        <v>0</v>
      </c>
      <c r="AU560">
        <v>0</v>
      </c>
      <c r="AV560">
        <v>0</v>
      </c>
      <c r="AW560">
        <v>0</v>
      </c>
      <c r="AX560" s="24" t="str">
        <f t="shared" si="60"/>
        <v/>
      </c>
      <c r="AY560" s="24">
        <f t="shared" si="60"/>
        <v>1</v>
      </c>
      <c r="AZ560" s="24" t="str">
        <f t="shared" si="59"/>
        <v/>
      </c>
      <c r="BA560" s="24" t="str">
        <f t="shared" si="59"/>
        <v/>
      </c>
      <c r="BB560" s="24" t="str">
        <f t="shared" si="59"/>
        <v/>
      </c>
      <c r="BC560" s="24" t="str">
        <f t="shared" si="59"/>
        <v/>
      </c>
      <c r="BD560" s="24" t="str">
        <f t="shared" si="59"/>
        <v/>
      </c>
      <c r="BE560" s="24" t="str">
        <f t="shared" si="59"/>
        <v/>
      </c>
      <c r="BF560" s="24" t="str">
        <f t="shared" si="59"/>
        <v/>
      </c>
      <c r="BG560" s="24" t="str">
        <f t="shared" si="59"/>
        <v/>
      </c>
      <c r="BH560" s="24" t="str">
        <f t="shared" si="56"/>
        <v/>
      </c>
      <c r="BI560" s="24">
        <f t="shared" si="59"/>
        <v>1</v>
      </c>
      <c r="BJ560" s="24" t="str">
        <f t="shared" si="58"/>
        <v/>
      </c>
    </row>
    <row r="561" spans="1:62" ht="15" customHeight="1" x14ac:dyDescent="0.25">
      <c r="A561" t="str">
        <f>"1417239096"</f>
        <v>1417239096</v>
      </c>
      <c r="B561" t="str">
        <f>"03390883"</f>
        <v>03390883</v>
      </c>
      <c r="C561" t="s">
        <v>5159</v>
      </c>
      <c r="D561" t="s">
        <v>5160</v>
      </c>
      <c r="E561" t="s">
        <v>5161</v>
      </c>
      <c r="L561" t="s">
        <v>120</v>
      </c>
      <c r="M561" t="s">
        <v>108</v>
      </c>
      <c r="R561" t="s">
        <v>5159</v>
      </c>
      <c r="W561" t="s">
        <v>5162</v>
      </c>
      <c r="X561" t="s">
        <v>128</v>
      </c>
      <c r="Y561" t="s">
        <v>129</v>
      </c>
      <c r="Z561" t="s">
        <v>111</v>
      </c>
      <c r="AA561" t="str">
        <f>"13790-2544"</f>
        <v>13790-2544</v>
      </c>
      <c r="AB561" t="s">
        <v>123</v>
      </c>
      <c r="AC561" t="s">
        <v>113</v>
      </c>
      <c r="AD561" t="s">
        <v>108</v>
      </c>
      <c r="AE561" t="s">
        <v>114</v>
      </c>
      <c r="AF561" t="s">
        <v>115</v>
      </c>
      <c r="AG561" t="s">
        <v>116</v>
      </c>
      <c r="AK561" t="str">
        <f t="shared" si="55"/>
        <v/>
      </c>
      <c r="AL561" t="s">
        <v>5160</v>
      </c>
      <c r="AM561">
        <v>0</v>
      </c>
      <c r="AN561">
        <v>0</v>
      </c>
      <c r="AO561">
        <v>0</v>
      </c>
      <c r="AP561">
        <v>0</v>
      </c>
      <c r="AQ561">
        <v>0</v>
      </c>
      <c r="AR561">
        <v>0</v>
      </c>
      <c r="AS561">
        <v>0</v>
      </c>
      <c r="AT561">
        <v>0</v>
      </c>
      <c r="AU561">
        <v>0</v>
      </c>
      <c r="AV561">
        <v>0</v>
      </c>
      <c r="AW561">
        <v>0</v>
      </c>
      <c r="AX561" s="24">
        <f t="shared" si="60"/>
        <v>1</v>
      </c>
      <c r="AY561" s="24" t="str">
        <f t="shared" si="60"/>
        <v/>
      </c>
      <c r="AZ561" s="24" t="str">
        <f t="shared" si="59"/>
        <v/>
      </c>
      <c r="BA561" s="24" t="str">
        <f t="shared" si="59"/>
        <v/>
      </c>
      <c r="BB561" s="24" t="str">
        <f t="shared" si="59"/>
        <v/>
      </c>
      <c r="BC561" s="24" t="str">
        <f t="shared" si="59"/>
        <v/>
      </c>
      <c r="BD561" s="24" t="str">
        <f t="shared" si="59"/>
        <v/>
      </c>
      <c r="BE561" s="24" t="str">
        <f t="shared" si="59"/>
        <v/>
      </c>
      <c r="BF561" s="24" t="str">
        <f t="shared" si="59"/>
        <v/>
      </c>
      <c r="BG561" s="24" t="str">
        <f t="shared" si="59"/>
        <v/>
      </c>
      <c r="BH561" s="24" t="str">
        <f t="shared" si="56"/>
        <v/>
      </c>
      <c r="BI561" s="24">
        <f t="shared" si="59"/>
        <v>1</v>
      </c>
      <c r="BJ561" s="24" t="str">
        <f t="shared" si="58"/>
        <v/>
      </c>
    </row>
    <row r="562" spans="1:62" ht="15" customHeight="1" x14ac:dyDescent="0.25">
      <c r="A562" t="str">
        <f>"1669846200"</f>
        <v>1669846200</v>
      </c>
      <c r="B562" t="str">
        <f>"04437330"</f>
        <v>04437330</v>
      </c>
      <c r="C562" t="s">
        <v>6781</v>
      </c>
      <c r="D562" t="s">
        <v>7055</v>
      </c>
      <c r="E562" t="s">
        <v>6910</v>
      </c>
      <c r="G562" t="s">
        <v>6330</v>
      </c>
      <c r="H562" t="s">
        <v>6331</v>
      </c>
      <c r="J562" t="s">
        <v>6332</v>
      </c>
      <c r="L562" t="s">
        <v>6868</v>
      </c>
      <c r="M562" t="s">
        <v>108</v>
      </c>
      <c r="R562" t="s">
        <v>6781</v>
      </c>
      <c r="W562" t="s">
        <v>6910</v>
      </c>
      <c r="AB562" t="s">
        <v>123</v>
      </c>
      <c r="AC562" t="s">
        <v>113</v>
      </c>
      <c r="AD562" t="s">
        <v>108</v>
      </c>
      <c r="AE562" t="s">
        <v>114</v>
      </c>
      <c r="AF562" t="s">
        <v>115</v>
      </c>
      <c r="AG562" t="s">
        <v>116</v>
      </c>
      <c r="AK562" t="str">
        <f t="shared" si="55"/>
        <v>HAWKES KATHRYN</v>
      </c>
      <c r="AL562" t="s">
        <v>7055</v>
      </c>
      <c r="AM562" t="s">
        <v>108</v>
      </c>
      <c r="AN562" t="s">
        <v>108</v>
      </c>
      <c r="AO562" t="s">
        <v>108</v>
      </c>
      <c r="AP562" t="s">
        <v>108</v>
      </c>
      <c r="AQ562" t="s">
        <v>108</v>
      </c>
      <c r="AR562" t="s">
        <v>108</v>
      </c>
      <c r="AS562" t="s">
        <v>108</v>
      </c>
      <c r="AT562" t="s">
        <v>108</v>
      </c>
      <c r="AU562">
        <v>0</v>
      </c>
      <c r="AV562" t="s">
        <v>108</v>
      </c>
      <c r="AW562" t="s">
        <v>108</v>
      </c>
      <c r="AX562" s="24">
        <f t="shared" si="60"/>
        <v>1</v>
      </c>
      <c r="AY562" s="24">
        <f t="shared" si="60"/>
        <v>1</v>
      </c>
      <c r="AZ562" s="24" t="str">
        <f t="shared" si="59"/>
        <v/>
      </c>
      <c r="BA562" s="24" t="str">
        <f t="shared" si="59"/>
        <v/>
      </c>
      <c r="BB562" s="24" t="str">
        <f t="shared" si="59"/>
        <v/>
      </c>
      <c r="BC562" s="24" t="str">
        <f t="shared" si="59"/>
        <v/>
      </c>
      <c r="BD562" s="24" t="str">
        <f t="shared" si="59"/>
        <v/>
      </c>
      <c r="BE562" s="24" t="str">
        <f t="shared" si="59"/>
        <v/>
      </c>
      <c r="BF562" s="24" t="str">
        <f t="shared" si="59"/>
        <v/>
      </c>
      <c r="BG562" s="24" t="str">
        <f t="shared" si="59"/>
        <v/>
      </c>
      <c r="BH562" s="24" t="str">
        <f t="shared" si="56"/>
        <v/>
      </c>
      <c r="BI562" s="24" t="str">
        <f t="shared" si="59"/>
        <v/>
      </c>
      <c r="BJ562" s="24" t="str">
        <f t="shared" si="58"/>
        <v/>
      </c>
    </row>
    <row r="563" spans="1:62" ht="15" customHeight="1" x14ac:dyDescent="0.25">
      <c r="A563" t="str">
        <f>"1730161621"</f>
        <v>1730161621</v>
      </c>
      <c r="B563" t="str">
        <f>"01025492"</f>
        <v>01025492</v>
      </c>
      <c r="C563" t="s">
        <v>2654</v>
      </c>
      <c r="D563" t="s">
        <v>2655</v>
      </c>
      <c r="E563" t="s">
        <v>2656</v>
      </c>
      <c r="L563" t="s">
        <v>247</v>
      </c>
      <c r="M563" t="s">
        <v>108</v>
      </c>
      <c r="R563" t="s">
        <v>2654</v>
      </c>
      <c r="W563" t="s">
        <v>2657</v>
      </c>
      <c r="X563" t="s">
        <v>2658</v>
      </c>
      <c r="Y563" t="s">
        <v>110</v>
      </c>
      <c r="Z563" t="s">
        <v>111</v>
      </c>
      <c r="AA563" t="str">
        <f>"13905-3003"</f>
        <v>13905-3003</v>
      </c>
      <c r="AB563" t="s">
        <v>123</v>
      </c>
      <c r="AC563" t="s">
        <v>113</v>
      </c>
      <c r="AD563" t="s">
        <v>108</v>
      </c>
      <c r="AE563" t="s">
        <v>114</v>
      </c>
      <c r="AF563" t="s">
        <v>115</v>
      </c>
      <c r="AG563" t="s">
        <v>116</v>
      </c>
      <c r="AK563" t="str">
        <f t="shared" si="55"/>
        <v/>
      </c>
      <c r="AL563" t="s">
        <v>2655</v>
      </c>
      <c r="AM563">
        <v>1</v>
      </c>
      <c r="AN563">
        <v>1</v>
      </c>
      <c r="AO563">
        <v>0</v>
      </c>
      <c r="AP563">
        <v>0</v>
      </c>
      <c r="AQ563">
        <v>0</v>
      </c>
      <c r="AR563">
        <v>0</v>
      </c>
      <c r="AS563">
        <v>0</v>
      </c>
      <c r="AT563">
        <v>0</v>
      </c>
      <c r="AU563">
        <v>0</v>
      </c>
      <c r="AV563">
        <v>1</v>
      </c>
      <c r="AW563">
        <v>0</v>
      </c>
      <c r="AX563" s="24" t="str">
        <f t="shared" si="60"/>
        <v/>
      </c>
      <c r="AY563" s="24">
        <f t="shared" si="60"/>
        <v>1</v>
      </c>
      <c r="AZ563" s="24" t="str">
        <f t="shared" si="59"/>
        <v/>
      </c>
      <c r="BA563" s="24" t="str">
        <f t="shared" si="59"/>
        <v/>
      </c>
      <c r="BB563" s="24" t="str">
        <f t="shared" si="59"/>
        <v/>
      </c>
      <c r="BC563" s="24" t="str">
        <f t="shared" si="59"/>
        <v/>
      </c>
      <c r="BD563" s="24" t="str">
        <f t="shared" si="59"/>
        <v/>
      </c>
      <c r="BE563" s="24" t="str">
        <f t="shared" si="59"/>
        <v/>
      </c>
      <c r="BF563" s="24" t="str">
        <f t="shared" si="59"/>
        <v/>
      </c>
      <c r="BG563" s="24" t="str">
        <f t="shared" si="59"/>
        <v/>
      </c>
      <c r="BH563" s="24" t="str">
        <f t="shared" si="56"/>
        <v/>
      </c>
      <c r="BI563" s="24" t="str">
        <f t="shared" si="59"/>
        <v/>
      </c>
      <c r="BJ563" s="24" t="str">
        <f t="shared" si="58"/>
        <v/>
      </c>
    </row>
    <row r="564" spans="1:62" ht="15" customHeight="1" x14ac:dyDescent="0.25">
      <c r="A564" t="str">
        <f>"1114004371"</f>
        <v>1114004371</v>
      </c>
      <c r="B564" t="str">
        <f>"01753057"</f>
        <v>01753057</v>
      </c>
      <c r="C564" t="s">
        <v>6852</v>
      </c>
      <c r="D564" t="s">
        <v>7146</v>
      </c>
      <c r="E564" t="s">
        <v>7000</v>
      </c>
      <c r="G564" t="s">
        <v>6330</v>
      </c>
      <c r="H564" t="s">
        <v>6331</v>
      </c>
      <c r="J564" t="s">
        <v>6332</v>
      </c>
      <c r="L564" t="s">
        <v>6867</v>
      </c>
      <c r="M564" t="s">
        <v>139</v>
      </c>
      <c r="R564" t="s">
        <v>6852</v>
      </c>
      <c r="W564" t="s">
        <v>7000</v>
      </c>
      <c r="X564" t="s">
        <v>7001</v>
      </c>
      <c r="Y564" t="s">
        <v>7002</v>
      </c>
      <c r="Z564" t="s">
        <v>111</v>
      </c>
      <c r="AA564" t="str">
        <f>"14760-1500"</f>
        <v>14760-1500</v>
      </c>
      <c r="AB564" t="s">
        <v>123</v>
      </c>
      <c r="AC564" t="s">
        <v>113</v>
      </c>
      <c r="AD564" t="s">
        <v>108</v>
      </c>
      <c r="AE564" t="s">
        <v>114</v>
      </c>
      <c r="AF564" t="s">
        <v>115</v>
      </c>
      <c r="AG564" t="s">
        <v>116</v>
      </c>
      <c r="AK564" t="str">
        <f t="shared" si="55"/>
        <v>HAYES MICHAEL DR.</v>
      </c>
      <c r="AL564" t="s">
        <v>7146</v>
      </c>
      <c r="AM564" t="s">
        <v>108</v>
      </c>
      <c r="AN564" t="s">
        <v>108</v>
      </c>
      <c r="AO564" t="s">
        <v>108</v>
      </c>
      <c r="AP564" t="s">
        <v>108</v>
      </c>
      <c r="AQ564" t="s">
        <v>108</v>
      </c>
      <c r="AR564" t="s">
        <v>108</v>
      </c>
      <c r="AS564" t="s">
        <v>108</v>
      </c>
      <c r="AT564" t="s">
        <v>108</v>
      </c>
      <c r="AU564">
        <v>0</v>
      </c>
      <c r="AV564" t="s">
        <v>108</v>
      </c>
      <c r="AW564" t="s">
        <v>108</v>
      </c>
      <c r="AX564" s="24">
        <f t="shared" si="60"/>
        <v>1</v>
      </c>
      <c r="AY564" s="24">
        <f t="shared" si="60"/>
        <v>1</v>
      </c>
      <c r="AZ564" s="24" t="str">
        <f t="shared" si="59"/>
        <v/>
      </c>
      <c r="BA564" s="24" t="str">
        <f t="shared" si="59"/>
        <v/>
      </c>
      <c r="BB564" s="24" t="str">
        <f t="shared" si="59"/>
        <v/>
      </c>
      <c r="BC564" s="24" t="str">
        <f t="shared" si="59"/>
        <v/>
      </c>
      <c r="BD564" s="24" t="str">
        <f t="shared" si="59"/>
        <v/>
      </c>
      <c r="BE564" s="24" t="str">
        <f t="shared" si="59"/>
        <v/>
      </c>
      <c r="BF564" s="24" t="str">
        <f t="shared" si="59"/>
        <v/>
      </c>
      <c r="BG564" s="24" t="str">
        <f t="shared" si="59"/>
        <v/>
      </c>
      <c r="BH564" s="24" t="str">
        <f t="shared" si="56"/>
        <v/>
      </c>
      <c r="BI564" s="24">
        <f t="shared" si="59"/>
        <v>1</v>
      </c>
      <c r="BJ564" s="24" t="str">
        <f t="shared" si="58"/>
        <v/>
      </c>
    </row>
    <row r="565" spans="1:62" ht="15" customHeight="1" x14ac:dyDescent="0.25">
      <c r="A565" t="str">
        <f>"1740546746"</f>
        <v>1740546746</v>
      </c>
      <c r="B565" t="str">
        <f>"04171904"</f>
        <v>04171904</v>
      </c>
      <c r="C565" t="s">
        <v>6500</v>
      </c>
      <c r="D565" t="s">
        <v>6501</v>
      </c>
      <c r="E565" t="s">
        <v>6502</v>
      </c>
      <c r="G565" t="s">
        <v>2363</v>
      </c>
      <c r="H565" t="s">
        <v>2364</v>
      </c>
      <c r="J565" t="s">
        <v>5847</v>
      </c>
      <c r="L565" t="s">
        <v>6867</v>
      </c>
      <c r="M565" t="s">
        <v>108</v>
      </c>
      <c r="R565" t="s">
        <v>6503</v>
      </c>
      <c r="W565" t="s">
        <v>6502</v>
      </c>
      <c r="X565" t="s">
        <v>2367</v>
      </c>
      <c r="Y565" t="s">
        <v>2368</v>
      </c>
      <c r="Z565" t="s">
        <v>111</v>
      </c>
      <c r="AA565" t="str">
        <f>"14886-9201"</f>
        <v>14886-9201</v>
      </c>
      <c r="AB565" t="s">
        <v>123</v>
      </c>
      <c r="AC565" t="s">
        <v>113</v>
      </c>
      <c r="AD565" t="s">
        <v>108</v>
      </c>
      <c r="AE565" t="s">
        <v>114</v>
      </c>
      <c r="AF565" t="s">
        <v>142</v>
      </c>
      <c r="AG565" t="s">
        <v>116</v>
      </c>
      <c r="AK565" t="str">
        <f t="shared" si="55"/>
        <v>Heetderks Gerrit</v>
      </c>
      <c r="AL565" t="s">
        <v>6501</v>
      </c>
      <c r="AM565" t="s">
        <v>108</v>
      </c>
      <c r="AN565" t="s">
        <v>108</v>
      </c>
      <c r="AO565" t="s">
        <v>108</v>
      </c>
      <c r="AP565" t="s">
        <v>108</v>
      </c>
      <c r="AQ565" t="s">
        <v>108</v>
      </c>
      <c r="AR565" t="s">
        <v>108</v>
      </c>
      <c r="AS565" t="s">
        <v>108</v>
      </c>
      <c r="AT565" t="s">
        <v>108</v>
      </c>
      <c r="AU565">
        <v>0</v>
      </c>
      <c r="AV565" t="s">
        <v>108</v>
      </c>
      <c r="AW565" t="s">
        <v>108</v>
      </c>
      <c r="AX565" s="24">
        <f t="shared" si="60"/>
        <v>1</v>
      </c>
      <c r="AY565" s="24">
        <f t="shared" si="60"/>
        <v>1</v>
      </c>
      <c r="AZ565" s="24" t="str">
        <f t="shared" si="59"/>
        <v/>
      </c>
      <c r="BA565" s="24" t="str">
        <f t="shared" si="59"/>
        <v/>
      </c>
      <c r="BB565" s="24" t="str">
        <f t="shared" si="59"/>
        <v/>
      </c>
      <c r="BC565" s="24" t="str">
        <f t="shared" si="59"/>
        <v/>
      </c>
      <c r="BD565" s="24" t="str">
        <f t="shared" si="59"/>
        <v/>
      </c>
      <c r="BE565" s="24" t="str">
        <f t="shared" si="59"/>
        <v/>
      </c>
      <c r="BF565" s="24" t="str">
        <f t="shared" si="59"/>
        <v/>
      </c>
      <c r="BG565" s="24" t="str">
        <f t="shared" si="59"/>
        <v/>
      </c>
      <c r="BH565" s="24" t="str">
        <f t="shared" si="56"/>
        <v/>
      </c>
      <c r="BI565" s="24">
        <f t="shared" si="59"/>
        <v>1</v>
      </c>
      <c r="BJ565" s="24" t="str">
        <f t="shared" si="58"/>
        <v/>
      </c>
    </row>
    <row r="566" spans="1:62" ht="15" customHeight="1" x14ac:dyDescent="0.25">
      <c r="A566" t="str">
        <f>"1568505196"</f>
        <v>1568505196</v>
      </c>
      <c r="B566" t="str">
        <f>"01746267"</f>
        <v>01746267</v>
      </c>
      <c r="C566" t="s">
        <v>890</v>
      </c>
      <c r="D566" t="s">
        <v>891</v>
      </c>
      <c r="E566" t="s">
        <v>892</v>
      </c>
      <c r="L566" t="s">
        <v>138</v>
      </c>
      <c r="M566" t="s">
        <v>108</v>
      </c>
      <c r="R566" t="s">
        <v>890</v>
      </c>
      <c r="W566" t="s">
        <v>892</v>
      </c>
      <c r="X566" t="s">
        <v>893</v>
      </c>
      <c r="Y566" t="s">
        <v>141</v>
      </c>
      <c r="Z566" t="s">
        <v>111</v>
      </c>
      <c r="AA566" t="str">
        <f>"13203-1807"</f>
        <v>13203-1807</v>
      </c>
      <c r="AB566" t="s">
        <v>123</v>
      </c>
      <c r="AC566" t="s">
        <v>113</v>
      </c>
      <c r="AD566" t="s">
        <v>108</v>
      </c>
      <c r="AE566" t="s">
        <v>114</v>
      </c>
      <c r="AF566" t="s">
        <v>142</v>
      </c>
      <c r="AG566" t="s">
        <v>116</v>
      </c>
      <c r="AK566" t="str">
        <f t="shared" si="55"/>
        <v/>
      </c>
      <c r="AL566" t="s">
        <v>891</v>
      </c>
      <c r="AM566">
        <v>0</v>
      </c>
      <c r="AN566">
        <v>0</v>
      </c>
      <c r="AO566">
        <v>0</v>
      </c>
      <c r="AP566">
        <v>0</v>
      </c>
      <c r="AQ566">
        <v>0</v>
      </c>
      <c r="AR566">
        <v>0</v>
      </c>
      <c r="AS566">
        <v>0</v>
      </c>
      <c r="AT566">
        <v>0</v>
      </c>
      <c r="AU566">
        <v>0</v>
      </c>
      <c r="AV566">
        <v>0</v>
      </c>
      <c r="AW566">
        <v>0</v>
      </c>
      <c r="AX566" s="24" t="str">
        <f t="shared" si="60"/>
        <v/>
      </c>
      <c r="AY566" s="24">
        <f t="shared" si="60"/>
        <v>1</v>
      </c>
      <c r="AZ566" s="24" t="str">
        <f t="shared" si="59"/>
        <v/>
      </c>
      <c r="BA566" s="24" t="str">
        <f t="shared" si="59"/>
        <v/>
      </c>
      <c r="BB566" s="24" t="str">
        <f t="shared" si="59"/>
        <v/>
      </c>
      <c r="BC566" s="24" t="str">
        <f t="shared" si="59"/>
        <v/>
      </c>
      <c r="BD566" s="24" t="str">
        <f t="shared" si="59"/>
        <v/>
      </c>
      <c r="BE566" s="24" t="str">
        <f t="shared" si="59"/>
        <v/>
      </c>
      <c r="BF566" s="24" t="str">
        <f t="shared" si="59"/>
        <v/>
      </c>
      <c r="BG566" s="24" t="str">
        <f t="shared" si="59"/>
        <v/>
      </c>
      <c r="BH566" s="24" t="str">
        <f t="shared" si="56"/>
        <v/>
      </c>
      <c r="BI566" s="24">
        <f t="shared" si="59"/>
        <v>1</v>
      </c>
      <c r="BJ566" s="24" t="str">
        <f t="shared" si="58"/>
        <v/>
      </c>
    </row>
    <row r="567" spans="1:62" ht="15" customHeight="1" x14ac:dyDescent="0.25">
      <c r="A567" t="str">
        <f>"1659486520"</f>
        <v>1659486520</v>
      </c>
      <c r="B567" t="str">
        <f>"02647932"</f>
        <v>02647932</v>
      </c>
      <c r="C567" t="s">
        <v>5924</v>
      </c>
      <c r="D567" t="s">
        <v>5925</v>
      </c>
      <c r="E567" t="s">
        <v>5926</v>
      </c>
      <c r="G567" t="s">
        <v>815</v>
      </c>
      <c r="H567" t="s">
        <v>816</v>
      </c>
      <c r="J567" t="s">
        <v>817</v>
      </c>
      <c r="L567" t="s">
        <v>120</v>
      </c>
      <c r="M567" t="s">
        <v>139</v>
      </c>
      <c r="R567" t="s">
        <v>5927</v>
      </c>
      <c r="W567" t="s">
        <v>5926</v>
      </c>
      <c r="X567" t="s">
        <v>5928</v>
      </c>
      <c r="Y567" t="s">
        <v>5929</v>
      </c>
      <c r="Z567" t="s">
        <v>111</v>
      </c>
      <c r="AA567" t="str">
        <f>"14889-9723"</f>
        <v>14889-9723</v>
      </c>
      <c r="AB567" t="s">
        <v>123</v>
      </c>
      <c r="AC567" t="s">
        <v>113</v>
      </c>
      <c r="AD567" t="s">
        <v>108</v>
      </c>
      <c r="AE567" t="s">
        <v>114</v>
      </c>
      <c r="AF567" t="s">
        <v>115</v>
      </c>
      <c r="AG567" t="s">
        <v>116</v>
      </c>
      <c r="AK567" t="str">
        <f t="shared" si="55"/>
        <v>Heidi R. Wilson, MD</v>
      </c>
      <c r="AL567" t="s">
        <v>5925</v>
      </c>
      <c r="AM567" t="s">
        <v>108</v>
      </c>
      <c r="AN567" t="s">
        <v>108</v>
      </c>
      <c r="AO567" t="s">
        <v>108</v>
      </c>
      <c r="AP567" t="s">
        <v>108</v>
      </c>
      <c r="AQ567" t="s">
        <v>108</v>
      </c>
      <c r="AR567" t="s">
        <v>108</v>
      </c>
      <c r="AS567" t="s">
        <v>108</v>
      </c>
      <c r="AT567" t="s">
        <v>108</v>
      </c>
      <c r="AU567">
        <v>0</v>
      </c>
      <c r="AV567" t="s">
        <v>108</v>
      </c>
      <c r="AW567" t="s">
        <v>108</v>
      </c>
      <c r="AX567" s="24">
        <f t="shared" si="60"/>
        <v>1</v>
      </c>
      <c r="AY567" s="24" t="str">
        <f t="shared" si="60"/>
        <v/>
      </c>
      <c r="AZ567" s="24" t="str">
        <f t="shared" si="59"/>
        <v/>
      </c>
      <c r="BA567" s="24" t="str">
        <f t="shared" si="59"/>
        <v/>
      </c>
      <c r="BB567" s="24" t="str">
        <f t="shared" si="59"/>
        <v/>
      </c>
      <c r="BC567" s="24" t="str">
        <f t="shared" si="59"/>
        <v/>
      </c>
      <c r="BD567" s="24" t="str">
        <f t="shared" si="59"/>
        <v/>
      </c>
      <c r="BE567" s="24" t="str">
        <f t="shared" si="59"/>
        <v/>
      </c>
      <c r="BF567" s="24" t="str">
        <f t="shared" si="59"/>
        <v/>
      </c>
      <c r="BG567" s="24" t="str">
        <f t="shared" si="59"/>
        <v/>
      </c>
      <c r="BH567" s="24" t="str">
        <f t="shared" si="56"/>
        <v/>
      </c>
      <c r="BI567" s="24">
        <f t="shared" si="59"/>
        <v>1</v>
      </c>
      <c r="BJ567" s="24" t="str">
        <f t="shared" si="58"/>
        <v/>
      </c>
    </row>
    <row r="568" spans="1:62" ht="15" customHeight="1" x14ac:dyDescent="0.25">
      <c r="A568" t="str">
        <f>"1396822458"</f>
        <v>1396822458</v>
      </c>
      <c r="B568" t="str">
        <f>"03874944"</f>
        <v>03874944</v>
      </c>
      <c r="C568" t="s">
        <v>6834</v>
      </c>
      <c r="D568" t="s">
        <v>7122</v>
      </c>
      <c r="E568" t="s">
        <v>6979</v>
      </c>
      <c r="G568" t="s">
        <v>815</v>
      </c>
      <c r="H568" t="s">
        <v>816</v>
      </c>
      <c r="J568" t="s">
        <v>817</v>
      </c>
      <c r="L568" t="s">
        <v>138</v>
      </c>
      <c r="M568" t="s">
        <v>108</v>
      </c>
      <c r="R568" t="s">
        <v>6834</v>
      </c>
      <c r="W568" t="s">
        <v>6979</v>
      </c>
      <c r="X568" t="s">
        <v>1781</v>
      </c>
      <c r="Y568" t="s">
        <v>110</v>
      </c>
      <c r="Z568" t="s">
        <v>111</v>
      </c>
      <c r="AA568" t="str">
        <f>"13904-1659"</f>
        <v>13904-1659</v>
      </c>
      <c r="AB568" t="s">
        <v>123</v>
      </c>
      <c r="AC568" t="s">
        <v>113</v>
      </c>
      <c r="AD568" t="s">
        <v>108</v>
      </c>
      <c r="AE568" t="s">
        <v>114</v>
      </c>
      <c r="AF568" t="s">
        <v>115</v>
      </c>
      <c r="AG568" t="s">
        <v>116</v>
      </c>
      <c r="AK568" t="str">
        <f t="shared" si="55"/>
        <v>HEKTOR MATTHEW MR.</v>
      </c>
      <c r="AL568" t="s">
        <v>7122</v>
      </c>
      <c r="AM568" t="s">
        <v>108</v>
      </c>
      <c r="AN568" t="s">
        <v>108</v>
      </c>
      <c r="AO568" t="s">
        <v>108</v>
      </c>
      <c r="AP568" t="s">
        <v>108</v>
      </c>
      <c r="AQ568" t="s">
        <v>108</v>
      </c>
      <c r="AR568" t="s">
        <v>108</v>
      </c>
      <c r="AS568" t="s">
        <v>108</v>
      </c>
      <c r="AT568" t="s">
        <v>108</v>
      </c>
      <c r="AU568">
        <v>0</v>
      </c>
      <c r="AV568" t="s">
        <v>108</v>
      </c>
      <c r="AW568" t="s">
        <v>108</v>
      </c>
      <c r="AX568" s="24" t="str">
        <f t="shared" si="60"/>
        <v/>
      </c>
      <c r="AY568" s="24">
        <f t="shared" si="60"/>
        <v>1</v>
      </c>
      <c r="AZ568" s="24" t="str">
        <f t="shared" si="59"/>
        <v/>
      </c>
      <c r="BA568" s="24" t="str">
        <f t="shared" si="59"/>
        <v/>
      </c>
      <c r="BB568" s="24" t="str">
        <f t="shared" si="59"/>
        <v/>
      </c>
      <c r="BC568" s="24" t="str">
        <f t="shared" si="59"/>
        <v/>
      </c>
      <c r="BD568" s="24" t="str">
        <f t="shared" si="59"/>
        <v/>
      </c>
      <c r="BE568" s="24" t="str">
        <f t="shared" si="59"/>
        <v/>
      </c>
      <c r="BF568" s="24" t="str">
        <f t="shared" si="59"/>
        <v/>
      </c>
      <c r="BG568" s="24" t="str">
        <f t="shared" si="59"/>
        <v/>
      </c>
      <c r="BH568" s="24" t="str">
        <f t="shared" si="56"/>
        <v/>
      </c>
      <c r="BI568" s="24">
        <f t="shared" si="59"/>
        <v>1</v>
      </c>
      <c r="BJ568" s="24" t="str">
        <f t="shared" si="58"/>
        <v/>
      </c>
    </row>
    <row r="569" spans="1:62" ht="15" customHeight="1" x14ac:dyDescent="0.25">
      <c r="A569" t="str">
        <f>"1972544237"</f>
        <v>1972544237</v>
      </c>
      <c r="B569" t="str">
        <f>"02188576"</f>
        <v>02188576</v>
      </c>
      <c r="C569" t="s">
        <v>5422</v>
      </c>
      <c r="D569" t="s">
        <v>5423</v>
      </c>
      <c r="E569" t="s">
        <v>5424</v>
      </c>
      <c r="G569" t="s">
        <v>5422</v>
      </c>
      <c r="H569" t="s">
        <v>5425</v>
      </c>
      <c r="J569" t="s">
        <v>5426</v>
      </c>
      <c r="L569" t="s">
        <v>138</v>
      </c>
      <c r="M569" t="s">
        <v>108</v>
      </c>
      <c r="R569" t="s">
        <v>5427</v>
      </c>
      <c r="W569" t="s">
        <v>5428</v>
      </c>
      <c r="X569" t="s">
        <v>5429</v>
      </c>
      <c r="Y569" t="s">
        <v>966</v>
      </c>
      <c r="Z569" t="s">
        <v>111</v>
      </c>
      <c r="AA569" t="str">
        <f>"13850-1070"</f>
        <v>13850-1070</v>
      </c>
      <c r="AB569" t="s">
        <v>123</v>
      </c>
      <c r="AC569" t="s">
        <v>113</v>
      </c>
      <c r="AD569" t="s">
        <v>108</v>
      </c>
      <c r="AE569" t="s">
        <v>114</v>
      </c>
      <c r="AF569" t="s">
        <v>115</v>
      </c>
      <c r="AG569" t="s">
        <v>116</v>
      </c>
      <c r="AK569" t="str">
        <f t="shared" si="55"/>
        <v/>
      </c>
      <c r="AL569" t="s">
        <v>5423</v>
      </c>
      <c r="AM569">
        <v>1</v>
      </c>
      <c r="AN569">
        <v>1</v>
      </c>
      <c r="AO569">
        <v>0</v>
      </c>
      <c r="AP569">
        <v>1</v>
      </c>
      <c r="AQ569">
        <v>1</v>
      </c>
      <c r="AR569">
        <v>0</v>
      </c>
      <c r="AS569">
        <v>0</v>
      </c>
      <c r="AT569">
        <v>0</v>
      </c>
      <c r="AU569">
        <v>0</v>
      </c>
      <c r="AV569">
        <v>0</v>
      </c>
      <c r="AW569">
        <v>0</v>
      </c>
      <c r="AX569" s="24" t="str">
        <f t="shared" si="60"/>
        <v/>
      </c>
      <c r="AY569" s="24">
        <f t="shared" si="60"/>
        <v>1</v>
      </c>
      <c r="AZ569" s="24" t="str">
        <f t="shared" si="59"/>
        <v/>
      </c>
      <c r="BA569" s="24" t="str">
        <f t="shared" si="59"/>
        <v/>
      </c>
      <c r="BB569" s="24" t="str">
        <f t="shared" si="59"/>
        <v/>
      </c>
      <c r="BC569" s="24" t="str">
        <f t="shared" si="59"/>
        <v/>
      </c>
      <c r="BD569" s="24" t="str">
        <f t="shared" si="59"/>
        <v/>
      </c>
      <c r="BE569" s="24" t="str">
        <f t="shared" si="59"/>
        <v/>
      </c>
      <c r="BF569" s="24" t="str">
        <f t="shared" si="59"/>
        <v/>
      </c>
      <c r="BG569" s="24" t="str">
        <f t="shared" si="59"/>
        <v/>
      </c>
      <c r="BH569" s="24" t="str">
        <f t="shared" si="56"/>
        <v/>
      </c>
      <c r="BI569" s="24">
        <f t="shared" si="59"/>
        <v>1</v>
      </c>
      <c r="BJ569" s="24" t="str">
        <f t="shared" si="58"/>
        <v/>
      </c>
    </row>
    <row r="570" spans="1:62" ht="15" customHeight="1" x14ac:dyDescent="0.25">
      <c r="C570" t="s">
        <v>776</v>
      </c>
      <c r="G570" t="s">
        <v>777</v>
      </c>
      <c r="H570" t="s">
        <v>778</v>
      </c>
      <c r="J570" t="s">
        <v>779</v>
      </c>
      <c r="K570" t="s">
        <v>780</v>
      </c>
      <c r="L570" t="s">
        <v>781</v>
      </c>
      <c r="M570" t="s">
        <v>108</v>
      </c>
      <c r="N570" t="s">
        <v>782</v>
      </c>
      <c r="O570" t="s">
        <v>783</v>
      </c>
      <c r="P570" t="s">
        <v>111</v>
      </c>
      <c r="Q570" t="str">
        <f>"14902"</f>
        <v>14902</v>
      </c>
      <c r="AC570" t="s">
        <v>113</v>
      </c>
      <c r="AD570" t="s">
        <v>108</v>
      </c>
      <c r="AE570" t="s">
        <v>784</v>
      </c>
      <c r="AF570" t="s">
        <v>149</v>
      </c>
      <c r="AG570" t="s">
        <v>116</v>
      </c>
      <c r="AK570" t="str">
        <f t="shared" si="55"/>
        <v>hemung County Department of Aging and Long Term Care</v>
      </c>
      <c r="AM570" t="s">
        <v>108</v>
      </c>
      <c r="AN570" t="s">
        <v>108</v>
      </c>
      <c r="AO570" t="s">
        <v>108</v>
      </c>
      <c r="AP570" t="s">
        <v>108</v>
      </c>
      <c r="AQ570" t="s">
        <v>108</v>
      </c>
      <c r="AR570" t="s">
        <v>108</v>
      </c>
      <c r="AS570" t="s">
        <v>108</v>
      </c>
      <c r="AT570" t="s">
        <v>108</v>
      </c>
      <c r="AU570">
        <v>0</v>
      </c>
      <c r="AV570" t="s">
        <v>108</v>
      </c>
      <c r="AW570" t="s">
        <v>108</v>
      </c>
      <c r="AX570" s="24" t="str">
        <f t="shared" si="60"/>
        <v/>
      </c>
      <c r="AY570" s="24" t="str">
        <f t="shared" si="60"/>
        <v/>
      </c>
      <c r="AZ570" s="24" t="str">
        <f t="shared" si="59"/>
        <v/>
      </c>
      <c r="BA570" s="24" t="str">
        <f t="shared" si="59"/>
        <v/>
      </c>
      <c r="BB570" s="24" t="str">
        <f t="shared" si="59"/>
        <v/>
      </c>
      <c r="BC570" s="24" t="str">
        <f t="shared" si="59"/>
        <v/>
      </c>
      <c r="BD570" s="24" t="str">
        <f t="shared" si="59"/>
        <v/>
      </c>
      <c r="BE570" s="24" t="str">
        <f t="shared" si="59"/>
        <v/>
      </c>
      <c r="BF570" s="24" t="str">
        <f t="shared" si="59"/>
        <v/>
      </c>
      <c r="BG570" s="24" t="str">
        <f t="shared" si="59"/>
        <v/>
      </c>
      <c r="BH570" s="24">
        <f t="shared" si="56"/>
        <v>1</v>
      </c>
      <c r="BI570" s="24" t="str">
        <f t="shared" si="59"/>
        <v/>
      </c>
      <c r="BJ570" s="24" t="str">
        <f t="shared" si="58"/>
        <v/>
      </c>
    </row>
    <row r="571" spans="1:62" ht="15" customHeight="1" x14ac:dyDescent="0.25">
      <c r="A571" t="str">
        <f>"1649346776"</f>
        <v>1649346776</v>
      </c>
      <c r="B571" t="str">
        <f>"02727526"</f>
        <v>02727526</v>
      </c>
      <c r="C571" t="s">
        <v>267</v>
      </c>
      <c r="D571" t="s">
        <v>268</v>
      </c>
      <c r="E571" t="s">
        <v>269</v>
      </c>
      <c r="G571" t="s">
        <v>229</v>
      </c>
      <c r="H571" t="s">
        <v>230</v>
      </c>
      <c r="J571" t="s">
        <v>231</v>
      </c>
      <c r="L571" t="s">
        <v>138</v>
      </c>
      <c r="M571" t="s">
        <v>108</v>
      </c>
      <c r="R571" t="s">
        <v>270</v>
      </c>
      <c r="W571" t="s">
        <v>269</v>
      </c>
      <c r="X571" t="s">
        <v>271</v>
      </c>
      <c r="Y571" t="s">
        <v>239</v>
      </c>
      <c r="Z571" t="s">
        <v>111</v>
      </c>
      <c r="AA571" t="str">
        <f>"13045-1669"</f>
        <v>13045-1669</v>
      </c>
      <c r="AB571" t="s">
        <v>123</v>
      </c>
      <c r="AC571" t="s">
        <v>113</v>
      </c>
      <c r="AD571" t="s">
        <v>108</v>
      </c>
      <c r="AE571" t="s">
        <v>114</v>
      </c>
      <c r="AF571" t="s">
        <v>142</v>
      </c>
      <c r="AG571" t="s">
        <v>116</v>
      </c>
      <c r="AK571" t="str">
        <f t="shared" si="55"/>
        <v/>
      </c>
      <c r="AL571" t="s">
        <v>268</v>
      </c>
      <c r="AM571">
        <v>1</v>
      </c>
      <c r="AN571">
        <v>1</v>
      </c>
      <c r="AO571">
        <v>0</v>
      </c>
      <c r="AP571">
        <v>0</v>
      </c>
      <c r="AQ571">
        <v>1</v>
      </c>
      <c r="AR571">
        <v>0</v>
      </c>
      <c r="AS571">
        <v>0</v>
      </c>
      <c r="AT571">
        <v>0</v>
      </c>
      <c r="AU571">
        <v>0</v>
      </c>
      <c r="AV571">
        <v>0</v>
      </c>
      <c r="AW571">
        <v>0</v>
      </c>
      <c r="AX571" s="24" t="str">
        <f t="shared" si="60"/>
        <v/>
      </c>
      <c r="AY571" s="24">
        <f t="shared" si="60"/>
        <v>1</v>
      </c>
      <c r="AZ571" s="24" t="str">
        <f t="shared" si="59"/>
        <v/>
      </c>
      <c r="BA571" s="24" t="str">
        <f t="shared" si="59"/>
        <v/>
      </c>
      <c r="BB571" s="24" t="str">
        <f t="shared" si="59"/>
        <v/>
      </c>
      <c r="BC571" s="24" t="str">
        <f t="shared" si="59"/>
        <v/>
      </c>
      <c r="BD571" s="24" t="str">
        <f t="shared" si="59"/>
        <v/>
      </c>
      <c r="BE571" s="24" t="str">
        <f t="shared" si="59"/>
        <v/>
      </c>
      <c r="BF571" s="24" t="str">
        <f t="shared" si="59"/>
        <v/>
      </c>
      <c r="BG571" s="24" t="str">
        <f t="shared" si="59"/>
        <v/>
      </c>
      <c r="BH571" s="24" t="str">
        <f t="shared" si="56"/>
        <v/>
      </c>
      <c r="BI571" s="24">
        <f t="shared" si="59"/>
        <v>1</v>
      </c>
      <c r="BJ571" s="24" t="str">
        <f t="shared" si="58"/>
        <v/>
      </c>
    </row>
    <row r="572" spans="1:62" ht="15" customHeight="1" x14ac:dyDescent="0.25">
      <c r="A572" t="str">
        <f>"1396807749"</f>
        <v>1396807749</v>
      </c>
      <c r="B572" t="str">
        <f>"02774129"</f>
        <v>02774129</v>
      </c>
      <c r="C572" t="s">
        <v>4243</v>
      </c>
      <c r="D572" t="s">
        <v>4244</v>
      </c>
      <c r="E572" t="s">
        <v>4245</v>
      </c>
      <c r="G572" t="s">
        <v>4232</v>
      </c>
      <c r="H572" t="s">
        <v>4233</v>
      </c>
      <c r="J572" t="s">
        <v>4246</v>
      </c>
      <c r="L572" t="s">
        <v>809</v>
      </c>
      <c r="M572" t="s">
        <v>108</v>
      </c>
      <c r="R572" t="s">
        <v>4247</v>
      </c>
      <c r="W572" t="s">
        <v>4245</v>
      </c>
      <c r="X572" t="s">
        <v>302</v>
      </c>
      <c r="Y572" t="s">
        <v>293</v>
      </c>
      <c r="Z572" t="s">
        <v>111</v>
      </c>
      <c r="AA572" t="str">
        <f>"14850-1383"</f>
        <v>14850-1383</v>
      </c>
      <c r="AB572" t="s">
        <v>123</v>
      </c>
      <c r="AC572" t="s">
        <v>113</v>
      </c>
      <c r="AD572" t="s">
        <v>108</v>
      </c>
      <c r="AE572" t="s">
        <v>114</v>
      </c>
      <c r="AF572" t="s">
        <v>142</v>
      </c>
      <c r="AG572" t="s">
        <v>116</v>
      </c>
      <c r="AK572" t="str">
        <f t="shared" si="55"/>
        <v/>
      </c>
      <c r="AL572" t="s">
        <v>4244</v>
      </c>
      <c r="AM572">
        <v>1</v>
      </c>
      <c r="AN572">
        <v>1</v>
      </c>
      <c r="AO572">
        <v>0</v>
      </c>
      <c r="AP572">
        <v>0</v>
      </c>
      <c r="AQ572">
        <v>0</v>
      </c>
      <c r="AR572">
        <v>0</v>
      </c>
      <c r="AS572">
        <v>0</v>
      </c>
      <c r="AT572">
        <v>0</v>
      </c>
      <c r="AU572">
        <v>0</v>
      </c>
      <c r="AV572">
        <v>0</v>
      </c>
      <c r="AW572">
        <v>0</v>
      </c>
      <c r="AX572" s="24" t="str">
        <f t="shared" si="60"/>
        <v/>
      </c>
      <c r="AY572" s="24">
        <f t="shared" si="60"/>
        <v>1</v>
      </c>
      <c r="AZ572" s="24" t="str">
        <f t="shared" si="59"/>
        <v/>
      </c>
      <c r="BA572" s="24" t="str">
        <f t="shared" si="59"/>
        <v/>
      </c>
      <c r="BB572" s="24" t="str">
        <f t="shared" si="59"/>
        <v/>
      </c>
      <c r="BC572" s="24">
        <f t="shared" si="59"/>
        <v>1</v>
      </c>
      <c r="BD572" s="24" t="str">
        <f t="shared" si="59"/>
        <v/>
      </c>
      <c r="BE572" s="24" t="str">
        <f t="shared" si="59"/>
        <v/>
      </c>
      <c r="BF572" s="24" t="str">
        <f t="shared" si="59"/>
        <v/>
      </c>
      <c r="BG572" s="24" t="str">
        <f t="shared" si="59"/>
        <v/>
      </c>
      <c r="BH572" s="24" t="str">
        <f t="shared" si="56"/>
        <v/>
      </c>
      <c r="BI572" s="24" t="str">
        <f t="shared" si="59"/>
        <v/>
      </c>
      <c r="BJ572" s="24" t="str">
        <f t="shared" si="58"/>
        <v/>
      </c>
    </row>
    <row r="573" spans="1:62" ht="15" customHeight="1" x14ac:dyDescent="0.25">
      <c r="A573" t="str">
        <f>"1821065137"</f>
        <v>1821065137</v>
      </c>
      <c r="B573" t="str">
        <f>"01861105"</f>
        <v>01861105</v>
      </c>
      <c r="C573" t="s">
        <v>522</v>
      </c>
      <c r="D573" t="s">
        <v>523</v>
      </c>
      <c r="E573" t="s">
        <v>524</v>
      </c>
      <c r="G573" t="s">
        <v>177</v>
      </c>
      <c r="H573" t="s">
        <v>178</v>
      </c>
      <c r="J573" t="s">
        <v>179</v>
      </c>
      <c r="L573" t="s">
        <v>138</v>
      </c>
      <c r="M573" t="s">
        <v>108</v>
      </c>
      <c r="R573" t="s">
        <v>522</v>
      </c>
      <c r="W573" t="s">
        <v>524</v>
      </c>
      <c r="X573" t="s">
        <v>180</v>
      </c>
      <c r="Y573" t="s">
        <v>181</v>
      </c>
      <c r="Z573" t="s">
        <v>182</v>
      </c>
      <c r="AA573" t="str">
        <f>"18840"</f>
        <v>18840</v>
      </c>
      <c r="AB573" t="s">
        <v>123</v>
      </c>
      <c r="AC573" t="s">
        <v>113</v>
      </c>
      <c r="AD573" t="s">
        <v>108</v>
      </c>
      <c r="AE573" t="s">
        <v>114</v>
      </c>
      <c r="AF573" t="s">
        <v>115</v>
      </c>
      <c r="AG573" t="s">
        <v>116</v>
      </c>
      <c r="AK573" t="str">
        <f t="shared" si="55"/>
        <v/>
      </c>
      <c r="AL573" t="s">
        <v>523</v>
      </c>
      <c r="AM573">
        <v>1</v>
      </c>
      <c r="AN573">
        <v>1</v>
      </c>
      <c r="AO573">
        <v>0</v>
      </c>
      <c r="AP573">
        <v>0</v>
      </c>
      <c r="AQ573">
        <v>0</v>
      </c>
      <c r="AR573">
        <v>0</v>
      </c>
      <c r="AS573">
        <v>0</v>
      </c>
      <c r="AT573">
        <v>0</v>
      </c>
      <c r="AU573">
        <v>0</v>
      </c>
      <c r="AV573">
        <v>1</v>
      </c>
      <c r="AW573">
        <v>0</v>
      </c>
      <c r="AX573" s="24" t="str">
        <f t="shared" si="60"/>
        <v/>
      </c>
      <c r="AY573" s="24">
        <f t="shared" si="60"/>
        <v>1</v>
      </c>
      <c r="AZ573" s="24" t="str">
        <f t="shared" si="59"/>
        <v/>
      </c>
      <c r="BA573" s="24" t="str">
        <f t="shared" si="59"/>
        <v/>
      </c>
      <c r="BB573" s="24" t="str">
        <f t="shared" si="59"/>
        <v/>
      </c>
      <c r="BC573" s="24" t="str">
        <f t="shared" si="59"/>
        <v/>
      </c>
      <c r="BD573" s="24" t="str">
        <f t="shared" si="59"/>
        <v/>
      </c>
      <c r="BE573" s="24" t="str">
        <f t="shared" si="59"/>
        <v/>
      </c>
      <c r="BF573" s="24" t="str">
        <f t="shared" si="59"/>
        <v/>
      </c>
      <c r="BG573" s="24" t="str">
        <f t="shared" si="59"/>
        <v/>
      </c>
      <c r="BH573" s="24" t="str">
        <f t="shared" si="56"/>
        <v/>
      </c>
      <c r="BI573" s="24">
        <f t="shared" si="59"/>
        <v>1</v>
      </c>
      <c r="BJ573" s="24" t="str">
        <f t="shared" si="58"/>
        <v/>
      </c>
    </row>
    <row r="574" spans="1:62" ht="15" customHeight="1" x14ac:dyDescent="0.25">
      <c r="A574" t="str">
        <f>"1073534590"</f>
        <v>1073534590</v>
      </c>
      <c r="B574" t="str">
        <f>"02254988"</f>
        <v>02254988</v>
      </c>
      <c r="C574" t="s">
        <v>1311</v>
      </c>
      <c r="D574" t="s">
        <v>1312</v>
      </c>
      <c r="E574" t="s">
        <v>1313</v>
      </c>
      <c r="G574" t="s">
        <v>1300</v>
      </c>
      <c r="H574" t="s">
        <v>1301</v>
      </c>
      <c r="L574" t="s">
        <v>138</v>
      </c>
      <c r="M574" t="s">
        <v>108</v>
      </c>
      <c r="R574" t="s">
        <v>1311</v>
      </c>
      <c r="W574" t="s">
        <v>1313</v>
      </c>
      <c r="X574" t="s">
        <v>1314</v>
      </c>
      <c r="Y574" t="s">
        <v>141</v>
      </c>
      <c r="Z574" t="s">
        <v>111</v>
      </c>
      <c r="AA574" t="str">
        <f>"13215-2265"</f>
        <v>13215-2265</v>
      </c>
      <c r="AB574" t="s">
        <v>123</v>
      </c>
      <c r="AC574" t="s">
        <v>113</v>
      </c>
      <c r="AD574" t="s">
        <v>108</v>
      </c>
      <c r="AE574" t="s">
        <v>114</v>
      </c>
      <c r="AF574" t="s">
        <v>142</v>
      </c>
      <c r="AG574" t="s">
        <v>116</v>
      </c>
      <c r="AK574" t="str">
        <f t="shared" si="55"/>
        <v/>
      </c>
      <c r="AL574" t="s">
        <v>1312</v>
      </c>
      <c r="AM574">
        <v>0</v>
      </c>
      <c r="AN574">
        <v>0</v>
      </c>
      <c r="AO574">
        <v>0</v>
      </c>
      <c r="AP574">
        <v>0</v>
      </c>
      <c r="AQ574">
        <v>0</v>
      </c>
      <c r="AR574">
        <v>0</v>
      </c>
      <c r="AS574">
        <v>0</v>
      </c>
      <c r="AT574">
        <v>0</v>
      </c>
      <c r="AU574">
        <v>0</v>
      </c>
      <c r="AV574">
        <v>0</v>
      </c>
      <c r="AW574">
        <v>0</v>
      </c>
      <c r="AX574" s="24" t="str">
        <f t="shared" si="60"/>
        <v/>
      </c>
      <c r="AY574" s="24">
        <f t="shared" si="60"/>
        <v>1</v>
      </c>
      <c r="AZ574" s="24" t="str">
        <f t="shared" si="59"/>
        <v/>
      </c>
      <c r="BA574" s="24" t="str">
        <f t="shared" si="59"/>
        <v/>
      </c>
      <c r="BB574" s="24" t="str">
        <f t="shared" si="59"/>
        <v/>
      </c>
      <c r="BC574" s="24" t="str">
        <f t="shared" si="59"/>
        <v/>
      </c>
      <c r="BD574" s="24" t="str">
        <f t="shared" si="59"/>
        <v/>
      </c>
      <c r="BE574" s="24" t="str">
        <f t="shared" si="59"/>
        <v/>
      </c>
      <c r="BF574" s="24" t="str">
        <f t="shared" ref="AZ574:BI600" si="61">IF(ISERROR(FIND(BF$1,$L574,1)),"",1)</f>
        <v/>
      </c>
      <c r="BG574" s="24" t="str">
        <f t="shared" si="61"/>
        <v/>
      </c>
      <c r="BH574" s="24" t="str">
        <f t="shared" si="56"/>
        <v/>
      </c>
      <c r="BI574" s="24">
        <f t="shared" si="61"/>
        <v>1</v>
      </c>
      <c r="BJ574" s="24" t="str">
        <f t="shared" si="58"/>
        <v/>
      </c>
    </row>
    <row r="575" spans="1:62" ht="15" customHeight="1" x14ac:dyDescent="0.25">
      <c r="A575" t="str">
        <f>"1639267933"</f>
        <v>1639267933</v>
      </c>
      <c r="B575" t="str">
        <f>"02996638"</f>
        <v>02996638</v>
      </c>
      <c r="C575" t="s">
        <v>2860</v>
      </c>
      <c r="D575" t="s">
        <v>1205</v>
      </c>
      <c r="E575" t="s">
        <v>1206</v>
      </c>
      <c r="G575" t="s">
        <v>2855</v>
      </c>
      <c r="H575" t="s">
        <v>2856</v>
      </c>
      <c r="J575" t="s">
        <v>2857</v>
      </c>
      <c r="L575" t="s">
        <v>6870</v>
      </c>
      <c r="M575" t="s">
        <v>139</v>
      </c>
      <c r="R575" t="s">
        <v>2860</v>
      </c>
      <c r="W575" t="s">
        <v>2861</v>
      </c>
      <c r="X575" t="s">
        <v>2862</v>
      </c>
      <c r="Y575" t="s">
        <v>1053</v>
      </c>
      <c r="Z575" t="s">
        <v>111</v>
      </c>
      <c r="AA575" t="str">
        <f>"14620-1662"</f>
        <v>14620-1662</v>
      </c>
      <c r="AB575" t="s">
        <v>385</v>
      </c>
      <c r="AC575" t="s">
        <v>113</v>
      </c>
      <c r="AD575" t="s">
        <v>108</v>
      </c>
      <c r="AE575" t="s">
        <v>114</v>
      </c>
      <c r="AF575" t="s">
        <v>115</v>
      </c>
      <c r="AG575" t="s">
        <v>116</v>
      </c>
      <c r="AK575" t="str">
        <f t="shared" si="55"/>
        <v/>
      </c>
      <c r="AL575" t="s">
        <v>1205</v>
      </c>
      <c r="AM575">
        <v>0</v>
      </c>
      <c r="AN575">
        <v>0</v>
      </c>
      <c r="AO575">
        <v>0</v>
      </c>
      <c r="AP575">
        <v>0</v>
      </c>
      <c r="AQ575">
        <v>0</v>
      </c>
      <c r="AR575">
        <v>0</v>
      </c>
      <c r="AS575">
        <v>0</v>
      </c>
      <c r="AT575">
        <v>0</v>
      </c>
      <c r="AU575">
        <v>0</v>
      </c>
      <c r="AV575">
        <v>0</v>
      </c>
      <c r="AW575">
        <v>0</v>
      </c>
      <c r="AX575" s="24" t="str">
        <f t="shared" si="60"/>
        <v/>
      </c>
      <c r="AY575" s="24" t="str">
        <f t="shared" si="60"/>
        <v/>
      </c>
      <c r="AZ575" s="24" t="str">
        <f t="shared" si="61"/>
        <v/>
      </c>
      <c r="BA575" s="24" t="str">
        <f t="shared" si="61"/>
        <v/>
      </c>
      <c r="BB575" s="24">
        <f t="shared" si="61"/>
        <v>1</v>
      </c>
      <c r="BC575" s="24">
        <f t="shared" si="61"/>
        <v>1</v>
      </c>
      <c r="BD575" s="24">
        <f t="shared" si="61"/>
        <v>1</v>
      </c>
      <c r="BE575" s="24" t="str">
        <f t="shared" si="61"/>
        <v/>
      </c>
      <c r="BF575" s="24" t="str">
        <f t="shared" si="61"/>
        <v/>
      </c>
      <c r="BG575" s="24" t="str">
        <f t="shared" si="61"/>
        <v/>
      </c>
      <c r="BH575" s="24" t="str">
        <f t="shared" si="56"/>
        <v/>
      </c>
      <c r="BI575" s="24">
        <f t="shared" si="61"/>
        <v>1</v>
      </c>
      <c r="BJ575" s="24" t="str">
        <f t="shared" si="58"/>
        <v/>
      </c>
    </row>
    <row r="576" spans="1:62" ht="15" customHeight="1" x14ac:dyDescent="0.25">
      <c r="B576" t="str">
        <f>"00969333"</f>
        <v>00969333</v>
      </c>
      <c r="C576" t="s">
        <v>1204</v>
      </c>
      <c r="D576" t="s">
        <v>1205</v>
      </c>
      <c r="E576" t="s">
        <v>1206</v>
      </c>
      <c r="G576" t="s">
        <v>1207</v>
      </c>
      <c r="H576" t="s">
        <v>1208</v>
      </c>
      <c r="L576" t="s">
        <v>6870</v>
      </c>
      <c r="M576" t="s">
        <v>139</v>
      </c>
      <c r="W576" t="s">
        <v>1204</v>
      </c>
      <c r="X576" t="s">
        <v>1209</v>
      </c>
      <c r="Y576" t="s">
        <v>1210</v>
      </c>
      <c r="Z576" t="s">
        <v>111</v>
      </c>
      <c r="AA576" t="str">
        <f>"14467-9620"</f>
        <v>14467-9620</v>
      </c>
      <c r="AB576" t="s">
        <v>282</v>
      </c>
      <c r="AC576" t="s">
        <v>113</v>
      </c>
      <c r="AD576" t="s">
        <v>108</v>
      </c>
      <c r="AE576" t="s">
        <v>114</v>
      </c>
      <c r="AF576" t="s">
        <v>115</v>
      </c>
      <c r="AG576" t="s">
        <v>116</v>
      </c>
      <c r="AK576" t="str">
        <f t="shared" si="55"/>
        <v/>
      </c>
      <c r="AL576" t="s">
        <v>1205</v>
      </c>
      <c r="AM576">
        <v>0</v>
      </c>
      <c r="AN576">
        <v>0</v>
      </c>
      <c r="AO576">
        <v>0</v>
      </c>
      <c r="AP576">
        <v>0</v>
      </c>
      <c r="AQ576">
        <v>0</v>
      </c>
      <c r="AR576">
        <v>0</v>
      </c>
      <c r="AS576">
        <v>0</v>
      </c>
      <c r="AT576">
        <v>0</v>
      </c>
      <c r="AU576">
        <v>0</v>
      </c>
      <c r="AV576">
        <v>0</v>
      </c>
      <c r="AW576">
        <v>0</v>
      </c>
      <c r="AX576" s="24" t="str">
        <f t="shared" si="60"/>
        <v/>
      </c>
      <c r="AY576" s="24" t="str">
        <f t="shared" si="60"/>
        <v/>
      </c>
      <c r="AZ576" s="24" t="str">
        <f t="shared" si="61"/>
        <v/>
      </c>
      <c r="BA576" s="24" t="str">
        <f t="shared" si="61"/>
        <v/>
      </c>
      <c r="BB576" s="24">
        <f t="shared" si="61"/>
        <v>1</v>
      </c>
      <c r="BC576" s="24">
        <f t="shared" si="61"/>
        <v>1</v>
      </c>
      <c r="BD576" s="24">
        <f t="shared" si="61"/>
        <v>1</v>
      </c>
      <c r="BE576" s="24" t="str">
        <f t="shared" si="61"/>
        <v/>
      </c>
      <c r="BF576" s="24" t="str">
        <f t="shared" si="61"/>
        <v/>
      </c>
      <c r="BG576" s="24" t="str">
        <f t="shared" si="61"/>
        <v/>
      </c>
      <c r="BH576" s="24" t="str">
        <f t="shared" si="56"/>
        <v/>
      </c>
      <c r="BI576" s="24">
        <f t="shared" si="61"/>
        <v>1</v>
      </c>
      <c r="BJ576" s="24" t="str">
        <f t="shared" si="58"/>
        <v/>
      </c>
    </row>
    <row r="577" spans="1:62" ht="15" customHeight="1" x14ac:dyDescent="0.25">
      <c r="A577" t="str">
        <f>"1366484198"</f>
        <v>1366484198</v>
      </c>
      <c r="B577" t="str">
        <f>"03355382"</f>
        <v>03355382</v>
      </c>
      <c r="C577" t="s">
        <v>5130</v>
      </c>
      <c r="D577" t="s">
        <v>5131</v>
      </c>
      <c r="E577" t="s">
        <v>5132</v>
      </c>
      <c r="L577" t="s">
        <v>138</v>
      </c>
      <c r="M577" t="s">
        <v>108</v>
      </c>
      <c r="R577" t="s">
        <v>5130</v>
      </c>
      <c r="W577" t="s">
        <v>5132</v>
      </c>
      <c r="X577" t="s">
        <v>5133</v>
      </c>
      <c r="Y577" t="s">
        <v>5134</v>
      </c>
      <c r="Z577" t="s">
        <v>182</v>
      </c>
      <c r="AA577" t="str">
        <f>"18834-6603"</f>
        <v>18834-6603</v>
      </c>
      <c r="AB577" t="s">
        <v>123</v>
      </c>
      <c r="AC577" t="s">
        <v>113</v>
      </c>
      <c r="AD577" t="s">
        <v>108</v>
      </c>
      <c r="AE577" t="s">
        <v>114</v>
      </c>
      <c r="AF577" t="s">
        <v>115</v>
      </c>
      <c r="AG577" t="s">
        <v>116</v>
      </c>
      <c r="AK577" t="str">
        <f t="shared" si="55"/>
        <v/>
      </c>
      <c r="AL577" t="s">
        <v>5131</v>
      </c>
      <c r="AM577">
        <v>0</v>
      </c>
      <c r="AN577">
        <v>0</v>
      </c>
      <c r="AO577">
        <v>0</v>
      </c>
      <c r="AP577">
        <v>0</v>
      </c>
      <c r="AQ577">
        <v>0</v>
      </c>
      <c r="AR577">
        <v>0</v>
      </c>
      <c r="AS577">
        <v>0</v>
      </c>
      <c r="AT577">
        <v>0</v>
      </c>
      <c r="AU577">
        <v>0</v>
      </c>
      <c r="AV577">
        <v>0</v>
      </c>
      <c r="AW577">
        <v>0</v>
      </c>
      <c r="AX577" s="24" t="str">
        <f t="shared" si="60"/>
        <v/>
      </c>
      <c r="AY577" s="24">
        <f t="shared" si="60"/>
        <v>1</v>
      </c>
      <c r="AZ577" s="24" t="str">
        <f t="shared" si="61"/>
        <v/>
      </c>
      <c r="BA577" s="24" t="str">
        <f t="shared" si="61"/>
        <v/>
      </c>
      <c r="BB577" s="24" t="str">
        <f t="shared" si="61"/>
        <v/>
      </c>
      <c r="BC577" s="24" t="str">
        <f t="shared" si="61"/>
        <v/>
      </c>
      <c r="BD577" s="24" t="str">
        <f t="shared" si="61"/>
        <v/>
      </c>
      <c r="BE577" s="24" t="str">
        <f t="shared" si="61"/>
        <v/>
      </c>
      <c r="BF577" s="24" t="str">
        <f t="shared" si="61"/>
        <v/>
      </c>
      <c r="BG577" s="24" t="str">
        <f t="shared" si="61"/>
        <v/>
      </c>
      <c r="BH577" s="24" t="str">
        <f t="shared" si="56"/>
        <v/>
      </c>
      <c r="BI577" s="24">
        <f t="shared" si="61"/>
        <v>1</v>
      </c>
      <c r="BJ577" s="24" t="str">
        <f t="shared" si="58"/>
        <v/>
      </c>
    </row>
    <row r="578" spans="1:62" ht="15" customHeight="1" x14ac:dyDescent="0.25">
      <c r="A578" t="str">
        <f>"1790712925"</f>
        <v>1790712925</v>
      </c>
      <c r="B578" t="str">
        <f>"02824775"</f>
        <v>02824775</v>
      </c>
      <c r="C578" t="s">
        <v>2702</v>
      </c>
      <c r="D578" t="s">
        <v>2703</v>
      </c>
      <c r="E578" t="s">
        <v>2704</v>
      </c>
      <c r="L578" t="s">
        <v>442</v>
      </c>
      <c r="M578" t="s">
        <v>108</v>
      </c>
      <c r="R578" t="s">
        <v>2702</v>
      </c>
      <c r="W578" t="s">
        <v>2704</v>
      </c>
      <c r="X578" t="s">
        <v>121</v>
      </c>
      <c r="Y578" t="s">
        <v>122</v>
      </c>
      <c r="Z578" t="s">
        <v>111</v>
      </c>
      <c r="AA578" t="str">
        <f>"13815-1019"</f>
        <v>13815-1019</v>
      </c>
      <c r="AB578" t="s">
        <v>123</v>
      </c>
      <c r="AC578" t="s">
        <v>113</v>
      </c>
      <c r="AD578" t="s">
        <v>108</v>
      </c>
      <c r="AE578" t="s">
        <v>114</v>
      </c>
      <c r="AF578" t="s">
        <v>124</v>
      </c>
      <c r="AG578" t="s">
        <v>116</v>
      </c>
      <c r="AK578" t="str">
        <f t="shared" ref="AK578:AK641" si="62">IF(AM578="No",C578,"")</f>
        <v/>
      </c>
      <c r="AL578" t="s">
        <v>2703</v>
      </c>
      <c r="AM578">
        <v>0</v>
      </c>
      <c r="AN578">
        <v>0</v>
      </c>
      <c r="AO578">
        <v>0</v>
      </c>
      <c r="AP578">
        <v>0</v>
      </c>
      <c r="AQ578">
        <v>0</v>
      </c>
      <c r="AR578">
        <v>0</v>
      </c>
      <c r="AS578">
        <v>0</v>
      </c>
      <c r="AT578">
        <v>0</v>
      </c>
      <c r="AU578">
        <v>0</v>
      </c>
      <c r="AV578">
        <v>0</v>
      </c>
      <c r="AW578">
        <v>0</v>
      </c>
      <c r="AX578" s="24">
        <f t="shared" si="60"/>
        <v>1</v>
      </c>
      <c r="AY578" s="24" t="str">
        <f t="shared" si="60"/>
        <v/>
      </c>
      <c r="AZ578" s="24" t="str">
        <f t="shared" si="61"/>
        <v/>
      </c>
      <c r="BA578" s="24" t="str">
        <f t="shared" si="61"/>
        <v/>
      </c>
      <c r="BB578" s="24" t="str">
        <f t="shared" si="61"/>
        <v/>
      </c>
      <c r="BC578" s="24" t="str">
        <f t="shared" si="61"/>
        <v/>
      </c>
      <c r="BD578" s="24" t="str">
        <f t="shared" si="61"/>
        <v/>
      </c>
      <c r="BE578" s="24" t="str">
        <f t="shared" si="61"/>
        <v/>
      </c>
      <c r="BF578" s="24" t="str">
        <f t="shared" si="61"/>
        <v/>
      </c>
      <c r="BG578" s="24" t="str">
        <f t="shared" si="61"/>
        <v/>
      </c>
      <c r="BH578" s="24" t="str">
        <f t="shared" si="56"/>
        <v/>
      </c>
      <c r="BI578" s="24" t="str">
        <f t="shared" si="61"/>
        <v/>
      </c>
      <c r="BJ578" s="24" t="str">
        <f t="shared" si="58"/>
        <v/>
      </c>
    </row>
    <row r="579" spans="1:62" ht="15" customHeight="1" x14ac:dyDescent="0.25">
      <c r="A579" t="str">
        <f>"1619959343"</f>
        <v>1619959343</v>
      </c>
      <c r="B579" t="str">
        <f>"02597780"</f>
        <v>02597780</v>
      </c>
      <c r="C579" t="s">
        <v>6550</v>
      </c>
      <c r="D579" t="s">
        <v>6551</v>
      </c>
      <c r="E579" t="s">
        <v>6552</v>
      </c>
      <c r="G579" t="s">
        <v>1352</v>
      </c>
      <c r="H579" t="s">
        <v>1683</v>
      </c>
      <c r="J579" t="s">
        <v>1354</v>
      </c>
      <c r="L579" t="s">
        <v>809</v>
      </c>
      <c r="M579" t="s">
        <v>108</v>
      </c>
      <c r="R579" t="s">
        <v>6553</v>
      </c>
      <c r="W579" t="s">
        <v>6552</v>
      </c>
      <c r="X579" t="s">
        <v>3158</v>
      </c>
      <c r="Y579" t="s">
        <v>293</v>
      </c>
      <c r="Z579" t="s">
        <v>111</v>
      </c>
      <c r="AA579" t="str">
        <f>"14850-1055"</f>
        <v>14850-1055</v>
      </c>
      <c r="AB579" t="s">
        <v>123</v>
      </c>
      <c r="AC579" t="s">
        <v>113</v>
      </c>
      <c r="AD579" t="s">
        <v>108</v>
      </c>
      <c r="AE579" t="s">
        <v>114</v>
      </c>
      <c r="AF579" t="s">
        <v>142</v>
      </c>
      <c r="AG579" t="s">
        <v>116</v>
      </c>
      <c r="AK579" t="str">
        <f t="shared" si="62"/>
        <v>Hirsch Kelly</v>
      </c>
      <c r="AL579" t="s">
        <v>6551</v>
      </c>
      <c r="AM579" t="s">
        <v>108</v>
      </c>
      <c r="AN579" t="s">
        <v>108</v>
      </c>
      <c r="AO579" t="s">
        <v>108</v>
      </c>
      <c r="AP579" t="s">
        <v>108</v>
      </c>
      <c r="AQ579" t="s">
        <v>108</v>
      </c>
      <c r="AR579" t="s">
        <v>108</v>
      </c>
      <c r="AS579" t="s">
        <v>108</v>
      </c>
      <c r="AT579" t="s">
        <v>108</v>
      </c>
      <c r="AU579">
        <v>0</v>
      </c>
      <c r="AV579" t="s">
        <v>108</v>
      </c>
      <c r="AW579" t="s">
        <v>108</v>
      </c>
      <c r="AX579" s="24" t="str">
        <f t="shared" si="60"/>
        <v/>
      </c>
      <c r="AY579" s="24">
        <f t="shared" si="60"/>
        <v>1</v>
      </c>
      <c r="AZ579" s="24" t="str">
        <f t="shared" si="61"/>
        <v/>
      </c>
      <c r="BA579" s="24" t="str">
        <f t="shared" si="61"/>
        <v/>
      </c>
      <c r="BB579" s="24" t="str">
        <f t="shared" si="61"/>
        <v/>
      </c>
      <c r="BC579" s="24">
        <f t="shared" si="61"/>
        <v>1</v>
      </c>
      <c r="BD579" s="24" t="str">
        <f t="shared" si="61"/>
        <v/>
      </c>
      <c r="BE579" s="24" t="str">
        <f t="shared" si="61"/>
        <v/>
      </c>
      <c r="BF579" s="24" t="str">
        <f t="shared" si="61"/>
        <v/>
      </c>
      <c r="BG579" s="24" t="str">
        <f t="shared" si="61"/>
        <v/>
      </c>
      <c r="BH579" s="24" t="str">
        <f t="shared" ref="BH579:BH642" si="63">IF(ISERROR(FIND("CBO",$L579,1)),"",1)</f>
        <v/>
      </c>
      <c r="BI579" s="24" t="str">
        <f t="shared" si="61"/>
        <v/>
      </c>
      <c r="BJ579" s="24" t="str">
        <f t="shared" si="58"/>
        <v/>
      </c>
    </row>
    <row r="580" spans="1:62" ht="15" customHeight="1" x14ac:dyDescent="0.25">
      <c r="A580" t="str">
        <f>"1912974619"</f>
        <v>1912974619</v>
      </c>
      <c r="B580" t="str">
        <f>"01255632"</f>
        <v>01255632</v>
      </c>
      <c r="C580" t="s">
        <v>4325</v>
      </c>
      <c r="D580" t="s">
        <v>4326</v>
      </c>
      <c r="E580" t="s">
        <v>4325</v>
      </c>
      <c r="G580" t="s">
        <v>699</v>
      </c>
      <c r="H580" t="s">
        <v>700</v>
      </c>
      <c r="J580" t="s">
        <v>701</v>
      </c>
      <c r="L580" t="s">
        <v>120</v>
      </c>
      <c r="M580" t="s">
        <v>108</v>
      </c>
      <c r="R580" t="s">
        <v>4327</v>
      </c>
      <c r="W580" t="s">
        <v>4325</v>
      </c>
      <c r="Y580" t="s">
        <v>148</v>
      </c>
      <c r="Z580" t="s">
        <v>111</v>
      </c>
      <c r="AA580" t="str">
        <f>"14845-8533"</f>
        <v>14845-8533</v>
      </c>
      <c r="AB580" t="s">
        <v>123</v>
      </c>
      <c r="AC580" t="s">
        <v>113</v>
      </c>
      <c r="AD580" t="s">
        <v>108</v>
      </c>
      <c r="AE580" t="s">
        <v>114</v>
      </c>
      <c r="AF580" t="s">
        <v>149</v>
      </c>
      <c r="AG580" t="s">
        <v>116</v>
      </c>
      <c r="AK580" t="str">
        <f t="shared" si="62"/>
        <v/>
      </c>
      <c r="AL580" t="s">
        <v>4326</v>
      </c>
      <c r="AM580">
        <v>1</v>
      </c>
      <c r="AN580">
        <v>1</v>
      </c>
      <c r="AO580">
        <v>0</v>
      </c>
      <c r="AP580">
        <v>0</v>
      </c>
      <c r="AQ580">
        <v>0</v>
      </c>
      <c r="AR580">
        <v>0</v>
      </c>
      <c r="AS580">
        <v>0</v>
      </c>
      <c r="AT580">
        <v>1</v>
      </c>
      <c r="AU580">
        <v>1</v>
      </c>
      <c r="AV580">
        <v>1</v>
      </c>
      <c r="AW580">
        <v>0</v>
      </c>
      <c r="AX580" s="24">
        <f t="shared" si="60"/>
        <v>1</v>
      </c>
      <c r="AY580" s="24" t="str">
        <f t="shared" si="60"/>
        <v/>
      </c>
      <c r="AZ580" s="24" t="str">
        <f t="shared" si="61"/>
        <v/>
      </c>
      <c r="BA580" s="24" t="str">
        <f t="shared" si="61"/>
        <v/>
      </c>
      <c r="BB580" s="24" t="str">
        <f t="shared" si="61"/>
        <v/>
      </c>
      <c r="BC580" s="24" t="str">
        <f t="shared" si="61"/>
        <v/>
      </c>
      <c r="BD580" s="24" t="str">
        <f t="shared" si="61"/>
        <v/>
      </c>
      <c r="BE580" s="24" t="str">
        <f t="shared" si="61"/>
        <v/>
      </c>
      <c r="BF580" s="24" t="str">
        <f t="shared" si="61"/>
        <v/>
      </c>
      <c r="BG580" s="24" t="str">
        <f t="shared" si="61"/>
        <v/>
      </c>
      <c r="BH580" s="24" t="str">
        <f t="shared" si="63"/>
        <v/>
      </c>
      <c r="BI580" s="24">
        <f t="shared" si="61"/>
        <v>1</v>
      </c>
      <c r="BJ580" s="24" t="str">
        <f t="shared" si="58"/>
        <v/>
      </c>
    </row>
    <row r="581" spans="1:62" ht="15" customHeight="1" x14ac:dyDescent="0.25">
      <c r="A581" t="str">
        <f>"1891124814"</f>
        <v>1891124814</v>
      </c>
      <c r="B581" t="str">
        <f>"03748583"</f>
        <v>03748583</v>
      </c>
      <c r="C581" t="s">
        <v>5383</v>
      </c>
      <c r="D581" t="s">
        <v>5384</v>
      </c>
      <c r="E581" t="s">
        <v>5385</v>
      </c>
      <c r="G581" t="s">
        <v>5383</v>
      </c>
      <c r="H581" t="s">
        <v>3687</v>
      </c>
      <c r="J581" t="s">
        <v>5386</v>
      </c>
      <c r="L581" t="s">
        <v>138</v>
      </c>
      <c r="M581" t="s">
        <v>108</v>
      </c>
      <c r="R581" t="s">
        <v>5387</v>
      </c>
      <c r="W581" t="s">
        <v>5385</v>
      </c>
      <c r="X581" t="s">
        <v>4040</v>
      </c>
      <c r="Y581" t="s">
        <v>966</v>
      </c>
      <c r="Z581" t="s">
        <v>111</v>
      </c>
      <c r="AA581" t="str">
        <f>"13850-3556"</f>
        <v>13850-3556</v>
      </c>
      <c r="AB581" t="s">
        <v>123</v>
      </c>
      <c r="AC581" t="s">
        <v>113</v>
      </c>
      <c r="AD581" t="s">
        <v>108</v>
      </c>
      <c r="AE581" t="s">
        <v>114</v>
      </c>
      <c r="AF581" t="s">
        <v>115</v>
      </c>
      <c r="AG581" t="s">
        <v>116</v>
      </c>
      <c r="AK581" t="str">
        <f t="shared" si="62"/>
        <v/>
      </c>
      <c r="AL581" t="s">
        <v>5384</v>
      </c>
      <c r="AM581">
        <v>1</v>
      </c>
      <c r="AN581">
        <v>1</v>
      </c>
      <c r="AO581">
        <v>0</v>
      </c>
      <c r="AP581">
        <v>1</v>
      </c>
      <c r="AQ581">
        <v>1</v>
      </c>
      <c r="AR581">
        <v>0</v>
      </c>
      <c r="AS581">
        <v>0</v>
      </c>
      <c r="AT581">
        <v>0</v>
      </c>
      <c r="AU581">
        <v>0</v>
      </c>
      <c r="AV581">
        <v>0</v>
      </c>
      <c r="AW581">
        <v>0</v>
      </c>
      <c r="AX581" s="24" t="str">
        <f t="shared" si="60"/>
        <v/>
      </c>
      <c r="AY581" s="24">
        <f t="shared" si="60"/>
        <v>1</v>
      </c>
      <c r="AZ581" s="24" t="str">
        <f t="shared" si="61"/>
        <v/>
      </c>
      <c r="BA581" s="24" t="str">
        <f t="shared" si="61"/>
        <v/>
      </c>
      <c r="BB581" s="24" t="str">
        <f t="shared" si="61"/>
        <v/>
      </c>
      <c r="BC581" s="24" t="str">
        <f t="shared" si="61"/>
        <v/>
      </c>
      <c r="BD581" s="24" t="str">
        <f t="shared" si="61"/>
        <v/>
      </c>
      <c r="BE581" s="24" t="str">
        <f t="shared" si="61"/>
        <v/>
      </c>
      <c r="BF581" s="24" t="str">
        <f t="shared" si="61"/>
        <v/>
      </c>
      <c r="BG581" s="24" t="str">
        <f t="shared" si="61"/>
        <v/>
      </c>
      <c r="BH581" s="24" t="str">
        <f t="shared" si="63"/>
        <v/>
      </c>
      <c r="BI581" s="24">
        <f t="shared" si="61"/>
        <v>1</v>
      </c>
      <c r="BJ581" s="24" t="str">
        <f t="shared" si="58"/>
        <v/>
      </c>
    </row>
    <row r="582" spans="1:62" ht="15" customHeight="1" x14ac:dyDescent="0.25">
      <c r="A582" t="str">
        <f>"1114930021"</f>
        <v>1114930021</v>
      </c>
      <c r="B582" t="str">
        <f>"04197320"</f>
        <v>04197320</v>
      </c>
      <c r="C582" t="s">
        <v>6827</v>
      </c>
      <c r="D582" t="s">
        <v>7112</v>
      </c>
      <c r="E582" t="s">
        <v>7113</v>
      </c>
      <c r="G582" t="s">
        <v>815</v>
      </c>
      <c r="H582" t="s">
        <v>816</v>
      </c>
      <c r="J582" t="s">
        <v>817</v>
      </c>
      <c r="L582" t="s">
        <v>138</v>
      </c>
      <c r="M582" t="s">
        <v>108</v>
      </c>
      <c r="R582" t="s">
        <v>6970</v>
      </c>
      <c r="W582" t="s">
        <v>6827</v>
      </c>
      <c r="X582" t="s">
        <v>6971</v>
      </c>
      <c r="Y582" t="s">
        <v>110</v>
      </c>
      <c r="Z582" t="s">
        <v>111</v>
      </c>
      <c r="AA582" t="str">
        <f>"13905-4177"</f>
        <v>13905-4177</v>
      </c>
      <c r="AB582" t="s">
        <v>123</v>
      </c>
      <c r="AC582" t="s">
        <v>113</v>
      </c>
      <c r="AD582" t="s">
        <v>108</v>
      </c>
      <c r="AE582" t="s">
        <v>114</v>
      </c>
      <c r="AF582" t="s">
        <v>115</v>
      </c>
      <c r="AG582" t="s">
        <v>116</v>
      </c>
      <c r="AK582" t="str">
        <f t="shared" si="62"/>
        <v>HOCHBERG KRISTIAN OWEN</v>
      </c>
      <c r="AL582" t="s">
        <v>7112</v>
      </c>
      <c r="AM582" t="s">
        <v>108</v>
      </c>
      <c r="AN582" t="s">
        <v>108</v>
      </c>
      <c r="AO582" t="s">
        <v>108</v>
      </c>
      <c r="AP582" t="s">
        <v>108</v>
      </c>
      <c r="AQ582" t="s">
        <v>108</v>
      </c>
      <c r="AR582" t="s">
        <v>108</v>
      </c>
      <c r="AS582" t="s">
        <v>108</v>
      </c>
      <c r="AT582" t="s">
        <v>108</v>
      </c>
      <c r="AU582">
        <v>0</v>
      </c>
      <c r="AV582" t="s">
        <v>108</v>
      </c>
      <c r="AW582" t="s">
        <v>108</v>
      </c>
      <c r="AX582" s="24" t="str">
        <f t="shared" si="60"/>
        <v/>
      </c>
      <c r="AY582" s="24">
        <f t="shared" si="60"/>
        <v>1</v>
      </c>
      <c r="AZ582" s="24" t="str">
        <f t="shared" si="61"/>
        <v/>
      </c>
      <c r="BA582" s="24" t="str">
        <f t="shared" si="61"/>
        <v/>
      </c>
      <c r="BB582" s="24" t="str">
        <f t="shared" si="61"/>
        <v/>
      </c>
      <c r="BC582" s="24" t="str">
        <f t="shared" si="61"/>
        <v/>
      </c>
      <c r="BD582" s="24" t="str">
        <f t="shared" si="61"/>
        <v/>
      </c>
      <c r="BE582" s="24" t="str">
        <f t="shared" si="61"/>
        <v/>
      </c>
      <c r="BF582" s="24" t="str">
        <f t="shared" si="61"/>
        <v/>
      </c>
      <c r="BG582" s="24" t="str">
        <f t="shared" si="61"/>
        <v/>
      </c>
      <c r="BH582" s="24" t="str">
        <f t="shared" si="63"/>
        <v/>
      </c>
      <c r="BI582" s="24">
        <f t="shared" si="61"/>
        <v>1</v>
      </c>
      <c r="BJ582" s="24" t="str">
        <f t="shared" si="58"/>
        <v/>
      </c>
    </row>
    <row r="583" spans="1:62" ht="15" customHeight="1" x14ac:dyDescent="0.25">
      <c r="A583" t="str">
        <f>"1942270970"</f>
        <v>1942270970</v>
      </c>
      <c r="B583" t="str">
        <f>"03035334"</f>
        <v>03035334</v>
      </c>
      <c r="C583" t="s">
        <v>4328</v>
      </c>
      <c r="D583" t="s">
        <v>4329</v>
      </c>
      <c r="E583" t="s">
        <v>4328</v>
      </c>
      <c r="G583" t="s">
        <v>699</v>
      </c>
      <c r="H583" t="s">
        <v>700</v>
      </c>
      <c r="J583" t="s">
        <v>701</v>
      </c>
      <c r="L583" t="s">
        <v>120</v>
      </c>
      <c r="M583" t="s">
        <v>108</v>
      </c>
      <c r="R583" t="s">
        <v>4330</v>
      </c>
      <c r="W583" t="s">
        <v>4328</v>
      </c>
      <c r="X583" t="s">
        <v>4029</v>
      </c>
      <c r="Y583" t="s">
        <v>927</v>
      </c>
      <c r="Z583" t="s">
        <v>111</v>
      </c>
      <c r="AA583" t="str">
        <f>"14904-2951"</f>
        <v>14904-2951</v>
      </c>
      <c r="AB583" t="s">
        <v>123</v>
      </c>
      <c r="AC583" t="s">
        <v>113</v>
      </c>
      <c r="AD583" t="s">
        <v>108</v>
      </c>
      <c r="AE583" t="s">
        <v>114</v>
      </c>
      <c r="AF583" t="s">
        <v>149</v>
      </c>
      <c r="AG583" t="s">
        <v>116</v>
      </c>
      <c r="AK583" t="str">
        <f t="shared" si="62"/>
        <v/>
      </c>
      <c r="AL583" t="s">
        <v>4329</v>
      </c>
      <c r="AM583">
        <v>1</v>
      </c>
      <c r="AN583">
        <v>1</v>
      </c>
      <c r="AO583">
        <v>0</v>
      </c>
      <c r="AP583">
        <v>0</v>
      </c>
      <c r="AQ583">
        <v>0</v>
      </c>
      <c r="AR583">
        <v>0</v>
      </c>
      <c r="AS583">
        <v>0</v>
      </c>
      <c r="AT583">
        <v>1</v>
      </c>
      <c r="AU583">
        <v>1</v>
      </c>
      <c r="AV583">
        <v>1</v>
      </c>
      <c r="AW583">
        <v>0</v>
      </c>
      <c r="AX583" s="24">
        <f t="shared" si="60"/>
        <v>1</v>
      </c>
      <c r="AY583" s="24" t="str">
        <f t="shared" si="60"/>
        <v/>
      </c>
      <c r="AZ583" s="24" t="str">
        <f t="shared" si="61"/>
        <v/>
      </c>
      <c r="BA583" s="24" t="str">
        <f t="shared" si="61"/>
        <v/>
      </c>
      <c r="BB583" s="24" t="str">
        <f t="shared" si="61"/>
        <v/>
      </c>
      <c r="BC583" s="24" t="str">
        <f t="shared" si="61"/>
        <v/>
      </c>
      <c r="BD583" s="24" t="str">
        <f t="shared" si="61"/>
        <v/>
      </c>
      <c r="BE583" s="24" t="str">
        <f t="shared" si="61"/>
        <v/>
      </c>
      <c r="BF583" s="24" t="str">
        <f t="shared" si="61"/>
        <v/>
      </c>
      <c r="BG583" s="24" t="str">
        <f t="shared" si="61"/>
        <v/>
      </c>
      <c r="BH583" s="24" t="str">
        <f t="shared" si="63"/>
        <v/>
      </c>
      <c r="BI583" s="24">
        <f t="shared" si="61"/>
        <v>1</v>
      </c>
      <c r="BJ583" s="24" t="str">
        <f t="shared" si="58"/>
        <v/>
      </c>
    </row>
    <row r="584" spans="1:62" ht="15" customHeight="1" x14ac:dyDescent="0.25">
      <c r="A584" t="str">
        <f>"1588734024"</f>
        <v>1588734024</v>
      </c>
      <c r="B584" t="str">
        <f>"01965613"</f>
        <v>01965613</v>
      </c>
      <c r="C584" t="s">
        <v>1847</v>
      </c>
      <c r="D584" t="s">
        <v>1848</v>
      </c>
      <c r="E584" t="s">
        <v>1849</v>
      </c>
      <c r="G584" t="s">
        <v>815</v>
      </c>
      <c r="H584" t="s">
        <v>816</v>
      </c>
      <c r="J584" t="s">
        <v>817</v>
      </c>
      <c r="L584" t="s">
        <v>6867</v>
      </c>
      <c r="M584" t="s">
        <v>108</v>
      </c>
      <c r="R584" t="s">
        <v>1847</v>
      </c>
      <c r="W584" t="s">
        <v>1850</v>
      </c>
      <c r="X584" t="s">
        <v>1851</v>
      </c>
      <c r="Y584" t="s">
        <v>281</v>
      </c>
      <c r="Z584" t="s">
        <v>111</v>
      </c>
      <c r="AA584" t="str">
        <f>"13827-0000"</f>
        <v>13827-0000</v>
      </c>
      <c r="AB584" t="s">
        <v>123</v>
      </c>
      <c r="AC584" t="s">
        <v>113</v>
      </c>
      <c r="AD584" t="s">
        <v>108</v>
      </c>
      <c r="AE584" t="s">
        <v>114</v>
      </c>
      <c r="AF584" t="s">
        <v>115</v>
      </c>
      <c r="AG584" t="s">
        <v>116</v>
      </c>
      <c r="AK584" t="str">
        <f t="shared" si="62"/>
        <v/>
      </c>
      <c r="AL584" t="s">
        <v>1848</v>
      </c>
      <c r="AM584">
        <v>0</v>
      </c>
      <c r="AN584">
        <v>0</v>
      </c>
      <c r="AO584">
        <v>0</v>
      </c>
      <c r="AP584">
        <v>0</v>
      </c>
      <c r="AQ584">
        <v>0</v>
      </c>
      <c r="AR584">
        <v>0</v>
      </c>
      <c r="AS584">
        <v>0</v>
      </c>
      <c r="AT584">
        <v>0</v>
      </c>
      <c r="AU584">
        <v>0</v>
      </c>
      <c r="AV584">
        <v>0</v>
      </c>
      <c r="AW584">
        <v>0</v>
      </c>
      <c r="AX584" s="24">
        <f t="shared" si="60"/>
        <v>1</v>
      </c>
      <c r="AY584" s="24">
        <f t="shared" si="60"/>
        <v>1</v>
      </c>
      <c r="AZ584" s="24" t="str">
        <f t="shared" si="61"/>
        <v/>
      </c>
      <c r="BA584" s="24" t="str">
        <f t="shared" si="61"/>
        <v/>
      </c>
      <c r="BB584" s="24" t="str">
        <f t="shared" si="61"/>
        <v/>
      </c>
      <c r="BC584" s="24" t="str">
        <f t="shared" si="61"/>
        <v/>
      </c>
      <c r="BD584" s="24" t="str">
        <f t="shared" si="61"/>
        <v/>
      </c>
      <c r="BE584" s="24" t="str">
        <f t="shared" si="61"/>
        <v/>
      </c>
      <c r="BF584" s="24" t="str">
        <f t="shared" si="61"/>
        <v/>
      </c>
      <c r="BG584" s="24" t="str">
        <f t="shared" si="61"/>
        <v/>
      </c>
      <c r="BH584" s="24" t="str">
        <f t="shared" si="63"/>
        <v/>
      </c>
      <c r="BI584" s="24">
        <f t="shared" si="61"/>
        <v>1</v>
      </c>
      <c r="BJ584" s="24" t="str">
        <f t="shared" si="58"/>
        <v/>
      </c>
    </row>
    <row r="585" spans="1:62" ht="15" customHeight="1" x14ac:dyDescent="0.25">
      <c r="A585" t="str">
        <f>"1134457583"</f>
        <v>1134457583</v>
      </c>
      <c r="B585" t="str">
        <f>"03215354"</f>
        <v>03215354</v>
      </c>
      <c r="C585" t="s">
        <v>1054</v>
      </c>
      <c r="D585" t="s">
        <v>1055</v>
      </c>
      <c r="E585" t="s">
        <v>1056</v>
      </c>
      <c r="G585" t="s">
        <v>815</v>
      </c>
      <c r="H585" t="s">
        <v>816</v>
      </c>
      <c r="J585" t="s">
        <v>817</v>
      </c>
      <c r="L585" t="s">
        <v>120</v>
      </c>
      <c r="M585" t="s">
        <v>139</v>
      </c>
      <c r="R585" t="s">
        <v>1054</v>
      </c>
      <c r="W585" t="s">
        <v>1057</v>
      </c>
      <c r="X585" t="s">
        <v>1058</v>
      </c>
      <c r="Y585" t="s">
        <v>110</v>
      </c>
      <c r="Z585" t="s">
        <v>111</v>
      </c>
      <c r="AA585" t="str">
        <f>"13905-4178"</f>
        <v>13905-4178</v>
      </c>
      <c r="AB585" t="s">
        <v>123</v>
      </c>
      <c r="AC585" t="s">
        <v>113</v>
      </c>
      <c r="AD585" t="s">
        <v>108</v>
      </c>
      <c r="AE585" t="s">
        <v>114</v>
      </c>
      <c r="AF585" t="s">
        <v>115</v>
      </c>
      <c r="AG585" t="s">
        <v>116</v>
      </c>
      <c r="AK585" t="str">
        <f t="shared" si="62"/>
        <v/>
      </c>
      <c r="AL585" t="s">
        <v>1055</v>
      </c>
      <c r="AM585">
        <v>0</v>
      </c>
      <c r="AN585">
        <v>0</v>
      </c>
      <c r="AO585">
        <v>0</v>
      </c>
      <c r="AP585">
        <v>0</v>
      </c>
      <c r="AQ585">
        <v>0</v>
      </c>
      <c r="AR585">
        <v>0</v>
      </c>
      <c r="AS585">
        <v>0</v>
      </c>
      <c r="AT585">
        <v>0</v>
      </c>
      <c r="AU585">
        <v>0</v>
      </c>
      <c r="AV585">
        <v>0</v>
      </c>
      <c r="AW585">
        <v>0</v>
      </c>
      <c r="AX585" s="24">
        <f t="shared" si="60"/>
        <v>1</v>
      </c>
      <c r="AY585" s="24" t="str">
        <f t="shared" si="60"/>
        <v/>
      </c>
      <c r="AZ585" s="24" t="str">
        <f t="shared" si="61"/>
        <v/>
      </c>
      <c r="BA585" s="24" t="str">
        <f t="shared" si="61"/>
        <v/>
      </c>
      <c r="BB585" s="24" t="str">
        <f t="shared" si="61"/>
        <v/>
      </c>
      <c r="BC585" s="24" t="str">
        <f t="shared" si="61"/>
        <v/>
      </c>
      <c r="BD585" s="24" t="str">
        <f t="shared" si="61"/>
        <v/>
      </c>
      <c r="BE585" s="24" t="str">
        <f t="shared" si="61"/>
        <v/>
      </c>
      <c r="BF585" s="24" t="str">
        <f t="shared" si="61"/>
        <v/>
      </c>
      <c r="BG585" s="24" t="str">
        <f t="shared" si="61"/>
        <v/>
      </c>
      <c r="BH585" s="24" t="str">
        <f t="shared" si="63"/>
        <v/>
      </c>
      <c r="BI585" s="24">
        <f t="shared" si="61"/>
        <v>1</v>
      </c>
      <c r="BJ585" s="24" t="str">
        <f t="shared" si="58"/>
        <v/>
      </c>
    </row>
    <row r="586" spans="1:62" ht="15" customHeight="1" x14ac:dyDescent="0.25">
      <c r="A586" t="str">
        <f>"1417999376"</f>
        <v>1417999376</v>
      </c>
      <c r="B586" t="str">
        <f>"01195899"</f>
        <v>01195899</v>
      </c>
      <c r="C586" t="s">
        <v>1297</v>
      </c>
      <c r="D586" t="s">
        <v>1298</v>
      </c>
      <c r="E586" t="s">
        <v>1299</v>
      </c>
      <c r="G586" t="s">
        <v>1300</v>
      </c>
      <c r="H586" t="s">
        <v>1301</v>
      </c>
      <c r="L586" t="s">
        <v>138</v>
      </c>
      <c r="M586" t="s">
        <v>108</v>
      </c>
      <c r="R586" t="s">
        <v>1297</v>
      </c>
      <c r="W586" t="s">
        <v>1299</v>
      </c>
      <c r="X586" t="s">
        <v>238</v>
      </c>
      <c r="Y586" t="s">
        <v>239</v>
      </c>
      <c r="Z586" t="s">
        <v>111</v>
      </c>
      <c r="AA586" t="str">
        <f>"13045-1206"</f>
        <v>13045-1206</v>
      </c>
      <c r="AB586" t="s">
        <v>123</v>
      </c>
      <c r="AC586" t="s">
        <v>113</v>
      </c>
      <c r="AD586" t="s">
        <v>108</v>
      </c>
      <c r="AE586" t="s">
        <v>114</v>
      </c>
      <c r="AF586" t="s">
        <v>142</v>
      </c>
      <c r="AG586" t="s">
        <v>116</v>
      </c>
      <c r="AK586" t="str">
        <f t="shared" si="62"/>
        <v/>
      </c>
      <c r="AL586" t="s">
        <v>1298</v>
      </c>
      <c r="AM586">
        <v>1</v>
      </c>
      <c r="AN586">
        <v>1</v>
      </c>
      <c r="AO586">
        <v>0</v>
      </c>
      <c r="AP586">
        <v>0</v>
      </c>
      <c r="AQ586">
        <v>1</v>
      </c>
      <c r="AR586">
        <v>0</v>
      </c>
      <c r="AS586">
        <v>0</v>
      </c>
      <c r="AT586">
        <v>0</v>
      </c>
      <c r="AU586">
        <v>0</v>
      </c>
      <c r="AV586">
        <v>0</v>
      </c>
      <c r="AW586">
        <v>0</v>
      </c>
      <c r="AX586" s="24" t="str">
        <f t="shared" si="60"/>
        <v/>
      </c>
      <c r="AY586" s="24">
        <f t="shared" si="60"/>
        <v>1</v>
      </c>
      <c r="AZ586" s="24" t="str">
        <f t="shared" si="61"/>
        <v/>
      </c>
      <c r="BA586" s="24" t="str">
        <f t="shared" si="61"/>
        <v/>
      </c>
      <c r="BB586" s="24" t="str">
        <f t="shared" si="61"/>
        <v/>
      </c>
      <c r="BC586" s="24" t="str">
        <f t="shared" si="61"/>
        <v/>
      </c>
      <c r="BD586" s="24" t="str">
        <f t="shared" si="61"/>
        <v/>
      </c>
      <c r="BE586" s="24" t="str">
        <f t="shared" si="61"/>
        <v/>
      </c>
      <c r="BF586" s="24" t="str">
        <f t="shared" si="61"/>
        <v/>
      </c>
      <c r="BG586" s="24" t="str">
        <f t="shared" si="61"/>
        <v/>
      </c>
      <c r="BH586" s="24" t="str">
        <f t="shared" si="63"/>
        <v/>
      </c>
      <c r="BI586" s="24">
        <f t="shared" si="61"/>
        <v>1</v>
      </c>
      <c r="BJ586" s="24" t="str">
        <f t="shared" si="58"/>
        <v/>
      </c>
    </row>
    <row r="587" spans="1:62" ht="15" customHeight="1" x14ac:dyDescent="0.25">
      <c r="A587" t="str">
        <f>"1295755478"</f>
        <v>1295755478</v>
      </c>
      <c r="B587" t="str">
        <f>"01357340"</f>
        <v>01357340</v>
      </c>
      <c r="C587" t="s">
        <v>6838</v>
      </c>
      <c r="D587" t="s">
        <v>7127</v>
      </c>
      <c r="E587" t="s">
        <v>7128</v>
      </c>
      <c r="G587" t="s">
        <v>7184</v>
      </c>
      <c r="H587" t="s">
        <v>2379</v>
      </c>
      <c r="J587" t="s">
        <v>7185</v>
      </c>
      <c r="L587" t="s">
        <v>120</v>
      </c>
      <c r="M587" t="s">
        <v>108</v>
      </c>
      <c r="R587" t="s">
        <v>6838</v>
      </c>
      <c r="W587" t="s">
        <v>6984</v>
      </c>
      <c r="X587" t="s">
        <v>6897</v>
      </c>
      <c r="Y587" t="s">
        <v>979</v>
      </c>
      <c r="Z587" t="s">
        <v>111</v>
      </c>
      <c r="AA587" t="str">
        <f>"13760-3698"</f>
        <v>13760-3698</v>
      </c>
      <c r="AB587" t="s">
        <v>123</v>
      </c>
      <c r="AC587" t="s">
        <v>113</v>
      </c>
      <c r="AD587" t="s">
        <v>108</v>
      </c>
      <c r="AE587" t="s">
        <v>114</v>
      </c>
      <c r="AF587" t="s">
        <v>115</v>
      </c>
      <c r="AG587" t="s">
        <v>116</v>
      </c>
      <c r="AK587" t="str">
        <f t="shared" si="62"/>
        <v>HOLLER JAMES</v>
      </c>
      <c r="AL587" t="s">
        <v>7127</v>
      </c>
      <c r="AM587" t="s">
        <v>108</v>
      </c>
      <c r="AN587" t="s">
        <v>108</v>
      </c>
      <c r="AO587" t="s">
        <v>108</v>
      </c>
      <c r="AP587" t="s">
        <v>108</v>
      </c>
      <c r="AQ587" t="s">
        <v>108</v>
      </c>
      <c r="AR587" t="s">
        <v>108</v>
      </c>
      <c r="AS587" t="s">
        <v>108</v>
      </c>
      <c r="AT587" t="s">
        <v>108</v>
      </c>
      <c r="AU587">
        <v>0</v>
      </c>
      <c r="AV587" t="s">
        <v>108</v>
      </c>
      <c r="AW587" t="s">
        <v>108</v>
      </c>
      <c r="AX587" s="24">
        <f t="shared" si="60"/>
        <v>1</v>
      </c>
      <c r="AY587" s="24" t="str">
        <f t="shared" si="60"/>
        <v/>
      </c>
      <c r="AZ587" s="24" t="str">
        <f t="shared" si="61"/>
        <v/>
      </c>
      <c r="BA587" s="24" t="str">
        <f t="shared" si="61"/>
        <v/>
      </c>
      <c r="BB587" s="24" t="str">
        <f t="shared" si="61"/>
        <v/>
      </c>
      <c r="BC587" s="24" t="str">
        <f t="shared" si="61"/>
        <v/>
      </c>
      <c r="BD587" s="24" t="str">
        <f t="shared" si="61"/>
        <v/>
      </c>
      <c r="BE587" s="24" t="str">
        <f t="shared" si="61"/>
        <v/>
      </c>
      <c r="BF587" s="24" t="str">
        <f t="shared" si="61"/>
        <v/>
      </c>
      <c r="BG587" s="24" t="str">
        <f t="shared" si="61"/>
        <v/>
      </c>
      <c r="BH587" s="24" t="str">
        <f t="shared" si="63"/>
        <v/>
      </c>
      <c r="BI587" s="24">
        <f t="shared" si="61"/>
        <v>1</v>
      </c>
      <c r="BJ587" s="24" t="str">
        <f t="shared" si="58"/>
        <v/>
      </c>
    </row>
    <row r="588" spans="1:62" ht="15" customHeight="1" x14ac:dyDescent="0.25">
      <c r="A588" t="str">
        <f>"1215905898"</f>
        <v>1215905898</v>
      </c>
      <c r="B588" t="str">
        <f>"01228591"</f>
        <v>01228591</v>
      </c>
      <c r="C588" t="s">
        <v>2216</v>
      </c>
      <c r="D588" t="s">
        <v>2217</v>
      </c>
      <c r="E588" t="s">
        <v>2218</v>
      </c>
      <c r="G588" t="s">
        <v>177</v>
      </c>
      <c r="H588" t="s">
        <v>178</v>
      </c>
      <c r="J588" t="s">
        <v>179</v>
      </c>
      <c r="L588" t="s">
        <v>138</v>
      </c>
      <c r="M588" t="s">
        <v>108</v>
      </c>
      <c r="R588" t="s">
        <v>2216</v>
      </c>
      <c r="W588" t="s">
        <v>2218</v>
      </c>
      <c r="X588" t="s">
        <v>180</v>
      </c>
      <c r="Y588" t="s">
        <v>181</v>
      </c>
      <c r="Z588" t="s">
        <v>182</v>
      </c>
      <c r="AA588" t="str">
        <f>"18840"</f>
        <v>18840</v>
      </c>
      <c r="AB588" t="s">
        <v>123</v>
      </c>
      <c r="AC588" t="s">
        <v>113</v>
      </c>
      <c r="AD588" t="s">
        <v>108</v>
      </c>
      <c r="AE588" t="s">
        <v>114</v>
      </c>
      <c r="AF588" t="s">
        <v>115</v>
      </c>
      <c r="AG588" t="s">
        <v>116</v>
      </c>
      <c r="AK588" t="str">
        <f t="shared" si="62"/>
        <v/>
      </c>
      <c r="AL588" t="s">
        <v>2217</v>
      </c>
      <c r="AM588">
        <v>0</v>
      </c>
      <c r="AN588">
        <v>0</v>
      </c>
      <c r="AO588">
        <v>0</v>
      </c>
      <c r="AP588">
        <v>0</v>
      </c>
      <c r="AQ588">
        <v>0</v>
      </c>
      <c r="AR588">
        <v>0</v>
      </c>
      <c r="AS588">
        <v>0</v>
      </c>
      <c r="AT588">
        <v>0</v>
      </c>
      <c r="AU588">
        <v>0</v>
      </c>
      <c r="AV588">
        <v>0</v>
      </c>
      <c r="AW588">
        <v>0</v>
      </c>
      <c r="AX588" s="24" t="str">
        <f t="shared" si="60"/>
        <v/>
      </c>
      <c r="AY588" s="24">
        <f t="shared" si="60"/>
        <v>1</v>
      </c>
      <c r="AZ588" s="24" t="str">
        <f t="shared" si="61"/>
        <v/>
      </c>
      <c r="BA588" s="24" t="str">
        <f t="shared" si="61"/>
        <v/>
      </c>
      <c r="BB588" s="24" t="str">
        <f t="shared" si="61"/>
        <v/>
      </c>
      <c r="BC588" s="24" t="str">
        <f t="shared" si="61"/>
        <v/>
      </c>
      <c r="BD588" s="24" t="str">
        <f t="shared" si="61"/>
        <v/>
      </c>
      <c r="BE588" s="24" t="str">
        <f t="shared" si="61"/>
        <v/>
      </c>
      <c r="BF588" s="24" t="str">
        <f t="shared" si="61"/>
        <v/>
      </c>
      <c r="BG588" s="24" t="str">
        <f t="shared" si="61"/>
        <v/>
      </c>
      <c r="BH588" s="24" t="str">
        <f t="shared" si="63"/>
        <v/>
      </c>
      <c r="BI588" s="24">
        <f t="shared" si="61"/>
        <v>1</v>
      </c>
      <c r="BJ588" s="24" t="str">
        <f t="shared" si="58"/>
        <v/>
      </c>
    </row>
    <row r="589" spans="1:62" ht="15" customHeight="1" x14ac:dyDescent="0.25">
      <c r="A589" t="str">
        <f>"1588067417"</f>
        <v>1588067417</v>
      </c>
      <c r="B589" t="str">
        <f>"04017043"</f>
        <v>04017043</v>
      </c>
      <c r="C589" t="s">
        <v>6860</v>
      </c>
      <c r="D589" t="s">
        <v>7155</v>
      </c>
      <c r="E589" t="s">
        <v>7016</v>
      </c>
      <c r="G589" t="s">
        <v>6330</v>
      </c>
      <c r="H589" t="s">
        <v>6331</v>
      </c>
      <c r="J589" t="s">
        <v>6332</v>
      </c>
      <c r="L589" t="s">
        <v>138</v>
      </c>
      <c r="M589" t="s">
        <v>108</v>
      </c>
      <c r="R589" t="s">
        <v>6860</v>
      </c>
      <c r="W589" t="s">
        <v>7016</v>
      </c>
      <c r="X589" t="s">
        <v>4040</v>
      </c>
      <c r="Y589" t="s">
        <v>966</v>
      </c>
      <c r="Z589" t="s">
        <v>111</v>
      </c>
      <c r="AA589" t="str">
        <f>"13850-3556"</f>
        <v>13850-3556</v>
      </c>
      <c r="AB589" t="s">
        <v>123</v>
      </c>
      <c r="AC589" t="s">
        <v>113</v>
      </c>
      <c r="AD589" t="s">
        <v>108</v>
      </c>
      <c r="AE589" t="s">
        <v>114</v>
      </c>
      <c r="AF589" t="s">
        <v>115</v>
      </c>
      <c r="AG589" t="s">
        <v>116</v>
      </c>
      <c r="AK589" t="str">
        <f t="shared" si="62"/>
        <v>HOPE MARY</v>
      </c>
      <c r="AL589" t="s">
        <v>7155</v>
      </c>
      <c r="AM589" t="s">
        <v>108</v>
      </c>
      <c r="AN589" t="s">
        <v>108</v>
      </c>
      <c r="AO589" t="s">
        <v>108</v>
      </c>
      <c r="AP589" t="s">
        <v>108</v>
      </c>
      <c r="AQ589" t="s">
        <v>108</v>
      </c>
      <c r="AR589" t="s">
        <v>108</v>
      </c>
      <c r="AS589" t="s">
        <v>108</v>
      </c>
      <c r="AT589" t="s">
        <v>108</v>
      </c>
      <c r="AU589">
        <v>0</v>
      </c>
      <c r="AV589" t="s">
        <v>108</v>
      </c>
      <c r="AW589" t="s">
        <v>108</v>
      </c>
      <c r="AX589" s="24" t="str">
        <f t="shared" si="60"/>
        <v/>
      </c>
      <c r="AY589" s="24">
        <f t="shared" si="60"/>
        <v>1</v>
      </c>
      <c r="AZ589" s="24" t="str">
        <f t="shared" si="61"/>
        <v/>
      </c>
      <c r="BA589" s="24" t="str">
        <f t="shared" si="61"/>
        <v/>
      </c>
      <c r="BB589" s="24" t="str">
        <f t="shared" si="61"/>
        <v/>
      </c>
      <c r="BC589" s="24" t="str">
        <f t="shared" si="61"/>
        <v/>
      </c>
      <c r="BD589" s="24" t="str">
        <f t="shared" si="61"/>
        <v/>
      </c>
      <c r="BE589" s="24" t="str">
        <f t="shared" si="61"/>
        <v/>
      </c>
      <c r="BF589" s="24" t="str">
        <f t="shared" si="61"/>
        <v/>
      </c>
      <c r="BG589" s="24" t="str">
        <f t="shared" si="61"/>
        <v/>
      </c>
      <c r="BH589" s="24" t="str">
        <f t="shared" si="63"/>
        <v/>
      </c>
      <c r="BI589" s="24">
        <f t="shared" si="61"/>
        <v>1</v>
      </c>
      <c r="BJ589" s="24" t="str">
        <f t="shared" si="58"/>
        <v/>
      </c>
    </row>
    <row r="590" spans="1:62" ht="15" customHeight="1" x14ac:dyDescent="0.25">
      <c r="A590" t="str">
        <f>"1558409508"</f>
        <v>1558409508</v>
      </c>
      <c r="C590" t="s">
        <v>790</v>
      </c>
      <c r="G590" t="s">
        <v>786</v>
      </c>
      <c r="H590" t="s">
        <v>787</v>
      </c>
      <c r="J590" t="s">
        <v>788</v>
      </c>
      <c r="K590" t="s">
        <v>68</v>
      </c>
      <c r="L590" t="s">
        <v>247</v>
      </c>
      <c r="M590" t="s">
        <v>108</v>
      </c>
      <c r="R590" t="s">
        <v>790</v>
      </c>
      <c r="S590" t="s">
        <v>791</v>
      </c>
      <c r="T590" t="s">
        <v>239</v>
      </c>
      <c r="U590" t="s">
        <v>111</v>
      </c>
      <c r="V590" t="str">
        <f>"130456606"</f>
        <v>130456606</v>
      </c>
      <c r="AC590" t="s">
        <v>113</v>
      </c>
      <c r="AD590" t="s">
        <v>108</v>
      </c>
      <c r="AE590" t="s">
        <v>775</v>
      </c>
      <c r="AF590" t="s">
        <v>142</v>
      </c>
      <c r="AG590" t="s">
        <v>116</v>
      </c>
      <c r="AK590" t="str">
        <f t="shared" si="62"/>
        <v>HORN LUCINDA</v>
      </c>
      <c r="AM590" t="s">
        <v>108</v>
      </c>
      <c r="AN590" t="s">
        <v>108</v>
      </c>
      <c r="AO590" t="s">
        <v>108</v>
      </c>
      <c r="AP590" t="s">
        <v>108</v>
      </c>
      <c r="AQ590" t="s">
        <v>108</v>
      </c>
      <c r="AR590" t="s">
        <v>108</v>
      </c>
      <c r="AS590" t="s">
        <v>108</v>
      </c>
      <c r="AT590" t="s">
        <v>108</v>
      </c>
      <c r="AU590">
        <v>0</v>
      </c>
      <c r="AV590" t="s">
        <v>108</v>
      </c>
      <c r="AW590" t="s">
        <v>108</v>
      </c>
      <c r="AX590" s="24" t="str">
        <f t="shared" si="60"/>
        <v/>
      </c>
      <c r="AY590" s="24">
        <f t="shared" si="60"/>
        <v>1</v>
      </c>
      <c r="AZ590" s="24" t="str">
        <f t="shared" si="61"/>
        <v/>
      </c>
      <c r="BA590" s="24" t="str">
        <f t="shared" si="61"/>
        <v/>
      </c>
      <c r="BB590" s="24" t="str">
        <f t="shared" si="61"/>
        <v/>
      </c>
      <c r="BC590" s="24" t="str">
        <f t="shared" si="61"/>
        <v/>
      </c>
      <c r="BD590" s="24" t="str">
        <f t="shared" si="61"/>
        <v/>
      </c>
      <c r="BE590" s="24" t="str">
        <f t="shared" si="61"/>
        <v/>
      </c>
      <c r="BF590" s="24" t="str">
        <f t="shared" si="61"/>
        <v/>
      </c>
      <c r="BG590" s="24" t="str">
        <f t="shared" si="61"/>
        <v/>
      </c>
      <c r="BH590" s="24" t="str">
        <f t="shared" si="63"/>
        <v/>
      </c>
      <c r="BI590" s="24" t="str">
        <f t="shared" si="61"/>
        <v/>
      </c>
      <c r="BJ590" s="24" t="str">
        <f t="shared" si="58"/>
        <v/>
      </c>
    </row>
    <row r="591" spans="1:62" ht="15" customHeight="1" x14ac:dyDescent="0.25">
      <c r="C591" t="s">
        <v>1089</v>
      </c>
      <c r="G591" t="s">
        <v>1090</v>
      </c>
      <c r="H591" t="s">
        <v>1085</v>
      </c>
      <c r="J591" t="s">
        <v>1086</v>
      </c>
      <c r="K591" t="s">
        <v>780</v>
      </c>
      <c r="L591" t="s">
        <v>781</v>
      </c>
      <c r="M591" t="s">
        <v>108</v>
      </c>
      <c r="N591" t="s">
        <v>1087</v>
      </c>
      <c r="O591" t="s">
        <v>1088</v>
      </c>
      <c r="P591" t="s">
        <v>111</v>
      </c>
      <c r="Q591" t="str">
        <f>"14850"</f>
        <v>14850</v>
      </c>
      <c r="AC591" t="s">
        <v>113</v>
      </c>
      <c r="AD591" t="s">
        <v>108</v>
      </c>
      <c r="AE591" t="s">
        <v>784</v>
      </c>
      <c r="AF591" t="s">
        <v>142</v>
      </c>
      <c r="AG591" t="s">
        <v>116</v>
      </c>
      <c r="AK591" t="str">
        <f t="shared" si="62"/>
        <v/>
      </c>
      <c r="AL591" t="s">
        <v>1089</v>
      </c>
      <c r="AM591">
        <v>1</v>
      </c>
      <c r="AU591">
        <v>1</v>
      </c>
      <c r="AV591" t="s">
        <v>108</v>
      </c>
      <c r="AW591" t="s">
        <v>108</v>
      </c>
      <c r="AX591" s="24" t="str">
        <f t="shared" si="60"/>
        <v/>
      </c>
      <c r="AY591" s="24" t="str">
        <f t="shared" si="60"/>
        <v/>
      </c>
      <c r="AZ591" s="24" t="str">
        <f t="shared" si="61"/>
        <v/>
      </c>
      <c r="BA591" s="24" t="str">
        <f t="shared" si="61"/>
        <v/>
      </c>
      <c r="BB591" s="24" t="str">
        <f t="shared" si="61"/>
        <v/>
      </c>
      <c r="BC591" s="24" t="str">
        <f t="shared" si="61"/>
        <v/>
      </c>
      <c r="BD591" s="24" t="str">
        <f t="shared" si="61"/>
        <v/>
      </c>
      <c r="BE591" s="24" t="str">
        <f t="shared" si="61"/>
        <v/>
      </c>
      <c r="BF591" s="24" t="str">
        <f t="shared" si="61"/>
        <v/>
      </c>
      <c r="BG591" s="24" t="str">
        <f t="shared" si="61"/>
        <v/>
      </c>
      <c r="BH591" s="24">
        <f t="shared" si="63"/>
        <v>1</v>
      </c>
      <c r="BI591" s="24" t="str">
        <f t="shared" si="61"/>
        <v/>
      </c>
      <c r="BJ591" s="24" t="str">
        <f t="shared" si="58"/>
        <v/>
      </c>
    </row>
    <row r="592" spans="1:62" ht="15" customHeight="1" x14ac:dyDescent="0.25">
      <c r="C592" t="s">
        <v>1083</v>
      </c>
      <c r="G592" t="s">
        <v>1084</v>
      </c>
      <c r="H592" t="s">
        <v>1085</v>
      </c>
      <c r="J592" t="s">
        <v>1086</v>
      </c>
      <c r="K592" t="s">
        <v>780</v>
      </c>
      <c r="L592" t="s">
        <v>781</v>
      </c>
      <c r="M592" t="s">
        <v>108</v>
      </c>
      <c r="N592" t="s">
        <v>1087</v>
      </c>
      <c r="O592" t="s">
        <v>1088</v>
      </c>
      <c r="P592" t="s">
        <v>111</v>
      </c>
      <c r="Q592" t="str">
        <f>"14850"</f>
        <v>14850</v>
      </c>
      <c r="AC592" t="s">
        <v>113</v>
      </c>
      <c r="AD592" t="s">
        <v>108</v>
      </c>
      <c r="AE592" t="s">
        <v>784</v>
      </c>
      <c r="AF592" t="s">
        <v>142</v>
      </c>
      <c r="AG592" t="s">
        <v>116</v>
      </c>
      <c r="AK592" t="str">
        <f t="shared" si="62"/>
        <v/>
      </c>
      <c r="AL592" t="s">
        <v>1083</v>
      </c>
      <c r="AM592">
        <v>1</v>
      </c>
      <c r="AU592">
        <v>1</v>
      </c>
      <c r="AV592" t="s">
        <v>108</v>
      </c>
      <c r="AW592" t="s">
        <v>108</v>
      </c>
      <c r="AX592" s="24" t="str">
        <f t="shared" si="60"/>
        <v/>
      </c>
      <c r="AY592" s="24" t="str">
        <f t="shared" si="60"/>
        <v/>
      </c>
      <c r="AZ592" s="24" t="str">
        <f t="shared" si="61"/>
        <v/>
      </c>
      <c r="BA592" s="24" t="str">
        <f t="shared" si="61"/>
        <v/>
      </c>
      <c r="BB592" s="24" t="str">
        <f t="shared" si="61"/>
        <v/>
      </c>
      <c r="BC592" s="24" t="str">
        <f t="shared" si="61"/>
        <v/>
      </c>
      <c r="BD592" s="24" t="str">
        <f t="shared" si="61"/>
        <v/>
      </c>
      <c r="BE592" s="24" t="str">
        <f t="shared" si="61"/>
        <v/>
      </c>
      <c r="BF592" s="24" t="str">
        <f t="shared" si="61"/>
        <v/>
      </c>
      <c r="BG592" s="24" t="str">
        <f t="shared" si="61"/>
        <v/>
      </c>
      <c r="BH592" s="24">
        <f t="shared" si="63"/>
        <v>1</v>
      </c>
      <c r="BI592" s="24" t="str">
        <f t="shared" si="61"/>
        <v/>
      </c>
      <c r="BJ592" s="24" t="str">
        <f t="shared" si="58"/>
        <v/>
      </c>
    </row>
    <row r="593" spans="1:62" ht="15" customHeight="1" x14ac:dyDescent="0.25">
      <c r="A593" t="str">
        <f>"1730185737"</f>
        <v>1730185737</v>
      </c>
      <c r="B593" t="str">
        <f>"00955817"</f>
        <v>00955817</v>
      </c>
      <c r="C593" t="s">
        <v>1968</v>
      </c>
      <c r="D593" t="s">
        <v>1969</v>
      </c>
      <c r="E593" t="s">
        <v>1970</v>
      </c>
      <c r="G593" t="s">
        <v>1971</v>
      </c>
      <c r="H593" t="s">
        <v>1085</v>
      </c>
      <c r="I593">
        <v>117</v>
      </c>
      <c r="J593" t="s">
        <v>1972</v>
      </c>
      <c r="L593" t="s">
        <v>1115</v>
      </c>
      <c r="M593" t="s">
        <v>108</v>
      </c>
      <c r="R593" t="s">
        <v>1973</v>
      </c>
      <c r="W593" t="s">
        <v>1970</v>
      </c>
      <c r="X593" t="s">
        <v>1974</v>
      </c>
      <c r="Y593" t="s">
        <v>293</v>
      </c>
      <c r="Z593" t="s">
        <v>111</v>
      </c>
      <c r="AA593" t="str">
        <f>"14850-9403"</f>
        <v>14850-9403</v>
      </c>
      <c r="AB593" t="s">
        <v>282</v>
      </c>
      <c r="AC593" t="s">
        <v>113</v>
      </c>
      <c r="AD593" t="s">
        <v>108</v>
      </c>
      <c r="AE593" t="s">
        <v>114</v>
      </c>
      <c r="AF593" t="s">
        <v>142</v>
      </c>
      <c r="AG593" t="s">
        <v>116</v>
      </c>
      <c r="AK593" t="str">
        <f t="shared" si="62"/>
        <v/>
      </c>
      <c r="AL593" t="s">
        <v>1969</v>
      </c>
      <c r="AM593">
        <v>1</v>
      </c>
      <c r="AN593">
        <v>0</v>
      </c>
      <c r="AO593">
        <v>0</v>
      </c>
      <c r="AP593">
        <v>0</v>
      </c>
      <c r="AQ593">
        <v>0</v>
      </c>
      <c r="AR593">
        <v>0</v>
      </c>
      <c r="AS593">
        <v>0</v>
      </c>
      <c r="AT593">
        <v>0</v>
      </c>
      <c r="AU593">
        <v>1</v>
      </c>
      <c r="AV593">
        <v>0</v>
      </c>
      <c r="AW593">
        <v>0</v>
      </c>
      <c r="AX593" s="24" t="str">
        <f t="shared" si="60"/>
        <v/>
      </c>
      <c r="AY593" s="24" t="str">
        <f t="shared" si="60"/>
        <v/>
      </c>
      <c r="AZ593" s="24" t="str">
        <f t="shared" si="61"/>
        <v/>
      </c>
      <c r="BA593" s="24" t="str">
        <f t="shared" si="61"/>
        <v/>
      </c>
      <c r="BB593" s="24" t="str">
        <f t="shared" si="61"/>
        <v/>
      </c>
      <c r="BC593" s="24" t="str">
        <f t="shared" si="61"/>
        <v/>
      </c>
      <c r="BD593" s="24" t="str">
        <f t="shared" si="61"/>
        <v/>
      </c>
      <c r="BE593" s="24" t="str">
        <f t="shared" si="61"/>
        <v/>
      </c>
      <c r="BF593" s="24" t="str">
        <f t="shared" si="61"/>
        <v/>
      </c>
      <c r="BG593" s="24">
        <f t="shared" si="61"/>
        <v>1</v>
      </c>
      <c r="BH593" s="24" t="str">
        <f t="shared" si="63"/>
        <v/>
      </c>
      <c r="BI593" s="24">
        <f t="shared" si="61"/>
        <v>1</v>
      </c>
      <c r="BJ593" s="24" t="str">
        <f t="shared" si="58"/>
        <v/>
      </c>
    </row>
    <row r="594" spans="1:62" ht="15" customHeight="1" x14ac:dyDescent="0.25">
      <c r="A594" t="str">
        <f>"1821095902"</f>
        <v>1821095902</v>
      </c>
      <c r="B594" t="str">
        <f>"01268400"</f>
        <v>01268400</v>
      </c>
      <c r="C594" t="s">
        <v>3949</v>
      </c>
      <c r="D594" t="s">
        <v>3950</v>
      </c>
      <c r="E594" t="s">
        <v>3951</v>
      </c>
      <c r="G594" t="s">
        <v>3952</v>
      </c>
      <c r="H594" t="s">
        <v>3953</v>
      </c>
      <c r="J594" t="s">
        <v>3954</v>
      </c>
      <c r="L594" t="s">
        <v>21</v>
      </c>
      <c r="M594" t="s">
        <v>108</v>
      </c>
      <c r="R594" t="s">
        <v>3955</v>
      </c>
      <c r="W594" t="s">
        <v>3956</v>
      </c>
      <c r="X594" t="s">
        <v>3957</v>
      </c>
      <c r="Y594" t="s">
        <v>122</v>
      </c>
      <c r="Z594" t="s">
        <v>111</v>
      </c>
      <c r="AA594" t="str">
        <f>"13815-1617"</f>
        <v>13815-1617</v>
      </c>
      <c r="AB594" t="s">
        <v>282</v>
      </c>
      <c r="AC594" t="s">
        <v>113</v>
      </c>
      <c r="AD594" t="s">
        <v>108</v>
      </c>
      <c r="AE594" t="s">
        <v>114</v>
      </c>
      <c r="AF594" t="s">
        <v>124</v>
      </c>
      <c r="AG594" t="s">
        <v>116</v>
      </c>
      <c r="AK594" t="str">
        <f t="shared" si="62"/>
        <v/>
      </c>
      <c r="AL594" t="s">
        <v>3950</v>
      </c>
      <c r="AM594">
        <v>1</v>
      </c>
      <c r="AN594">
        <v>0</v>
      </c>
      <c r="AO594">
        <v>0</v>
      </c>
      <c r="AP594">
        <v>1</v>
      </c>
      <c r="AQ594">
        <v>0</v>
      </c>
      <c r="AR594">
        <v>0</v>
      </c>
      <c r="AS594">
        <v>0</v>
      </c>
      <c r="AT594">
        <v>0</v>
      </c>
      <c r="AU594">
        <v>1</v>
      </c>
      <c r="AV594">
        <v>0</v>
      </c>
      <c r="AW594">
        <v>0</v>
      </c>
      <c r="AX594" s="24" t="str">
        <f t="shared" si="60"/>
        <v/>
      </c>
      <c r="AY594" s="24" t="str">
        <f t="shared" si="60"/>
        <v/>
      </c>
      <c r="AZ594" s="24" t="str">
        <f t="shared" si="61"/>
        <v/>
      </c>
      <c r="BA594" s="24" t="str">
        <f t="shared" si="61"/>
        <v/>
      </c>
      <c r="BB594" s="24" t="str">
        <f t="shared" si="61"/>
        <v/>
      </c>
      <c r="BC594" s="24" t="str">
        <f t="shared" si="61"/>
        <v/>
      </c>
      <c r="BD594" s="24" t="str">
        <f t="shared" si="61"/>
        <v/>
      </c>
      <c r="BE594" s="24" t="str">
        <f t="shared" si="61"/>
        <v/>
      </c>
      <c r="BF594" s="24" t="str">
        <f t="shared" si="61"/>
        <v/>
      </c>
      <c r="BG594" s="24">
        <f t="shared" si="61"/>
        <v>1</v>
      </c>
      <c r="BH594" s="24" t="str">
        <f t="shared" si="63"/>
        <v/>
      </c>
      <c r="BI594" s="24" t="str">
        <f t="shared" si="61"/>
        <v/>
      </c>
      <c r="BJ594" s="24" t="str">
        <f t="shared" ref="BJ594:BJ657" si="64">IF(ISERROR(FIND(BJ$1,$L594,1)),"",1)</f>
        <v/>
      </c>
    </row>
    <row r="595" spans="1:62" ht="15" customHeight="1" x14ac:dyDescent="0.25">
      <c r="A595" t="str">
        <f>"1558418988"</f>
        <v>1558418988</v>
      </c>
      <c r="B595" t="str">
        <f>"02839623"</f>
        <v>02839623</v>
      </c>
      <c r="C595" t="s">
        <v>5409</v>
      </c>
      <c r="D595" t="s">
        <v>5410</v>
      </c>
      <c r="E595" t="s">
        <v>5411</v>
      </c>
      <c r="G595" t="s">
        <v>5409</v>
      </c>
      <c r="H595" t="s">
        <v>3687</v>
      </c>
      <c r="J595" t="s">
        <v>5412</v>
      </c>
      <c r="L595" t="s">
        <v>120</v>
      </c>
      <c r="M595" t="s">
        <v>108</v>
      </c>
      <c r="R595" t="s">
        <v>5413</v>
      </c>
      <c r="W595" t="s">
        <v>5411</v>
      </c>
      <c r="X595" t="s">
        <v>881</v>
      </c>
      <c r="Y595" t="s">
        <v>321</v>
      </c>
      <c r="Z595" t="s">
        <v>111</v>
      </c>
      <c r="AA595" t="str">
        <f>"13760-5430"</f>
        <v>13760-5430</v>
      </c>
      <c r="AB595" t="s">
        <v>123</v>
      </c>
      <c r="AC595" t="s">
        <v>113</v>
      </c>
      <c r="AD595" t="s">
        <v>108</v>
      </c>
      <c r="AE595" t="s">
        <v>114</v>
      </c>
      <c r="AF595" t="s">
        <v>115</v>
      </c>
      <c r="AG595" t="s">
        <v>116</v>
      </c>
      <c r="AK595" t="str">
        <f t="shared" si="62"/>
        <v/>
      </c>
      <c r="AL595" t="s">
        <v>5410</v>
      </c>
      <c r="AM595">
        <v>1</v>
      </c>
      <c r="AN595">
        <v>1</v>
      </c>
      <c r="AO595">
        <v>0</v>
      </c>
      <c r="AP595">
        <v>0</v>
      </c>
      <c r="AQ595">
        <v>0</v>
      </c>
      <c r="AR595">
        <v>0</v>
      </c>
      <c r="AS595">
        <v>0</v>
      </c>
      <c r="AT595">
        <v>0</v>
      </c>
      <c r="AU595">
        <v>0</v>
      </c>
      <c r="AV595">
        <v>0</v>
      </c>
      <c r="AW595">
        <v>0</v>
      </c>
      <c r="AX595" s="24">
        <f t="shared" si="60"/>
        <v>1</v>
      </c>
      <c r="AY595" s="24" t="str">
        <f t="shared" si="60"/>
        <v/>
      </c>
      <c r="AZ595" s="24" t="str">
        <f t="shared" si="61"/>
        <v/>
      </c>
      <c r="BA595" s="24" t="str">
        <f t="shared" si="61"/>
        <v/>
      </c>
      <c r="BB595" s="24" t="str">
        <f t="shared" si="61"/>
        <v/>
      </c>
      <c r="BC595" s="24" t="str">
        <f t="shared" si="61"/>
        <v/>
      </c>
      <c r="BD595" s="24" t="str">
        <f t="shared" si="61"/>
        <v/>
      </c>
      <c r="BE595" s="24" t="str">
        <f t="shared" si="61"/>
        <v/>
      </c>
      <c r="BF595" s="24" t="str">
        <f t="shared" si="61"/>
        <v/>
      </c>
      <c r="BG595" s="24" t="str">
        <f t="shared" si="61"/>
        <v/>
      </c>
      <c r="BH595" s="24" t="str">
        <f t="shared" si="63"/>
        <v/>
      </c>
      <c r="BI595" s="24">
        <f t="shared" si="61"/>
        <v>1</v>
      </c>
      <c r="BJ595" s="24" t="str">
        <f t="shared" si="64"/>
        <v/>
      </c>
    </row>
    <row r="596" spans="1:62" ht="15" customHeight="1" x14ac:dyDescent="0.25">
      <c r="A596" t="str">
        <f>"1730135963"</f>
        <v>1730135963</v>
      </c>
      <c r="B596" t="str">
        <f>"01766870"</f>
        <v>01766870</v>
      </c>
      <c r="C596" t="s">
        <v>4291</v>
      </c>
      <c r="D596" t="s">
        <v>4292</v>
      </c>
      <c r="E596" t="s">
        <v>4293</v>
      </c>
      <c r="G596" t="s">
        <v>4280</v>
      </c>
      <c r="H596" t="s">
        <v>4281</v>
      </c>
      <c r="J596" t="s">
        <v>4294</v>
      </c>
      <c r="L596" t="s">
        <v>120</v>
      </c>
      <c r="M596" t="s">
        <v>108</v>
      </c>
      <c r="R596" t="s">
        <v>4295</v>
      </c>
      <c r="W596" t="s">
        <v>4293</v>
      </c>
      <c r="X596" t="s">
        <v>2048</v>
      </c>
      <c r="Y596" t="s">
        <v>262</v>
      </c>
      <c r="Z596" t="s">
        <v>111</v>
      </c>
      <c r="AA596" t="str">
        <f>"13053"</f>
        <v>13053</v>
      </c>
      <c r="AB596" t="s">
        <v>123</v>
      </c>
      <c r="AC596" t="s">
        <v>113</v>
      </c>
      <c r="AD596" t="s">
        <v>108</v>
      </c>
      <c r="AE596" t="s">
        <v>114</v>
      </c>
      <c r="AF596" t="s">
        <v>142</v>
      </c>
      <c r="AG596" t="s">
        <v>116</v>
      </c>
      <c r="AK596" t="str">
        <f t="shared" si="62"/>
        <v/>
      </c>
      <c r="AL596" t="s">
        <v>4292</v>
      </c>
      <c r="AM596">
        <v>1</v>
      </c>
      <c r="AN596">
        <v>1</v>
      </c>
      <c r="AO596">
        <v>0</v>
      </c>
      <c r="AP596">
        <v>0</v>
      </c>
      <c r="AQ596">
        <v>0</v>
      </c>
      <c r="AR596">
        <v>0</v>
      </c>
      <c r="AS596">
        <v>0</v>
      </c>
      <c r="AT596">
        <v>0</v>
      </c>
      <c r="AU596">
        <v>0</v>
      </c>
      <c r="AV596">
        <v>0</v>
      </c>
      <c r="AW596">
        <v>0</v>
      </c>
      <c r="AX596" s="24">
        <f t="shared" si="60"/>
        <v>1</v>
      </c>
      <c r="AY596" s="24" t="str">
        <f t="shared" si="60"/>
        <v/>
      </c>
      <c r="AZ596" s="24" t="str">
        <f t="shared" si="61"/>
        <v/>
      </c>
      <c r="BA596" s="24" t="str">
        <f t="shared" si="61"/>
        <v/>
      </c>
      <c r="BB596" s="24" t="str">
        <f t="shared" si="61"/>
        <v/>
      </c>
      <c r="BC596" s="24" t="str">
        <f t="shared" si="61"/>
        <v/>
      </c>
      <c r="BD596" s="24" t="str">
        <f t="shared" si="61"/>
        <v/>
      </c>
      <c r="BE596" s="24" t="str">
        <f t="shared" si="61"/>
        <v/>
      </c>
      <c r="BF596" s="24" t="str">
        <f t="shared" si="61"/>
        <v/>
      </c>
      <c r="BG596" s="24" t="str">
        <f t="shared" si="61"/>
        <v/>
      </c>
      <c r="BH596" s="24" t="str">
        <f t="shared" si="63"/>
        <v/>
      </c>
      <c r="BI596" s="24">
        <f t="shared" si="61"/>
        <v>1</v>
      </c>
      <c r="BJ596" s="24" t="str">
        <f t="shared" si="64"/>
        <v/>
      </c>
    </row>
    <row r="597" spans="1:62" ht="15" customHeight="1" x14ac:dyDescent="0.25">
      <c r="A597" t="str">
        <f>"1487752937"</f>
        <v>1487752937</v>
      </c>
      <c r="B597" t="str">
        <f>"00916050"</f>
        <v>00916050</v>
      </c>
      <c r="C597" t="s">
        <v>1774</v>
      </c>
      <c r="D597" t="s">
        <v>1775</v>
      </c>
      <c r="E597" t="s">
        <v>1776</v>
      </c>
      <c r="G597" t="s">
        <v>815</v>
      </c>
      <c r="H597" t="s">
        <v>816</v>
      </c>
      <c r="J597" t="s">
        <v>817</v>
      </c>
      <c r="L597" t="s">
        <v>138</v>
      </c>
      <c r="M597" t="s">
        <v>108</v>
      </c>
      <c r="R597" t="s">
        <v>1774</v>
      </c>
      <c r="W597" t="s">
        <v>1776</v>
      </c>
      <c r="X597" t="s">
        <v>1447</v>
      </c>
      <c r="Y597" t="s">
        <v>129</v>
      </c>
      <c r="Z597" t="s">
        <v>111</v>
      </c>
      <c r="AA597" t="str">
        <f>"13790-2743"</f>
        <v>13790-2743</v>
      </c>
      <c r="AB597" t="s">
        <v>123</v>
      </c>
      <c r="AC597" t="s">
        <v>113</v>
      </c>
      <c r="AD597" t="s">
        <v>108</v>
      </c>
      <c r="AE597" t="s">
        <v>114</v>
      </c>
      <c r="AF597" t="s">
        <v>115</v>
      </c>
      <c r="AG597" t="s">
        <v>116</v>
      </c>
      <c r="AK597" t="str">
        <f t="shared" si="62"/>
        <v/>
      </c>
      <c r="AL597" t="s">
        <v>1775</v>
      </c>
      <c r="AM597">
        <v>1</v>
      </c>
      <c r="AN597">
        <v>1</v>
      </c>
      <c r="AO597">
        <v>0</v>
      </c>
      <c r="AP597">
        <v>1</v>
      </c>
      <c r="AQ597">
        <v>1</v>
      </c>
      <c r="AR597">
        <v>0</v>
      </c>
      <c r="AS597">
        <v>0</v>
      </c>
      <c r="AT597">
        <v>0</v>
      </c>
      <c r="AU597">
        <v>0</v>
      </c>
      <c r="AV597">
        <v>0</v>
      </c>
      <c r="AW597">
        <v>0</v>
      </c>
      <c r="AX597" s="24" t="str">
        <f t="shared" si="60"/>
        <v/>
      </c>
      <c r="AY597" s="24">
        <f t="shared" si="60"/>
        <v>1</v>
      </c>
      <c r="AZ597" s="24" t="str">
        <f t="shared" si="61"/>
        <v/>
      </c>
      <c r="BA597" s="24" t="str">
        <f t="shared" si="61"/>
        <v/>
      </c>
      <c r="BB597" s="24" t="str">
        <f t="shared" si="61"/>
        <v/>
      </c>
      <c r="BC597" s="24" t="str">
        <f t="shared" si="61"/>
        <v/>
      </c>
      <c r="BD597" s="24" t="str">
        <f t="shared" si="61"/>
        <v/>
      </c>
      <c r="BE597" s="24" t="str">
        <f t="shared" si="61"/>
        <v/>
      </c>
      <c r="BF597" s="24" t="str">
        <f t="shared" si="61"/>
        <v/>
      </c>
      <c r="BG597" s="24" t="str">
        <f t="shared" si="61"/>
        <v/>
      </c>
      <c r="BH597" s="24" t="str">
        <f t="shared" si="63"/>
        <v/>
      </c>
      <c r="BI597" s="24">
        <f t="shared" si="61"/>
        <v>1</v>
      </c>
      <c r="BJ597" s="24" t="str">
        <f t="shared" si="64"/>
        <v/>
      </c>
    </row>
    <row r="598" spans="1:62" ht="15" customHeight="1" x14ac:dyDescent="0.25">
      <c r="A598" t="str">
        <f>"1275501157"</f>
        <v>1275501157</v>
      </c>
      <c r="B598" t="str">
        <f>"00908829"</f>
        <v>00908829</v>
      </c>
      <c r="C598" t="s">
        <v>2735</v>
      </c>
      <c r="D598" t="s">
        <v>2736</v>
      </c>
      <c r="E598" t="s">
        <v>2737</v>
      </c>
      <c r="G598" t="s">
        <v>177</v>
      </c>
      <c r="H598" t="s">
        <v>178</v>
      </c>
      <c r="J598" t="s">
        <v>179</v>
      </c>
      <c r="L598" t="s">
        <v>138</v>
      </c>
      <c r="M598" t="s">
        <v>108</v>
      </c>
      <c r="R598" t="s">
        <v>2735</v>
      </c>
      <c r="W598" t="s">
        <v>2737</v>
      </c>
      <c r="X598" t="s">
        <v>2738</v>
      </c>
      <c r="Y598" t="s">
        <v>181</v>
      </c>
      <c r="Z598" t="s">
        <v>182</v>
      </c>
      <c r="AA598" t="str">
        <f>"18840"</f>
        <v>18840</v>
      </c>
      <c r="AB598" t="s">
        <v>123</v>
      </c>
      <c r="AC598" t="s">
        <v>113</v>
      </c>
      <c r="AD598" t="s">
        <v>108</v>
      </c>
      <c r="AE598" t="s">
        <v>114</v>
      </c>
      <c r="AF598" t="s">
        <v>115</v>
      </c>
      <c r="AG598" t="s">
        <v>116</v>
      </c>
      <c r="AK598" t="str">
        <f t="shared" si="62"/>
        <v/>
      </c>
      <c r="AL598" t="s">
        <v>2736</v>
      </c>
      <c r="AM598">
        <v>1</v>
      </c>
      <c r="AN598">
        <v>1</v>
      </c>
      <c r="AO598">
        <v>0</v>
      </c>
      <c r="AP598">
        <v>0</v>
      </c>
      <c r="AQ598">
        <v>0</v>
      </c>
      <c r="AR598">
        <v>0</v>
      </c>
      <c r="AS598">
        <v>0</v>
      </c>
      <c r="AT598">
        <v>0</v>
      </c>
      <c r="AU598">
        <v>0</v>
      </c>
      <c r="AV598">
        <v>1</v>
      </c>
      <c r="AW598">
        <v>0</v>
      </c>
      <c r="AX598" s="24" t="str">
        <f t="shared" si="60"/>
        <v/>
      </c>
      <c r="AY598" s="24">
        <f t="shared" si="60"/>
        <v>1</v>
      </c>
      <c r="AZ598" s="24" t="str">
        <f t="shared" si="61"/>
        <v/>
      </c>
      <c r="BA598" s="24" t="str">
        <f t="shared" si="61"/>
        <v/>
      </c>
      <c r="BB598" s="24" t="str">
        <f t="shared" si="61"/>
        <v/>
      </c>
      <c r="BC598" s="24" t="str">
        <f t="shared" si="61"/>
        <v/>
      </c>
      <c r="BD598" s="24" t="str">
        <f t="shared" si="61"/>
        <v/>
      </c>
      <c r="BE598" s="24" t="str">
        <f t="shared" si="61"/>
        <v/>
      </c>
      <c r="BF598" s="24" t="str">
        <f t="shared" si="61"/>
        <v/>
      </c>
      <c r="BG598" s="24" t="str">
        <f t="shared" si="61"/>
        <v/>
      </c>
      <c r="BH598" s="24" t="str">
        <f t="shared" si="63"/>
        <v/>
      </c>
      <c r="BI598" s="24">
        <f t="shared" si="61"/>
        <v>1</v>
      </c>
      <c r="BJ598" s="24" t="str">
        <f t="shared" si="64"/>
        <v/>
      </c>
    </row>
    <row r="599" spans="1:62" ht="15" customHeight="1" x14ac:dyDescent="0.25">
      <c r="A599" t="str">
        <f>"1790753374"</f>
        <v>1790753374</v>
      </c>
      <c r="B599" t="str">
        <f>"01031570"</f>
        <v>01031570</v>
      </c>
      <c r="C599" t="s">
        <v>2474</v>
      </c>
      <c r="D599" t="s">
        <v>2475</v>
      </c>
      <c r="E599" t="s">
        <v>2476</v>
      </c>
      <c r="G599" t="s">
        <v>177</v>
      </c>
      <c r="H599" t="s">
        <v>178</v>
      </c>
      <c r="J599" t="s">
        <v>179</v>
      </c>
      <c r="L599" t="s">
        <v>138</v>
      </c>
      <c r="M599" t="s">
        <v>108</v>
      </c>
      <c r="R599" t="s">
        <v>2474</v>
      </c>
      <c r="W599" t="s">
        <v>2476</v>
      </c>
      <c r="X599" t="s">
        <v>186</v>
      </c>
      <c r="Y599" t="s">
        <v>181</v>
      </c>
      <c r="Z599" t="s">
        <v>182</v>
      </c>
      <c r="AA599" t="str">
        <f>"18840"</f>
        <v>18840</v>
      </c>
      <c r="AB599" t="s">
        <v>123</v>
      </c>
      <c r="AC599" t="s">
        <v>113</v>
      </c>
      <c r="AD599" t="s">
        <v>108</v>
      </c>
      <c r="AE599" t="s">
        <v>114</v>
      </c>
      <c r="AF599" t="s">
        <v>115</v>
      </c>
      <c r="AG599" t="s">
        <v>116</v>
      </c>
      <c r="AK599" t="str">
        <f t="shared" si="62"/>
        <v/>
      </c>
      <c r="AL599" t="s">
        <v>2475</v>
      </c>
      <c r="AM599">
        <v>1</v>
      </c>
      <c r="AN599">
        <v>1</v>
      </c>
      <c r="AO599">
        <v>0</v>
      </c>
      <c r="AP599">
        <v>0</v>
      </c>
      <c r="AQ599">
        <v>0</v>
      </c>
      <c r="AR599">
        <v>0</v>
      </c>
      <c r="AS599">
        <v>0</v>
      </c>
      <c r="AT599">
        <v>0</v>
      </c>
      <c r="AU599">
        <v>0</v>
      </c>
      <c r="AV599">
        <v>1</v>
      </c>
      <c r="AW599">
        <v>0</v>
      </c>
      <c r="AX599" s="24" t="str">
        <f t="shared" si="60"/>
        <v/>
      </c>
      <c r="AY599" s="24">
        <f t="shared" si="60"/>
        <v>1</v>
      </c>
      <c r="AZ599" s="24" t="str">
        <f t="shared" si="61"/>
        <v/>
      </c>
      <c r="BA599" s="24" t="str">
        <f t="shared" si="61"/>
        <v/>
      </c>
      <c r="BB599" s="24" t="str">
        <f t="shared" si="61"/>
        <v/>
      </c>
      <c r="BC599" s="24" t="str">
        <f t="shared" si="61"/>
        <v/>
      </c>
      <c r="BD599" s="24" t="str">
        <f t="shared" si="61"/>
        <v/>
      </c>
      <c r="BE599" s="24" t="str">
        <f t="shared" si="61"/>
        <v/>
      </c>
      <c r="BF599" s="24" t="str">
        <f t="shared" si="61"/>
        <v/>
      </c>
      <c r="BG599" s="24" t="str">
        <f t="shared" si="61"/>
        <v/>
      </c>
      <c r="BH599" s="24" t="str">
        <f t="shared" si="63"/>
        <v/>
      </c>
      <c r="BI599" s="24">
        <f t="shared" si="61"/>
        <v>1</v>
      </c>
      <c r="BJ599" s="24" t="str">
        <f t="shared" si="64"/>
        <v/>
      </c>
    </row>
    <row r="600" spans="1:62" ht="15" customHeight="1" x14ac:dyDescent="0.25">
      <c r="A600" t="str">
        <f>"1982711776"</f>
        <v>1982711776</v>
      </c>
      <c r="B600" t="str">
        <f>"02806637"</f>
        <v>02806637</v>
      </c>
      <c r="C600" t="s">
        <v>1823</v>
      </c>
      <c r="D600" t="s">
        <v>1824</v>
      </c>
      <c r="E600" t="s">
        <v>1825</v>
      </c>
      <c r="G600" t="s">
        <v>815</v>
      </c>
      <c r="H600" t="s">
        <v>816</v>
      </c>
      <c r="J600" t="s">
        <v>817</v>
      </c>
      <c r="L600" t="s">
        <v>138</v>
      </c>
      <c r="M600" t="s">
        <v>139</v>
      </c>
      <c r="R600" t="s">
        <v>1823</v>
      </c>
      <c r="W600" t="s">
        <v>1826</v>
      </c>
      <c r="X600" t="s">
        <v>204</v>
      </c>
      <c r="Y600" t="s">
        <v>110</v>
      </c>
      <c r="Z600" t="s">
        <v>111</v>
      </c>
      <c r="AA600" t="str">
        <f>"13905-4246"</f>
        <v>13905-4246</v>
      </c>
      <c r="AB600" t="s">
        <v>123</v>
      </c>
      <c r="AC600" t="s">
        <v>113</v>
      </c>
      <c r="AD600" t="s">
        <v>108</v>
      </c>
      <c r="AE600" t="s">
        <v>114</v>
      </c>
      <c r="AF600" t="s">
        <v>115</v>
      </c>
      <c r="AG600" t="s">
        <v>116</v>
      </c>
      <c r="AK600" t="str">
        <f t="shared" si="62"/>
        <v/>
      </c>
      <c r="AL600" t="s">
        <v>1824</v>
      </c>
      <c r="AM600">
        <v>0</v>
      </c>
      <c r="AN600">
        <v>0</v>
      </c>
      <c r="AO600">
        <v>0</v>
      </c>
      <c r="AP600">
        <v>0</v>
      </c>
      <c r="AQ600">
        <v>0</v>
      </c>
      <c r="AR600">
        <v>0</v>
      </c>
      <c r="AS600">
        <v>0</v>
      </c>
      <c r="AT600">
        <v>0</v>
      </c>
      <c r="AU600">
        <v>0</v>
      </c>
      <c r="AV600">
        <v>0</v>
      </c>
      <c r="AW600">
        <v>0</v>
      </c>
      <c r="AX600" s="24" t="str">
        <f t="shared" si="60"/>
        <v/>
      </c>
      <c r="AY600" s="24">
        <f t="shared" si="60"/>
        <v>1</v>
      </c>
      <c r="AZ600" s="24" t="str">
        <f t="shared" si="61"/>
        <v/>
      </c>
      <c r="BA600" s="24" t="str">
        <f t="shared" ref="AZ600:BI625" si="65">IF(ISERROR(FIND(BA$1,$L600,1)),"",1)</f>
        <v/>
      </c>
      <c r="BB600" s="24" t="str">
        <f t="shared" si="65"/>
        <v/>
      </c>
      <c r="BC600" s="24" t="str">
        <f t="shared" si="65"/>
        <v/>
      </c>
      <c r="BD600" s="24" t="str">
        <f t="shared" si="65"/>
        <v/>
      </c>
      <c r="BE600" s="24" t="str">
        <f t="shared" si="65"/>
        <v/>
      </c>
      <c r="BF600" s="24" t="str">
        <f t="shared" si="65"/>
        <v/>
      </c>
      <c r="BG600" s="24" t="str">
        <f t="shared" si="65"/>
        <v/>
      </c>
      <c r="BH600" s="24" t="str">
        <f t="shared" si="63"/>
        <v/>
      </c>
      <c r="BI600" s="24">
        <f t="shared" si="65"/>
        <v>1</v>
      </c>
      <c r="BJ600" s="24" t="str">
        <f t="shared" si="64"/>
        <v/>
      </c>
    </row>
    <row r="601" spans="1:62" ht="15" customHeight="1" x14ac:dyDescent="0.25">
      <c r="A601" t="str">
        <f>"1023228996"</f>
        <v>1023228996</v>
      </c>
      <c r="B601" t="str">
        <f>"03369220"</f>
        <v>03369220</v>
      </c>
      <c r="C601" t="s">
        <v>2765</v>
      </c>
      <c r="D601" t="s">
        <v>2766</v>
      </c>
      <c r="E601" t="s">
        <v>2767</v>
      </c>
      <c r="G601" t="s">
        <v>2755</v>
      </c>
      <c r="H601" t="s">
        <v>2756</v>
      </c>
      <c r="J601" t="s">
        <v>2768</v>
      </c>
      <c r="L601" t="s">
        <v>120</v>
      </c>
      <c r="M601" t="s">
        <v>108</v>
      </c>
      <c r="R601" t="s">
        <v>2769</v>
      </c>
      <c r="W601" t="s">
        <v>2767</v>
      </c>
      <c r="X601" t="s">
        <v>2759</v>
      </c>
      <c r="Y601" t="s">
        <v>293</v>
      </c>
      <c r="Z601" t="s">
        <v>111</v>
      </c>
      <c r="AA601" t="str">
        <f>"14850-1863"</f>
        <v>14850-1863</v>
      </c>
      <c r="AB601" t="s">
        <v>123</v>
      </c>
      <c r="AC601" t="s">
        <v>113</v>
      </c>
      <c r="AD601" t="s">
        <v>108</v>
      </c>
      <c r="AE601" t="s">
        <v>114</v>
      </c>
      <c r="AF601" t="s">
        <v>142</v>
      </c>
      <c r="AG601" t="s">
        <v>116</v>
      </c>
      <c r="AK601" t="str">
        <f t="shared" si="62"/>
        <v/>
      </c>
      <c r="AL601" t="s">
        <v>2766</v>
      </c>
      <c r="AM601">
        <v>1</v>
      </c>
      <c r="AN601">
        <v>1</v>
      </c>
      <c r="AO601">
        <v>0</v>
      </c>
      <c r="AP601">
        <v>0</v>
      </c>
      <c r="AQ601">
        <v>0</v>
      </c>
      <c r="AR601">
        <v>0</v>
      </c>
      <c r="AS601">
        <v>0</v>
      </c>
      <c r="AT601">
        <v>0</v>
      </c>
      <c r="AU601">
        <v>1</v>
      </c>
      <c r="AV601">
        <v>0</v>
      </c>
      <c r="AW601">
        <v>0</v>
      </c>
      <c r="AX601" s="24">
        <f t="shared" si="60"/>
        <v>1</v>
      </c>
      <c r="AY601" s="24" t="str">
        <f t="shared" si="60"/>
        <v/>
      </c>
      <c r="AZ601" s="24" t="str">
        <f t="shared" si="65"/>
        <v/>
      </c>
      <c r="BA601" s="24" t="str">
        <f t="shared" si="65"/>
        <v/>
      </c>
      <c r="BB601" s="24" t="str">
        <f t="shared" si="65"/>
        <v/>
      </c>
      <c r="BC601" s="24" t="str">
        <f t="shared" si="65"/>
        <v/>
      </c>
      <c r="BD601" s="24" t="str">
        <f t="shared" si="65"/>
        <v/>
      </c>
      <c r="BE601" s="24" t="str">
        <f t="shared" si="65"/>
        <v/>
      </c>
      <c r="BF601" s="24" t="str">
        <f t="shared" si="65"/>
        <v/>
      </c>
      <c r="BG601" s="24" t="str">
        <f t="shared" si="65"/>
        <v/>
      </c>
      <c r="BH601" s="24" t="str">
        <f t="shared" si="63"/>
        <v/>
      </c>
      <c r="BI601" s="24">
        <f t="shared" si="65"/>
        <v>1</v>
      </c>
      <c r="BJ601" s="24" t="str">
        <f t="shared" si="64"/>
        <v/>
      </c>
    </row>
    <row r="602" spans="1:62" ht="15" customHeight="1" x14ac:dyDescent="0.25">
      <c r="A602" t="str">
        <f>"1831327410"</f>
        <v>1831327410</v>
      </c>
      <c r="B602" t="str">
        <f>"03504212"</f>
        <v>03504212</v>
      </c>
      <c r="C602" t="s">
        <v>4451</v>
      </c>
      <c r="D602" t="s">
        <v>4452</v>
      </c>
      <c r="E602" t="s">
        <v>4451</v>
      </c>
      <c r="G602" t="s">
        <v>4447</v>
      </c>
      <c r="H602" t="s">
        <v>4448</v>
      </c>
      <c r="J602" t="s">
        <v>4449</v>
      </c>
      <c r="L602" t="s">
        <v>120</v>
      </c>
      <c r="M602" t="s">
        <v>108</v>
      </c>
      <c r="R602" t="s">
        <v>4451</v>
      </c>
      <c r="W602" t="s">
        <v>4453</v>
      </c>
      <c r="X602" t="s">
        <v>1579</v>
      </c>
      <c r="Y602" t="s">
        <v>122</v>
      </c>
      <c r="Z602" t="s">
        <v>111</v>
      </c>
      <c r="AA602" t="str">
        <f>"13815-1153"</f>
        <v>13815-1153</v>
      </c>
      <c r="AB602" t="s">
        <v>123</v>
      </c>
      <c r="AC602" t="s">
        <v>113</v>
      </c>
      <c r="AD602" t="s">
        <v>108</v>
      </c>
      <c r="AE602" t="s">
        <v>114</v>
      </c>
      <c r="AF602" t="s">
        <v>124</v>
      </c>
      <c r="AG602" t="s">
        <v>116</v>
      </c>
      <c r="AK602" t="str">
        <f t="shared" si="62"/>
        <v/>
      </c>
      <c r="AL602" t="s">
        <v>4452</v>
      </c>
      <c r="AM602">
        <v>1</v>
      </c>
      <c r="AN602">
        <v>1</v>
      </c>
      <c r="AO602">
        <v>0</v>
      </c>
      <c r="AP602">
        <v>1</v>
      </c>
      <c r="AQ602">
        <v>1</v>
      </c>
      <c r="AR602">
        <v>0</v>
      </c>
      <c r="AS602">
        <v>0</v>
      </c>
      <c r="AT602">
        <v>0</v>
      </c>
      <c r="AU602">
        <v>0</v>
      </c>
      <c r="AV602">
        <v>0</v>
      </c>
      <c r="AW602">
        <v>0</v>
      </c>
      <c r="AX602" s="24">
        <f t="shared" si="60"/>
        <v>1</v>
      </c>
      <c r="AY602" s="24" t="str">
        <f t="shared" si="60"/>
        <v/>
      </c>
      <c r="AZ602" s="24" t="str">
        <f t="shared" si="65"/>
        <v/>
      </c>
      <c r="BA602" s="24" t="str">
        <f t="shared" si="65"/>
        <v/>
      </c>
      <c r="BB602" s="24" t="str">
        <f t="shared" si="65"/>
        <v/>
      </c>
      <c r="BC602" s="24" t="str">
        <f t="shared" si="65"/>
        <v/>
      </c>
      <c r="BD602" s="24" t="str">
        <f t="shared" si="65"/>
        <v/>
      </c>
      <c r="BE602" s="24" t="str">
        <f t="shared" si="65"/>
        <v/>
      </c>
      <c r="BF602" s="24" t="str">
        <f t="shared" si="65"/>
        <v/>
      </c>
      <c r="BG602" s="24" t="str">
        <f t="shared" si="65"/>
        <v/>
      </c>
      <c r="BH602" s="24" t="str">
        <f t="shared" si="63"/>
        <v/>
      </c>
      <c r="BI602" s="24">
        <f t="shared" si="65"/>
        <v>1</v>
      </c>
      <c r="BJ602" s="24" t="str">
        <f t="shared" si="64"/>
        <v/>
      </c>
    </row>
    <row r="603" spans="1:62" ht="15" customHeight="1" x14ac:dyDescent="0.25">
      <c r="A603" t="str">
        <f>"1275533481"</f>
        <v>1275533481</v>
      </c>
      <c r="B603" t="str">
        <f>"00775131"</f>
        <v>00775131</v>
      </c>
      <c r="C603" t="s">
        <v>4117</v>
      </c>
      <c r="D603" t="s">
        <v>4118</v>
      </c>
      <c r="E603" t="s">
        <v>4119</v>
      </c>
      <c r="L603" t="s">
        <v>138</v>
      </c>
      <c r="M603" t="s">
        <v>108</v>
      </c>
      <c r="R603" t="s">
        <v>4117</v>
      </c>
      <c r="W603" t="s">
        <v>4117</v>
      </c>
      <c r="AB603" t="s">
        <v>123</v>
      </c>
      <c r="AC603" t="s">
        <v>113</v>
      </c>
      <c r="AD603" t="s">
        <v>108</v>
      </c>
      <c r="AE603" t="s">
        <v>114</v>
      </c>
      <c r="AF603" t="s">
        <v>115</v>
      </c>
      <c r="AG603" t="s">
        <v>116</v>
      </c>
      <c r="AK603" t="str">
        <f t="shared" si="62"/>
        <v/>
      </c>
      <c r="AL603" t="s">
        <v>4118</v>
      </c>
      <c r="AM603">
        <v>1</v>
      </c>
      <c r="AN603">
        <v>1</v>
      </c>
      <c r="AO603">
        <v>0</v>
      </c>
      <c r="AP603">
        <v>1</v>
      </c>
      <c r="AQ603">
        <v>1</v>
      </c>
      <c r="AR603">
        <v>0</v>
      </c>
      <c r="AS603">
        <v>0</v>
      </c>
      <c r="AT603">
        <v>0</v>
      </c>
      <c r="AU603">
        <v>0</v>
      </c>
      <c r="AV603">
        <v>0</v>
      </c>
      <c r="AW603">
        <v>0</v>
      </c>
      <c r="AX603" s="24" t="str">
        <f t="shared" si="60"/>
        <v/>
      </c>
      <c r="AY603" s="24">
        <f t="shared" si="60"/>
        <v>1</v>
      </c>
      <c r="AZ603" s="24" t="str">
        <f t="shared" si="65"/>
        <v/>
      </c>
      <c r="BA603" s="24" t="str">
        <f t="shared" si="65"/>
        <v/>
      </c>
      <c r="BB603" s="24" t="str">
        <f t="shared" si="65"/>
        <v/>
      </c>
      <c r="BC603" s="24" t="str">
        <f t="shared" si="65"/>
        <v/>
      </c>
      <c r="BD603" s="24" t="str">
        <f t="shared" si="65"/>
        <v/>
      </c>
      <c r="BE603" s="24" t="str">
        <f t="shared" si="65"/>
        <v/>
      </c>
      <c r="BF603" s="24" t="str">
        <f t="shared" si="65"/>
        <v/>
      </c>
      <c r="BG603" s="24" t="str">
        <f t="shared" si="65"/>
        <v/>
      </c>
      <c r="BH603" s="24" t="str">
        <f t="shared" si="63"/>
        <v/>
      </c>
      <c r="BI603" s="24">
        <f t="shared" si="65"/>
        <v>1</v>
      </c>
      <c r="BJ603" s="24" t="str">
        <f t="shared" si="64"/>
        <v/>
      </c>
    </row>
    <row r="604" spans="1:62" ht="15" customHeight="1" x14ac:dyDescent="0.25">
      <c r="A604" t="str">
        <f>"1558520510"</f>
        <v>1558520510</v>
      </c>
      <c r="B604" t="str">
        <f>"03031692"</f>
        <v>03031692</v>
      </c>
      <c r="C604" t="s">
        <v>878</v>
      </c>
      <c r="D604" t="s">
        <v>879</v>
      </c>
      <c r="E604" t="s">
        <v>880</v>
      </c>
      <c r="L604" t="s">
        <v>6867</v>
      </c>
      <c r="M604" t="s">
        <v>108</v>
      </c>
      <c r="R604" t="s">
        <v>878</v>
      </c>
      <c r="W604" t="s">
        <v>880</v>
      </c>
      <c r="X604" t="s">
        <v>881</v>
      </c>
      <c r="Y604" t="s">
        <v>321</v>
      </c>
      <c r="Z604" t="s">
        <v>111</v>
      </c>
      <c r="AA604" t="str">
        <f>"13760-5430"</f>
        <v>13760-5430</v>
      </c>
      <c r="AB604" t="s">
        <v>123</v>
      </c>
      <c r="AC604" t="s">
        <v>113</v>
      </c>
      <c r="AD604" t="s">
        <v>108</v>
      </c>
      <c r="AE604" t="s">
        <v>114</v>
      </c>
      <c r="AF604" t="s">
        <v>115</v>
      </c>
      <c r="AG604" t="s">
        <v>116</v>
      </c>
      <c r="AK604" t="str">
        <f t="shared" si="62"/>
        <v/>
      </c>
      <c r="AL604" t="s">
        <v>879</v>
      </c>
      <c r="AM604">
        <v>0</v>
      </c>
      <c r="AN604">
        <v>0</v>
      </c>
      <c r="AO604">
        <v>0</v>
      </c>
      <c r="AP604">
        <v>0</v>
      </c>
      <c r="AQ604">
        <v>0</v>
      </c>
      <c r="AR604">
        <v>0</v>
      </c>
      <c r="AS604">
        <v>0</v>
      </c>
      <c r="AT604">
        <v>0</v>
      </c>
      <c r="AU604">
        <v>0</v>
      </c>
      <c r="AV604">
        <v>0</v>
      </c>
      <c r="AW604">
        <v>0</v>
      </c>
      <c r="AX604" s="24">
        <f t="shared" si="60"/>
        <v>1</v>
      </c>
      <c r="AY604" s="24">
        <f t="shared" si="60"/>
        <v>1</v>
      </c>
      <c r="AZ604" s="24" t="str">
        <f t="shared" si="65"/>
        <v/>
      </c>
      <c r="BA604" s="24" t="str">
        <f t="shared" si="65"/>
        <v/>
      </c>
      <c r="BB604" s="24" t="str">
        <f t="shared" si="65"/>
        <v/>
      </c>
      <c r="BC604" s="24" t="str">
        <f t="shared" si="65"/>
        <v/>
      </c>
      <c r="BD604" s="24" t="str">
        <f t="shared" si="65"/>
        <v/>
      </c>
      <c r="BE604" s="24" t="str">
        <f t="shared" si="65"/>
        <v/>
      </c>
      <c r="BF604" s="24" t="str">
        <f t="shared" si="65"/>
        <v/>
      </c>
      <c r="BG604" s="24" t="str">
        <f t="shared" si="65"/>
        <v/>
      </c>
      <c r="BH604" s="24" t="str">
        <f t="shared" si="63"/>
        <v/>
      </c>
      <c r="BI604" s="24">
        <f t="shared" si="65"/>
        <v>1</v>
      </c>
      <c r="BJ604" s="24" t="str">
        <f t="shared" si="64"/>
        <v/>
      </c>
    </row>
    <row r="605" spans="1:62" ht="15" customHeight="1" x14ac:dyDescent="0.25">
      <c r="A605" t="str">
        <f>"1588049837"</f>
        <v>1588049837</v>
      </c>
      <c r="B605" t="str">
        <f>"04273176"</f>
        <v>04273176</v>
      </c>
      <c r="C605" t="s">
        <v>6129</v>
      </c>
      <c r="D605" t="s">
        <v>6130</v>
      </c>
      <c r="E605" t="s">
        <v>6131</v>
      </c>
      <c r="G605" t="s">
        <v>815</v>
      </c>
      <c r="H605" t="s">
        <v>816</v>
      </c>
      <c r="J605" t="s">
        <v>817</v>
      </c>
      <c r="L605" t="s">
        <v>442</v>
      </c>
      <c r="M605" t="s">
        <v>108</v>
      </c>
      <c r="R605" t="s">
        <v>6132</v>
      </c>
      <c r="W605" t="s">
        <v>6131</v>
      </c>
      <c r="X605" t="s">
        <v>5944</v>
      </c>
      <c r="Y605" t="s">
        <v>966</v>
      </c>
      <c r="Z605" t="s">
        <v>111</v>
      </c>
      <c r="AA605" t="str">
        <f>"13850-2003"</f>
        <v>13850-2003</v>
      </c>
      <c r="AB605" t="s">
        <v>123</v>
      </c>
      <c r="AC605" t="s">
        <v>113</v>
      </c>
      <c r="AD605" t="s">
        <v>108</v>
      </c>
      <c r="AE605" t="s">
        <v>114</v>
      </c>
      <c r="AF605" t="s">
        <v>115</v>
      </c>
      <c r="AG605" t="s">
        <v>116</v>
      </c>
      <c r="AK605" t="str">
        <f t="shared" si="62"/>
        <v>Hwayeon Stella Kim, FNP</v>
      </c>
      <c r="AL605" t="s">
        <v>6130</v>
      </c>
      <c r="AM605" t="s">
        <v>108</v>
      </c>
      <c r="AN605" t="s">
        <v>108</v>
      </c>
      <c r="AO605" t="s">
        <v>108</v>
      </c>
      <c r="AP605" t="s">
        <v>108</v>
      </c>
      <c r="AQ605" t="s">
        <v>108</v>
      </c>
      <c r="AR605" t="s">
        <v>108</v>
      </c>
      <c r="AS605" t="s">
        <v>108</v>
      </c>
      <c r="AT605" t="s">
        <v>108</v>
      </c>
      <c r="AU605">
        <v>0</v>
      </c>
      <c r="AV605" t="s">
        <v>108</v>
      </c>
      <c r="AW605" t="s">
        <v>108</v>
      </c>
      <c r="AX605" s="24">
        <f t="shared" si="60"/>
        <v>1</v>
      </c>
      <c r="AY605" s="24" t="str">
        <f t="shared" si="60"/>
        <v/>
      </c>
      <c r="AZ605" s="24" t="str">
        <f t="shared" si="65"/>
        <v/>
      </c>
      <c r="BA605" s="24" t="str">
        <f t="shared" si="65"/>
        <v/>
      </c>
      <c r="BB605" s="24" t="str">
        <f t="shared" si="65"/>
        <v/>
      </c>
      <c r="BC605" s="24" t="str">
        <f t="shared" si="65"/>
        <v/>
      </c>
      <c r="BD605" s="24" t="str">
        <f t="shared" si="65"/>
        <v/>
      </c>
      <c r="BE605" s="24" t="str">
        <f t="shared" si="65"/>
        <v/>
      </c>
      <c r="BF605" s="24" t="str">
        <f t="shared" si="65"/>
        <v/>
      </c>
      <c r="BG605" s="24" t="str">
        <f t="shared" si="65"/>
        <v/>
      </c>
      <c r="BH605" s="24" t="str">
        <f t="shared" si="63"/>
        <v/>
      </c>
      <c r="BI605" s="24" t="str">
        <f t="shared" si="65"/>
        <v/>
      </c>
      <c r="BJ605" s="24" t="str">
        <f t="shared" si="64"/>
        <v/>
      </c>
    </row>
    <row r="606" spans="1:62" ht="15" customHeight="1" x14ac:dyDescent="0.25">
      <c r="A606" t="str">
        <f>"1245546407"</f>
        <v>1245546407</v>
      </c>
      <c r="B606" t="str">
        <f>"03744974"</f>
        <v>03744974</v>
      </c>
      <c r="C606" t="s">
        <v>4336</v>
      </c>
      <c r="D606" t="s">
        <v>4337</v>
      </c>
      <c r="E606" t="s">
        <v>4336</v>
      </c>
      <c r="G606" t="s">
        <v>699</v>
      </c>
      <c r="H606" t="s">
        <v>700</v>
      </c>
      <c r="J606" t="s">
        <v>701</v>
      </c>
      <c r="L606" t="s">
        <v>120</v>
      </c>
      <c r="M606" t="s">
        <v>108</v>
      </c>
      <c r="R606" t="s">
        <v>4338</v>
      </c>
      <c r="W606" t="s">
        <v>4336</v>
      </c>
      <c r="X606" t="s">
        <v>766</v>
      </c>
      <c r="Y606" t="s">
        <v>281</v>
      </c>
      <c r="Z606" t="s">
        <v>111</v>
      </c>
      <c r="AA606" t="str">
        <f>"13827-3217"</f>
        <v>13827-3217</v>
      </c>
      <c r="AB606" t="s">
        <v>123</v>
      </c>
      <c r="AC606" t="s">
        <v>113</v>
      </c>
      <c r="AD606" t="s">
        <v>108</v>
      </c>
      <c r="AE606" t="s">
        <v>114</v>
      </c>
      <c r="AF606" t="s">
        <v>115</v>
      </c>
      <c r="AG606" t="s">
        <v>116</v>
      </c>
      <c r="AK606" t="str">
        <f t="shared" si="62"/>
        <v/>
      </c>
      <c r="AL606" t="s">
        <v>4337</v>
      </c>
      <c r="AM606">
        <v>1</v>
      </c>
      <c r="AN606">
        <v>1</v>
      </c>
      <c r="AO606">
        <v>0</v>
      </c>
      <c r="AP606">
        <v>0</v>
      </c>
      <c r="AQ606">
        <v>0</v>
      </c>
      <c r="AR606">
        <v>0</v>
      </c>
      <c r="AS606">
        <v>0</v>
      </c>
      <c r="AT606">
        <v>1</v>
      </c>
      <c r="AU606">
        <v>1</v>
      </c>
      <c r="AV606">
        <v>1</v>
      </c>
      <c r="AW606">
        <v>0</v>
      </c>
      <c r="AX606" s="24">
        <f t="shared" si="60"/>
        <v>1</v>
      </c>
      <c r="AY606" s="24" t="str">
        <f t="shared" si="60"/>
        <v/>
      </c>
      <c r="AZ606" s="24" t="str">
        <f t="shared" si="65"/>
        <v/>
      </c>
      <c r="BA606" s="24" t="str">
        <f t="shared" si="65"/>
        <v/>
      </c>
      <c r="BB606" s="24" t="str">
        <f t="shared" si="65"/>
        <v/>
      </c>
      <c r="BC606" s="24" t="str">
        <f t="shared" si="65"/>
        <v/>
      </c>
      <c r="BD606" s="24" t="str">
        <f t="shared" si="65"/>
        <v/>
      </c>
      <c r="BE606" s="24" t="str">
        <f t="shared" si="65"/>
        <v/>
      </c>
      <c r="BF606" s="24" t="str">
        <f t="shared" si="65"/>
        <v/>
      </c>
      <c r="BG606" s="24" t="str">
        <f t="shared" si="65"/>
        <v/>
      </c>
      <c r="BH606" s="24" t="str">
        <f t="shared" si="63"/>
        <v/>
      </c>
      <c r="BI606" s="24">
        <f t="shared" si="65"/>
        <v>1</v>
      </c>
      <c r="BJ606" s="24" t="str">
        <f t="shared" si="64"/>
        <v/>
      </c>
    </row>
    <row r="607" spans="1:62" ht="15" customHeight="1" x14ac:dyDescent="0.25">
      <c r="B607" t="str">
        <f>"01945399"</f>
        <v>01945399</v>
      </c>
      <c r="C607" t="s">
        <v>1369</v>
      </c>
      <c r="D607" t="s">
        <v>1370</v>
      </c>
      <c r="E607" t="s">
        <v>1371</v>
      </c>
      <c r="G607" t="s">
        <v>1372</v>
      </c>
      <c r="H607" t="s">
        <v>1373</v>
      </c>
      <c r="J607" t="s">
        <v>1374</v>
      </c>
      <c r="L607" t="s">
        <v>68</v>
      </c>
      <c r="M607" t="s">
        <v>139</v>
      </c>
      <c r="W607" t="s">
        <v>1371</v>
      </c>
      <c r="X607" t="s">
        <v>1375</v>
      </c>
      <c r="Y607" t="s">
        <v>321</v>
      </c>
      <c r="Z607" t="s">
        <v>111</v>
      </c>
      <c r="AA607" t="str">
        <f>"13760-4789"</f>
        <v>13760-4789</v>
      </c>
      <c r="AB607" t="s">
        <v>165</v>
      </c>
      <c r="AC607" t="s">
        <v>113</v>
      </c>
      <c r="AD607" t="s">
        <v>108</v>
      </c>
      <c r="AE607" t="s">
        <v>114</v>
      </c>
      <c r="AF607" t="s">
        <v>115</v>
      </c>
      <c r="AG607" t="s">
        <v>116</v>
      </c>
      <c r="AK607" t="str">
        <f t="shared" si="62"/>
        <v/>
      </c>
      <c r="AL607" t="s">
        <v>1370</v>
      </c>
      <c r="AM607">
        <v>1</v>
      </c>
      <c r="AN607">
        <v>0</v>
      </c>
      <c r="AO607">
        <v>1</v>
      </c>
      <c r="AP607">
        <v>0</v>
      </c>
      <c r="AQ607">
        <v>0</v>
      </c>
      <c r="AR607">
        <v>0</v>
      </c>
      <c r="AS607">
        <v>0</v>
      </c>
      <c r="AT607">
        <v>0</v>
      </c>
      <c r="AU607">
        <v>0</v>
      </c>
      <c r="AV607">
        <v>0</v>
      </c>
      <c r="AW607">
        <v>0</v>
      </c>
      <c r="AX607" s="24" t="str">
        <f t="shared" si="60"/>
        <v/>
      </c>
      <c r="AY607" s="24" t="str">
        <f t="shared" si="60"/>
        <v/>
      </c>
      <c r="AZ607" s="24" t="str">
        <f t="shared" si="65"/>
        <v/>
      </c>
      <c r="BA607" s="24" t="str">
        <f t="shared" si="65"/>
        <v/>
      </c>
      <c r="BB607" s="24" t="str">
        <f t="shared" si="65"/>
        <v/>
      </c>
      <c r="BC607" s="24" t="str">
        <f t="shared" si="65"/>
        <v/>
      </c>
      <c r="BD607" s="24" t="str">
        <f t="shared" si="65"/>
        <v/>
      </c>
      <c r="BE607" s="24" t="str">
        <f t="shared" si="65"/>
        <v/>
      </c>
      <c r="BF607" s="24" t="str">
        <f t="shared" si="65"/>
        <v/>
      </c>
      <c r="BG607" s="24" t="str">
        <f t="shared" si="65"/>
        <v/>
      </c>
      <c r="BH607" s="24" t="str">
        <f t="shared" si="63"/>
        <v/>
      </c>
      <c r="BI607" s="24">
        <f t="shared" si="65"/>
        <v>1</v>
      </c>
      <c r="BJ607" s="24" t="str">
        <f t="shared" si="64"/>
        <v/>
      </c>
    </row>
    <row r="608" spans="1:62" ht="15" customHeight="1" x14ac:dyDescent="0.25">
      <c r="A608" t="str">
        <f>"1336116300"</f>
        <v>1336116300</v>
      </c>
      <c r="B608" t="str">
        <f>"01195995"</f>
        <v>01195995</v>
      </c>
      <c r="C608" t="s">
        <v>1376</v>
      </c>
      <c r="D608" t="s">
        <v>1377</v>
      </c>
      <c r="E608" t="s">
        <v>1378</v>
      </c>
      <c r="G608" t="s">
        <v>1379</v>
      </c>
      <c r="H608" t="s">
        <v>1380</v>
      </c>
      <c r="J608" t="s">
        <v>1381</v>
      </c>
      <c r="L608" t="s">
        <v>1382</v>
      </c>
      <c r="M608" t="s">
        <v>139</v>
      </c>
      <c r="R608" t="s">
        <v>1383</v>
      </c>
      <c r="W608" t="s">
        <v>1384</v>
      </c>
      <c r="X608" t="s">
        <v>1385</v>
      </c>
      <c r="Y608" t="s">
        <v>321</v>
      </c>
      <c r="Z608" t="s">
        <v>111</v>
      </c>
      <c r="AA608" t="str">
        <f>"13760-4720"</f>
        <v>13760-4720</v>
      </c>
      <c r="AB608" t="s">
        <v>312</v>
      </c>
      <c r="AC608" t="s">
        <v>113</v>
      </c>
      <c r="AD608" t="s">
        <v>108</v>
      </c>
      <c r="AE608" t="s">
        <v>114</v>
      </c>
      <c r="AF608" t="s">
        <v>115</v>
      </c>
      <c r="AG608" t="s">
        <v>116</v>
      </c>
      <c r="AK608" t="str">
        <f t="shared" si="62"/>
        <v/>
      </c>
      <c r="AL608" t="s">
        <v>1377</v>
      </c>
      <c r="AM608">
        <v>1</v>
      </c>
      <c r="AN608">
        <v>0</v>
      </c>
      <c r="AO608">
        <v>1</v>
      </c>
      <c r="AP608">
        <v>0</v>
      </c>
      <c r="AQ608">
        <v>0</v>
      </c>
      <c r="AR608">
        <v>0</v>
      </c>
      <c r="AS608">
        <v>0</v>
      </c>
      <c r="AT608">
        <v>0</v>
      </c>
      <c r="AU608">
        <v>0</v>
      </c>
      <c r="AV608">
        <v>0</v>
      </c>
      <c r="AW608">
        <v>0</v>
      </c>
      <c r="AX608" s="24" t="str">
        <f t="shared" si="60"/>
        <v/>
      </c>
      <c r="AY608" s="24" t="str">
        <f t="shared" si="60"/>
        <v/>
      </c>
      <c r="AZ608" s="24" t="str">
        <f t="shared" si="65"/>
        <v/>
      </c>
      <c r="BA608" s="24" t="str">
        <f t="shared" si="65"/>
        <v/>
      </c>
      <c r="BB608" s="24" t="str">
        <f t="shared" si="65"/>
        <v/>
      </c>
      <c r="BC608" s="24" t="str">
        <f t="shared" si="65"/>
        <v/>
      </c>
      <c r="BD608" s="24" t="str">
        <f t="shared" si="65"/>
        <v/>
      </c>
      <c r="BE608" s="24">
        <f t="shared" si="65"/>
        <v>1</v>
      </c>
      <c r="BF608" s="24" t="str">
        <f t="shared" si="65"/>
        <v/>
      </c>
      <c r="BG608" s="24" t="str">
        <f t="shared" si="65"/>
        <v/>
      </c>
      <c r="BH608" s="24" t="str">
        <f t="shared" si="63"/>
        <v/>
      </c>
      <c r="BI608" s="24">
        <f t="shared" si="65"/>
        <v>1</v>
      </c>
      <c r="BJ608" s="24" t="str">
        <f t="shared" si="64"/>
        <v/>
      </c>
    </row>
    <row r="609" spans="1:62" ht="15" customHeight="1" x14ac:dyDescent="0.25">
      <c r="A609" t="str">
        <f>"1265491922"</f>
        <v>1265491922</v>
      </c>
      <c r="B609" t="str">
        <f>"01195197"</f>
        <v>01195197</v>
      </c>
      <c r="C609" t="s">
        <v>1376</v>
      </c>
      <c r="D609" t="s">
        <v>4882</v>
      </c>
      <c r="E609" t="s">
        <v>4883</v>
      </c>
      <c r="G609" t="s">
        <v>1379</v>
      </c>
      <c r="H609" t="s">
        <v>1380</v>
      </c>
      <c r="J609" t="s">
        <v>1381</v>
      </c>
      <c r="L609" t="s">
        <v>68</v>
      </c>
      <c r="M609" t="s">
        <v>139</v>
      </c>
      <c r="R609" t="s">
        <v>4884</v>
      </c>
      <c r="W609" t="s">
        <v>4883</v>
      </c>
      <c r="X609" t="s">
        <v>4885</v>
      </c>
      <c r="Y609" t="s">
        <v>321</v>
      </c>
      <c r="Z609" t="s">
        <v>111</v>
      </c>
      <c r="AA609" t="str">
        <f>"13760-4719"</f>
        <v>13760-4719</v>
      </c>
      <c r="AB609" t="s">
        <v>312</v>
      </c>
      <c r="AC609" t="s">
        <v>113</v>
      </c>
      <c r="AD609" t="s">
        <v>108</v>
      </c>
      <c r="AE609" t="s">
        <v>114</v>
      </c>
      <c r="AF609" t="s">
        <v>115</v>
      </c>
      <c r="AG609" t="s">
        <v>116</v>
      </c>
      <c r="AK609" t="str">
        <f t="shared" si="62"/>
        <v/>
      </c>
      <c r="AL609" t="s">
        <v>4882</v>
      </c>
      <c r="AM609">
        <v>1</v>
      </c>
      <c r="AN609">
        <v>0</v>
      </c>
      <c r="AO609">
        <v>1</v>
      </c>
      <c r="AP609">
        <v>0</v>
      </c>
      <c r="AQ609">
        <v>0</v>
      </c>
      <c r="AR609">
        <v>0</v>
      </c>
      <c r="AS609">
        <v>0</v>
      </c>
      <c r="AT609">
        <v>0</v>
      </c>
      <c r="AU609">
        <v>0</v>
      </c>
      <c r="AV609">
        <v>0</v>
      </c>
      <c r="AW609">
        <v>0</v>
      </c>
      <c r="AX609" s="24" t="str">
        <f t="shared" si="60"/>
        <v/>
      </c>
      <c r="AY609" s="24" t="str">
        <f t="shared" si="60"/>
        <v/>
      </c>
      <c r="AZ609" s="24" t="str">
        <f t="shared" si="65"/>
        <v/>
      </c>
      <c r="BA609" s="24" t="str">
        <f t="shared" si="65"/>
        <v/>
      </c>
      <c r="BB609" s="24" t="str">
        <f t="shared" si="65"/>
        <v/>
      </c>
      <c r="BC609" s="24" t="str">
        <f t="shared" si="65"/>
        <v/>
      </c>
      <c r="BD609" s="24" t="str">
        <f t="shared" si="65"/>
        <v/>
      </c>
      <c r="BE609" s="24" t="str">
        <f t="shared" si="65"/>
        <v/>
      </c>
      <c r="BF609" s="24" t="str">
        <f t="shared" si="65"/>
        <v/>
      </c>
      <c r="BG609" s="24" t="str">
        <f t="shared" si="65"/>
        <v/>
      </c>
      <c r="BH609" s="24" t="str">
        <f t="shared" si="63"/>
        <v/>
      </c>
      <c r="BI609" s="24">
        <f t="shared" si="65"/>
        <v>1</v>
      </c>
      <c r="BJ609" s="24" t="str">
        <f t="shared" si="64"/>
        <v/>
      </c>
    </row>
    <row r="610" spans="1:62" ht="15" customHeight="1" x14ac:dyDescent="0.25">
      <c r="A610" t="str">
        <f>"1578876991"</f>
        <v>1578876991</v>
      </c>
      <c r="B610" t="str">
        <f>"03361644"</f>
        <v>03361644</v>
      </c>
      <c r="C610" t="s">
        <v>6133</v>
      </c>
      <c r="D610" t="s">
        <v>6134</v>
      </c>
      <c r="E610" t="s">
        <v>6135</v>
      </c>
      <c r="G610" t="s">
        <v>815</v>
      </c>
      <c r="H610" t="s">
        <v>816</v>
      </c>
      <c r="J610" t="s">
        <v>817</v>
      </c>
      <c r="L610" t="s">
        <v>247</v>
      </c>
      <c r="M610" t="s">
        <v>108</v>
      </c>
      <c r="R610" t="s">
        <v>6136</v>
      </c>
      <c r="W610" t="s">
        <v>6135</v>
      </c>
      <c r="X610" t="s">
        <v>1811</v>
      </c>
      <c r="Y610" t="s">
        <v>110</v>
      </c>
      <c r="Z610" t="s">
        <v>111</v>
      </c>
      <c r="AA610" t="str">
        <f>"13905-4176"</f>
        <v>13905-4176</v>
      </c>
      <c r="AB610" t="s">
        <v>123</v>
      </c>
      <c r="AC610" t="s">
        <v>113</v>
      </c>
      <c r="AD610" t="s">
        <v>108</v>
      </c>
      <c r="AE610" t="s">
        <v>114</v>
      </c>
      <c r="AF610" t="s">
        <v>115</v>
      </c>
      <c r="AG610" t="s">
        <v>116</v>
      </c>
      <c r="AK610" t="str">
        <f t="shared" si="62"/>
        <v>Ihsan U. Khan, MD</v>
      </c>
      <c r="AL610" t="s">
        <v>6134</v>
      </c>
      <c r="AM610" t="s">
        <v>108</v>
      </c>
      <c r="AN610" t="s">
        <v>108</v>
      </c>
      <c r="AO610" t="s">
        <v>108</v>
      </c>
      <c r="AP610" t="s">
        <v>108</v>
      </c>
      <c r="AQ610" t="s">
        <v>108</v>
      </c>
      <c r="AR610" t="s">
        <v>108</v>
      </c>
      <c r="AS610" t="s">
        <v>108</v>
      </c>
      <c r="AT610" t="s">
        <v>108</v>
      </c>
      <c r="AU610">
        <v>0</v>
      </c>
      <c r="AV610" t="s">
        <v>108</v>
      </c>
      <c r="AW610" t="s">
        <v>108</v>
      </c>
      <c r="AX610" s="24" t="str">
        <f t="shared" si="60"/>
        <v/>
      </c>
      <c r="AY610" s="24">
        <f t="shared" si="60"/>
        <v>1</v>
      </c>
      <c r="AZ610" s="24" t="str">
        <f t="shared" si="65"/>
        <v/>
      </c>
      <c r="BA610" s="24" t="str">
        <f t="shared" si="65"/>
        <v/>
      </c>
      <c r="BB610" s="24" t="str">
        <f t="shared" si="65"/>
        <v/>
      </c>
      <c r="BC610" s="24" t="str">
        <f t="shared" si="65"/>
        <v/>
      </c>
      <c r="BD610" s="24" t="str">
        <f t="shared" si="65"/>
        <v/>
      </c>
      <c r="BE610" s="24" t="str">
        <f t="shared" si="65"/>
        <v/>
      </c>
      <c r="BF610" s="24" t="str">
        <f t="shared" si="65"/>
        <v/>
      </c>
      <c r="BG610" s="24" t="str">
        <f t="shared" si="65"/>
        <v/>
      </c>
      <c r="BH610" s="24" t="str">
        <f t="shared" si="63"/>
        <v/>
      </c>
      <c r="BI610" s="24" t="str">
        <f t="shared" si="65"/>
        <v/>
      </c>
      <c r="BJ610" s="24" t="str">
        <f t="shared" si="64"/>
        <v/>
      </c>
    </row>
    <row r="611" spans="1:62" ht="15" customHeight="1" x14ac:dyDescent="0.25">
      <c r="A611" t="str">
        <f>"1619371317"</f>
        <v>1619371317</v>
      </c>
      <c r="B611" t="str">
        <f>"04039121"</f>
        <v>04039121</v>
      </c>
      <c r="C611" t="s">
        <v>6820</v>
      </c>
      <c r="D611" t="s">
        <v>7104</v>
      </c>
      <c r="E611" t="s">
        <v>6820</v>
      </c>
      <c r="G611" t="s">
        <v>815</v>
      </c>
      <c r="H611" t="s">
        <v>816</v>
      </c>
      <c r="J611" t="s">
        <v>817</v>
      </c>
      <c r="L611" t="s">
        <v>247</v>
      </c>
      <c r="M611" t="s">
        <v>108</v>
      </c>
      <c r="R611" t="s">
        <v>6820</v>
      </c>
      <c r="W611" t="s">
        <v>6820</v>
      </c>
      <c r="X611" t="s">
        <v>5944</v>
      </c>
      <c r="Y611" t="s">
        <v>966</v>
      </c>
      <c r="Z611" t="s">
        <v>111</v>
      </c>
      <c r="AA611" t="str">
        <f>"13850-2003"</f>
        <v>13850-2003</v>
      </c>
      <c r="AB611" t="s">
        <v>123</v>
      </c>
      <c r="AC611" t="s">
        <v>113</v>
      </c>
      <c r="AD611" t="s">
        <v>108</v>
      </c>
      <c r="AE611" t="s">
        <v>114</v>
      </c>
      <c r="AF611" t="s">
        <v>115</v>
      </c>
      <c r="AG611" t="s">
        <v>116</v>
      </c>
      <c r="AK611" t="str">
        <f t="shared" si="62"/>
        <v>II JANINE</v>
      </c>
      <c r="AL611" t="s">
        <v>7104</v>
      </c>
      <c r="AM611" t="s">
        <v>108</v>
      </c>
      <c r="AN611" t="s">
        <v>108</v>
      </c>
      <c r="AO611" t="s">
        <v>108</v>
      </c>
      <c r="AP611" t="s">
        <v>108</v>
      </c>
      <c r="AQ611" t="s">
        <v>108</v>
      </c>
      <c r="AR611" t="s">
        <v>108</v>
      </c>
      <c r="AS611" t="s">
        <v>108</v>
      </c>
      <c r="AT611" t="s">
        <v>108</v>
      </c>
      <c r="AU611">
        <v>0</v>
      </c>
      <c r="AV611" t="s">
        <v>108</v>
      </c>
      <c r="AW611" t="s">
        <v>108</v>
      </c>
      <c r="AX611" s="24" t="str">
        <f t="shared" si="60"/>
        <v/>
      </c>
      <c r="AY611" s="24">
        <f t="shared" si="60"/>
        <v>1</v>
      </c>
      <c r="AZ611" s="24" t="str">
        <f t="shared" si="65"/>
        <v/>
      </c>
      <c r="BA611" s="24" t="str">
        <f t="shared" si="65"/>
        <v/>
      </c>
      <c r="BB611" s="24" t="str">
        <f t="shared" si="65"/>
        <v/>
      </c>
      <c r="BC611" s="24" t="str">
        <f t="shared" si="65"/>
        <v/>
      </c>
      <c r="BD611" s="24" t="str">
        <f t="shared" si="65"/>
        <v/>
      </c>
      <c r="BE611" s="24" t="str">
        <f t="shared" si="65"/>
        <v/>
      </c>
      <c r="BF611" s="24" t="str">
        <f t="shared" si="65"/>
        <v/>
      </c>
      <c r="BG611" s="24" t="str">
        <f t="shared" si="65"/>
        <v/>
      </c>
      <c r="BH611" s="24" t="str">
        <f t="shared" si="63"/>
        <v/>
      </c>
      <c r="BI611" s="24" t="str">
        <f t="shared" si="65"/>
        <v/>
      </c>
      <c r="BJ611" s="24" t="str">
        <f t="shared" si="64"/>
        <v/>
      </c>
    </row>
    <row r="612" spans="1:62" ht="15" customHeight="1" x14ac:dyDescent="0.25">
      <c r="A612" t="str">
        <f>"1194777078"</f>
        <v>1194777078</v>
      </c>
      <c r="B612" t="str">
        <f>"02987002"</f>
        <v>02987002</v>
      </c>
      <c r="C612" t="s">
        <v>4078</v>
      </c>
      <c r="D612" t="s">
        <v>4079</v>
      </c>
      <c r="E612" t="s">
        <v>4080</v>
      </c>
      <c r="L612" t="s">
        <v>247</v>
      </c>
      <c r="M612" t="s">
        <v>108</v>
      </c>
      <c r="R612" t="s">
        <v>4081</v>
      </c>
      <c r="W612" t="s">
        <v>4082</v>
      </c>
      <c r="X612" t="s">
        <v>1237</v>
      </c>
      <c r="Y612" t="s">
        <v>129</v>
      </c>
      <c r="Z612" t="s">
        <v>111</v>
      </c>
      <c r="AA612" t="str">
        <f>"13790-2102"</f>
        <v>13790-2102</v>
      </c>
      <c r="AB612" t="s">
        <v>123</v>
      </c>
      <c r="AC612" t="s">
        <v>113</v>
      </c>
      <c r="AD612" t="s">
        <v>108</v>
      </c>
      <c r="AE612" t="s">
        <v>114</v>
      </c>
      <c r="AF612" t="s">
        <v>115</v>
      </c>
      <c r="AG612" t="s">
        <v>116</v>
      </c>
      <c r="AK612" t="str">
        <f t="shared" si="62"/>
        <v>INCER MARIA DR.</v>
      </c>
      <c r="AL612" t="s">
        <v>4079</v>
      </c>
      <c r="AM612" t="s">
        <v>108</v>
      </c>
      <c r="AN612" t="s">
        <v>108</v>
      </c>
      <c r="AO612" t="s">
        <v>108</v>
      </c>
      <c r="AP612" t="s">
        <v>108</v>
      </c>
      <c r="AQ612" t="s">
        <v>108</v>
      </c>
      <c r="AR612" t="s">
        <v>108</v>
      </c>
      <c r="AS612" t="s">
        <v>108</v>
      </c>
      <c r="AT612" t="s">
        <v>108</v>
      </c>
      <c r="AU612">
        <v>0</v>
      </c>
      <c r="AV612" t="s">
        <v>108</v>
      </c>
      <c r="AW612" t="s">
        <v>108</v>
      </c>
      <c r="AX612" s="24" t="str">
        <f t="shared" si="60"/>
        <v/>
      </c>
      <c r="AY612" s="24">
        <f t="shared" si="60"/>
        <v>1</v>
      </c>
      <c r="AZ612" s="24" t="str">
        <f t="shared" si="65"/>
        <v/>
      </c>
      <c r="BA612" s="24" t="str">
        <f t="shared" si="65"/>
        <v/>
      </c>
      <c r="BB612" s="24" t="str">
        <f t="shared" si="65"/>
        <v/>
      </c>
      <c r="BC612" s="24" t="str">
        <f t="shared" si="65"/>
        <v/>
      </c>
      <c r="BD612" s="24" t="str">
        <f t="shared" si="65"/>
        <v/>
      </c>
      <c r="BE612" s="24" t="str">
        <f t="shared" si="65"/>
        <v/>
      </c>
      <c r="BF612" s="24" t="str">
        <f t="shared" si="65"/>
        <v/>
      </c>
      <c r="BG612" s="24" t="str">
        <f t="shared" si="65"/>
        <v/>
      </c>
      <c r="BH612" s="24" t="str">
        <f t="shared" si="63"/>
        <v/>
      </c>
      <c r="BI612" s="24" t="str">
        <f t="shared" si="65"/>
        <v/>
      </c>
      <c r="BJ612" s="24" t="str">
        <f t="shared" si="64"/>
        <v/>
      </c>
    </row>
    <row r="613" spans="1:62" ht="15" customHeight="1" x14ac:dyDescent="0.25">
      <c r="A613" t="str">
        <f>"1669440707"</f>
        <v>1669440707</v>
      </c>
      <c r="B613" t="str">
        <f>"02581455"</f>
        <v>02581455</v>
      </c>
      <c r="C613" t="s">
        <v>4995</v>
      </c>
      <c r="D613" t="s">
        <v>4996</v>
      </c>
      <c r="E613" t="s">
        <v>4995</v>
      </c>
      <c r="G613" t="s">
        <v>699</v>
      </c>
      <c r="H613" t="s">
        <v>700</v>
      </c>
      <c r="J613" t="s">
        <v>701</v>
      </c>
      <c r="L613" t="s">
        <v>120</v>
      </c>
      <c r="M613" t="s">
        <v>108</v>
      </c>
      <c r="R613" t="s">
        <v>4997</v>
      </c>
      <c r="W613" t="s">
        <v>4995</v>
      </c>
      <c r="Y613" t="s">
        <v>148</v>
      </c>
      <c r="Z613" t="s">
        <v>111</v>
      </c>
      <c r="AA613" t="str">
        <f>"14845-8533"</f>
        <v>14845-8533</v>
      </c>
      <c r="AB613" t="s">
        <v>123</v>
      </c>
      <c r="AC613" t="s">
        <v>113</v>
      </c>
      <c r="AD613" t="s">
        <v>108</v>
      </c>
      <c r="AE613" t="s">
        <v>114</v>
      </c>
      <c r="AF613" t="s">
        <v>149</v>
      </c>
      <c r="AG613" t="s">
        <v>116</v>
      </c>
      <c r="AK613" t="str">
        <f t="shared" si="62"/>
        <v/>
      </c>
      <c r="AL613" t="s">
        <v>4996</v>
      </c>
      <c r="AM613">
        <v>1</v>
      </c>
      <c r="AN613">
        <v>1</v>
      </c>
      <c r="AO613">
        <v>0</v>
      </c>
      <c r="AP613">
        <v>0</v>
      </c>
      <c r="AQ613">
        <v>0</v>
      </c>
      <c r="AR613">
        <v>0</v>
      </c>
      <c r="AS613">
        <v>0</v>
      </c>
      <c r="AT613">
        <v>1</v>
      </c>
      <c r="AU613">
        <v>1</v>
      </c>
      <c r="AV613">
        <v>1</v>
      </c>
      <c r="AW613">
        <v>0</v>
      </c>
      <c r="AX613" s="24">
        <f t="shared" si="60"/>
        <v>1</v>
      </c>
      <c r="AY613" s="24" t="str">
        <f t="shared" si="60"/>
        <v/>
      </c>
      <c r="AZ613" s="24" t="str">
        <f t="shared" si="65"/>
        <v/>
      </c>
      <c r="BA613" s="24" t="str">
        <f t="shared" si="65"/>
        <v/>
      </c>
      <c r="BB613" s="24" t="str">
        <f t="shared" si="65"/>
        <v/>
      </c>
      <c r="BC613" s="24" t="str">
        <f t="shared" si="65"/>
        <v/>
      </c>
      <c r="BD613" s="24" t="str">
        <f t="shared" si="65"/>
        <v/>
      </c>
      <c r="BE613" s="24" t="str">
        <f t="shared" si="65"/>
        <v/>
      </c>
      <c r="BF613" s="24" t="str">
        <f t="shared" si="65"/>
        <v/>
      </c>
      <c r="BG613" s="24" t="str">
        <f t="shared" si="65"/>
        <v/>
      </c>
      <c r="BH613" s="24" t="str">
        <f t="shared" si="63"/>
        <v/>
      </c>
      <c r="BI613" s="24">
        <f t="shared" si="65"/>
        <v>1</v>
      </c>
      <c r="BJ613" s="24" t="str">
        <f t="shared" si="64"/>
        <v/>
      </c>
    </row>
    <row r="614" spans="1:62" ht="15" customHeight="1" x14ac:dyDescent="0.25">
      <c r="A614" t="str">
        <f>"1780062026"</f>
        <v>1780062026</v>
      </c>
      <c r="B614" t="str">
        <f>"04152392"</f>
        <v>04152392</v>
      </c>
      <c r="C614" t="s">
        <v>6450</v>
      </c>
      <c r="D614" t="s">
        <v>6451</v>
      </c>
      <c r="E614" t="s">
        <v>6452</v>
      </c>
      <c r="G614" t="s">
        <v>6330</v>
      </c>
      <c r="H614" t="s">
        <v>6331</v>
      </c>
      <c r="J614" t="s">
        <v>6332</v>
      </c>
      <c r="L614" t="s">
        <v>138</v>
      </c>
      <c r="M614" t="s">
        <v>108</v>
      </c>
      <c r="R614" t="s">
        <v>6453</v>
      </c>
      <c r="W614" t="s">
        <v>6453</v>
      </c>
      <c r="X614" t="s">
        <v>4040</v>
      </c>
      <c r="Y614" t="s">
        <v>966</v>
      </c>
      <c r="Z614" t="s">
        <v>111</v>
      </c>
      <c r="AA614" t="str">
        <f>"13850-3556"</f>
        <v>13850-3556</v>
      </c>
      <c r="AB614" t="s">
        <v>123</v>
      </c>
      <c r="AC614" t="s">
        <v>113</v>
      </c>
      <c r="AD614" t="s">
        <v>108</v>
      </c>
      <c r="AE614" t="s">
        <v>114</v>
      </c>
      <c r="AF614" t="s">
        <v>115</v>
      </c>
      <c r="AG614" t="s">
        <v>116</v>
      </c>
      <c r="AK614" t="str">
        <f t="shared" si="62"/>
        <v>Inna Mrsic</v>
      </c>
      <c r="AL614" t="s">
        <v>6451</v>
      </c>
      <c r="AM614" t="s">
        <v>108</v>
      </c>
      <c r="AN614" t="s">
        <v>108</v>
      </c>
      <c r="AO614" t="s">
        <v>108</v>
      </c>
      <c r="AP614" t="s">
        <v>108</v>
      </c>
      <c r="AQ614" t="s">
        <v>108</v>
      </c>
      <c r="AR614" t="s">
        <v>108</v>
      </c>
      <c r="AS614" t="s">
        <v>108</v>
      </c>
      <c r="AT614" t="s">
        <v>108</v>
      </c>
      <c r="AU614">
        <v>0</v>
      </c>
      <c r="AV614" t="s">
        <v>108</v>
      </c>
      <c r="AW614" t="s">
        <v>108</v>
      </c>
      <c r="AX614" s="24" t="str">
        <f t="shared" si="60"/>
        <v/>
      </c>
      <c r="AY614" s="24">
        <f t="shared" si="60"/>
        <v>1</v>
      </c>
      <c r="AZ614" s="24" t="str">
        <f t="shared" si="65"/>
        <v/>
      </c>
      <c r="BA614" s="24" t="str">
        <f t="shared" si="65"/>
        <v/>
      </c>
      <c r="BB614" s="24" t="str">
        <f t="shared" si="65"/>
        <v/>
      </c>
      <c r="BC614" s="24" t="str">
        <f t="shared" si="65"/>
        <v/>
      </c>
      <c r="BD614" s="24" t="str">
        <f t="shared" si="65"/>
        <v/>
      </c>
      <c r="BE614" s="24" t="str">
        <f t="shared" si="65"/>
        <v/>
      </c>
      <c r="BF614" s="24" t="str">
        <f t="shared" si="65"/>
        <v/>
      </c>
      <c r="BG614" s="24" t="str">
        <f t="shared" si="65"/>
        <v/>
      </c>
      <c r="BH614" s="24" t="str">
        <f t="shared" si="63"/>
        <v/>
      </c>
      <c r="BI614" s="24">
        <f t="shared" si="65"/>
        <v>1</v>
      </c>
      <c r="BJ614" s="24" t="str">
        <f t="shared" si="64"/>
        <v/>
      </c>
    </row>
    <row r="615" spans="1:62" ht="15" customHeight="1" x14ac:dyDescent="0.25">
      <c r="A615" t="str">
        <f>"1952572356"</f>
        <v>1952572356</v>
      </c>
      <c r="B615" t="str">
        <f>"01480955"</f>
        <v>01480955</v>
      </c>
      <c r="C615" t="s">
        <v>6859</v>
      </c>
      <c r="D615" t="s">
        <v>7154</v>
      </c>
      <c r="E615" t="s">
        <v>7014</v>
      </c>
      <c r="G615" t="s">
        <v>7192</v>
      </c>
      <c r="H615" t="s">
        <v>3913</v>
      </c>
      <c r="J615" t="s">
        <v>7193</v>
      </c>
      <c r="L615" t="s">
        <v>133</v>
      </c>
      <c r="M615" t="s">
        <v>108</v>
      </c>
      <c r="R615" t="s">
        <v>6859</v>
      </c>
      <c r="W615" t="s">
        <v>7014</v>
      </c>
      <c r="X615" t="s">
        <v>7015</v>
      </c>
      <c r="Y615" t="s">
        <v>2791</v>
      </c>
      <c r="Z615" t="s">
        <v>111</v>
      </c>
      <c r="AA615" t="str">
        <f>"14810-7722"</f>
        <v>14810-7722</v>
      </c>
      <c r="AB615" t="s">
        <v>385</v>
      </c>
      <c r="AC615" t="s">
        <v>113</v>
      </c>
      <c r="AD615" t="s">
        <v>108</v>
      </c>
      <c r="AE615" t="s">
        <v>114</v>
      </c>
      <c r="AF615" t="s">
        <v>149</v>
      </c>
      <c r="AG615" t="s">
        <v>116</v>
      </c>
      <c r="AK615" t="str">
        <f t="shared" si="62"/>
        <v>INSTITUTE FOR HUMAN SERVICES</v>
      </c>
      <c r="AL615" t="s">
        <v>7154</v>
      </c>
      <c r="AM615" t="s">
        <v>108</v>
      </c>
      <c r="AN615" t="s">
        <v>108</v>
      </c>
      <c r="AO615" t="s">
        <v>108</v>
      </c>
      <c r="AP615" t="s">
        <v>108</v>
      </c>
      <c r="AQ615" t="s">
        <v>108</v>
      </c>
      <c r="AR615" t="s">
        <v>108</v>
      </c>
      <c r="AS615" t="s">
        <v>108</v>
      </c>
      <c r="AT615" t="s">
        <v>108</v>
      </c>
      <c r="AU615">
        <v>0</v>
      </c>
      <c r="AV615" t="s">
        <v>108</v>
      </c>
      <c r="AW615" t="s">
        <v>108</v>
      </c>
      <c r="AX615" s="24" t="str">
        <f t="shared" si="60"/>
        <v/>
      </c>
      <c r="AY615" s="24" t="str">
        <f t="shared" si="60"/>
        <v/>
      </c>
      <c r="AZ615" s="24" t="str">
        <f t="shared" si="65"/>
        <v/>
      </c>
      <c r="BA615" s="24" t="str">
        <f t="shared" si="65"/>
        <v/>
      </c>
      <c r="BB615" s="24" t="str">
        <f t="shared" si="65"/>
        <v/>
      </c>
      <c r="BC615" s="24" t="str">
        <f t="shared" si="65"/>
        <v/>
      </c>
      <c r="BD615" s="24" t="str">
        <f t="shared" si="65"/>
        <v/>
      </c>
      <c r="BE615" s="24" t="str">
        <f t="shared" si="65"/>
        <v/>
      </c>
      <c r="BF615" s="24" t="str">
        <f t="shared" si="65"/>
        <v/>
      </c>
      <c r="BG615" s="24" t="str">
        <f t="shared" si="65"/>
        <v/>
      </c>
      <c r="BH615" s="24" t="str">
        <f t="shared" si="63"/>
        <v/>
      </c>
      <c r="BI615" s="24" t="str">
        <f t="shared" si="65"/>
        <v/>
      </c>
      <c r="BJ615" s="24">
        <f t="shared" si="64"/>
        <v>1</v>
      </c>
    </row>
    <row r="616" spans="1:62" ht="15" customHeight="1" x14ac:dyDescent="0.25">
      <c r="A616" t="str">
        <f>"1205190360"</f>
        <v>1205190360</v>
      </c>
      <c r="B616" t="str">
        <f>"04366423"</f>
        <v>04366423</v>
      </c>
      <c r="C616" t="s">
        <v>6810</v>
      </c>
      <c r="D616" t="s">
        <v>7091</v>
      </c>
      <c r="E616" t="s">
        <v>6810</v>
      </c>
      <c r="G616" t="s">
        <v>1352</v>
      </c>
      <c r="H616" t="s">
        <v>1301</v>
      </c>
      <c r="J616" t="s">
        <v>1354</v>
      </c>
      <c r="L616" t="s">
        <v>247</v>
      </c>
      <c r="M616" t="s">
        <v>108</v>
      </c>
      <c r="R616" t="s">
        <v>6810</v>
      </c>
      <c r="W616" t="s">
        <v>6810</v>
      </c>
      <c r="X616" t="s">
        <v>238</v>
      </c>
      <c r="Y616" t="s">
        <v>239</v>
      </c>
      <c r="Z616" t="s">
        <v>111</v>
      </c>
      <c r="AA616" t="str">
        <f>"13045-1206"</f>
        <v>13045-1206</v>
      </c>
      <c r="AB616" t="s">
        <v>123</v>
      </c>
      <c r="AC616" t="s">
        <v>113</v>
      </c>
      <c r="AD616" t="s">
        <v>108</v>
      </c>
      <c r="AE616" t="s">
        <v>114</v>
      </c>
      <c r="AF616" t="s">
        <v>142</v>
      </c>
      <c r="AG616" t="s">
        <v>116</v>
      </c>
      <c r="AK616" t="str">
        <f t="shared" si="62"/>
        <v>IQBAL HAMEED</v>
      </c>
      <c r="AL616" t="s">
        <v>7091</v>
      </c>
      <c r="AM616" t="s">
        <v>108</v>
      </c>
      <c r="AN616" t="s">
        <v>108</v>
      </c>
      <c r="AO616" t="s">
        <v>108</v>
      </c>
      <c r="AP616" t="s">
        <v>108</v>
      </c>
      <c r="AQ616" t="s">
        <v>108</v>
      </c>
      <c r="AR616" t="s">
        <v>108</v>
      </c>
      <c r="AS616" t="s">
        <v>108</v>
      </c>
      <c r="AT616" t="s">
        <v>108</v>
      </c>
      <c r="AU616">
        <v>0</v>
      </c>
      <c r="AV616" t="s">
        <v>108</v>
      </c>
      <c r="AW616" t="s">
        <v>108</v>
      </c>
      <c r="AX616" s="24" t="str">
        <f t="shared" ref="AX616:AY679" si="66">IF(ISERROR(FIND(AX$1,$L616,1)),"",1)</f>
        <v/>
      </c>
      <c r="AY616" s="24">
        <f t="shared" si="66"/>
        <v>1</v>
      </c>
      <c r="AZ616" s="24" t="str">
        <f t="shared" si="65"/>
        <v/>
      </c>
      <c r="BA616" s="24" t="str">
        <f t="shared" si="65"/>
        <v/>
      </c>
      <c r="BB616" s="24" t="str">
        <f t="shared" si="65"/>
        <v/>
      </c>
      <c r="BC616" s="24" t="str">
        <f t="shared" si="65"/>
        <v/>
      </c>
      <c r="BD616" s="24" t="str">
        <f t="shared" si="65"/>
        <v/>
      </c>
      <c r="BE616" s="24" t="str">
        <f t="shared" si="65"/>
        <v/>
      </c>
      <c r="BF616" s="24" t="str">
        <f t="shared" si="65"/>
        <v/>
      </c>
      <c r="BG616" s="24" t="str">
        <f t="shared" si="65"/>
        <v/>
      </c>
      <c r="BH616" s="24" t="str">
        <f t="shared" si="63"/>
        <v/>
      </c>
      <c r="BI616" s="24" t="str">
        <f t="shared" si="65"/>
        <v/>
      </c>
      <c r="BJ616" s="24" t="str">
        <f t="shared" si="64"/>
        <v/>
      </c>
    </row>
    <row r="617" spans="1:62" ht="15" customHeight="1" x14ac:dyDescent="0.25">
      <c r="A617" t="str">
        <f>"1548262363"</f>
        <v>1548262363</v>
      </c>
      <c r="B617" t="str">
        <f>"01292828"</f>
        <v>01292828</v>
      </c>
      <c r="C617" t="s">
        <v>1975</v>
      </c>
      <c r="D617" t="s">
        <v>1976</v>
      </c>
      <c r="E617" t="s">
        <v>1977</v>
      </c>
      <c r="G617" t="s">
        <v>1978</v>
      </c>
      <c r="H617" t="s">
        <v>1979</v>
      </c>
      <c r="I617">
        <v>40</v>
      </c>
      <c r="J617" t="s">
        <v>1980</v>
      </c>
      <c r="L617" t="s">
        <v>289</v>
      </c>
      <c r="M617" t="s">
        <v>139</v>
      </c>
      <c r="R617" t="s">
        <v>1981</v>
      </c>
      <c r="W617" t="s">
        <v>1977</v>
      </c>
      <c r="X617" t="s">
        <v>1982</v>
      </c>
      <c r="Y617" t="s">
        <v>293</v>
      </c>
      <c r="Z617" t="s">
        <v>111</v>
      </c>
      <c r="AA617" t="str">
        <f>"14850-5432"</f>
        <v>14850-5432</v>
      </c>
      <c r="AB617" t="s">
        <v>282</v>
      </c>
      <c r="AC617" t="s">
        <v>113</v>
      </c>
      <c r="AD617" t="s">
        <v>108</v>
      </c>
      <c r="AE617" t="s">
        <v>114</v>
      </c>
      <c r="AF617" t="s">
        <v>142</v>
      </c>
      <c r="AG617" t="s">
        <v>116</v>
      </c>
      <c r="AK617" t="str">
        <f t="shared" si="62"/>
        <v/>
      </c>
      <c r="AL617" t="s">
        <v>1976</v>
      </c>
      <c r="AM617">
        <v>1</v>
      </c>
      <c r="AN617">
        <v>0</v>
      </c>
      <c r="AO617">
        <v>0</v>
      </c>
      <c r="AP617">
        <v>0</v>
      </c>
      <c r="AQ617">
        <v>1</v>
      </c>
      <c r="AR617">
        <v>0</v>
      </c>
      <c r="AS617">
        <v>0</v>
      </c>
      <c r="AT617">
        <v>0</v>
      </c>
      <c r="AU617">
        <v>0</v>
      </c>
      <c r="AV617">
        <v>0</v>
      </c>
      <c r="AW617">
        <v>0</v>
      </c>
      <c r="AX617" s="24" t="str">
        <f t="shared" si="66"/>
        <v/>
      </c>
      <c r="AY617" s="24" t="str">
        <f t="shared" si="66"/>
        <v/>
      </c>
      <c r="AZ617" s="24" t="str">
        <f t="shared" si="65"/>
        <v/>
      </c>
      <c r="BA617" s="24" t="str">
        <f t="shared" si="65"/>
        <v/>
      </c>
      <c r="BB617" s="24" t="str">
        <f t="shared" si="65"/>
        <v/>
      </c>
      <c r="BC617" s="24" t="str">
        <f t="shared" si="65"/>
        <v/>
      </c>
      <c r="BD617" s="24">
        <f t="shared" si="65"/>
        <v>1</v>
      </c>
      <c r="BE617" s="24" t="str">
        <f t="shared" si="65"/>
        <v/>
      </c>
      <c r="BF617" s="24" t="str">
        <f t="shared" si="65"/>
        <v/>
      </c>
      <c r="BG617" s="24" t="str">
        <f t="shared" si="65"/>
        <v/>
      </c>
      <c r="BH617" s="24" t="str">
        <f t="shared" si="63"/>
        <v/>
      </c>
      <c r="BI617" s="24">
        <f t="shared" si="65"/>
        <v>1</v>
      </c>
      <c r="BJ617" s="24" t="str">
        <f t="shared" si="64"/>
        <v/>
      </c>
    </row>
    <row r="618" spans="1:62" ht="15" customHeight="1" x14ac:dyDescent="0.25">
      <c r="C618" t="s">
        <v>5767</v>
      </c>
      <c r="G618" t="s">
        <v>5768</v>
      </c>
      <c r="H618" t="s">
        <v>5769</v>
      </c>
      <c r="I618">
        <v>243</v>
      </c>
      <c r="J618" t="s">
        <v>5770</v>
      </c>
      <c r="K618" t="s">
        <v>5771</v>
      </c>
      <c r="L618" t="s">
        <v>781</v>
      </c>
      <c r="M618" t="s">
        <v>108</v>
      </c>
      <c r="N618" t="s">
        <v>5772</v>
      </c>
      <c r="O618" t="s">
        <v>1088</v>
      </c>
      <c r="P618" t="s">
        <v>111</v>
      </c>
      <c r="Q618" t="str">
        <f>"14850"</f>
        <v>14850</v>
      </c>
      <c r="AC618" t="s">
        <v>113</v>
      </c>
      <c r="AD618" t="s">
        <v>108</v>
      </c>
      <c r="AE618" t="s">
        <v>784</v>
      </c>
      <c r="AF618" t="s">
        <v>142</v>
      </c>
      <c r="AG618" t="s">
        <v>116</v>
      </c>
      <c r="AK618" t="str">
        <f t="shared" si="62"/>
        <v>Ithaca Housing Authority</v>
      </c>
      <c r="AM618" t="s">
        <v>108</v>
      </c>
      <c r="AN618" t="s">
        <v>108</v>
      </c>
      <c r="AO618" t="s">
        <v>108</v>
      </c>
      <c r="AP618" t="s">
        <v>108</v>
      </c>
      <c r="AQ618" t="s">
        <v>108</v>
      </c>
      <c r="AR618" t="s">
        <v>108</v>
      </c>
      <c r="AS618" t="s">
        <v>108</v>
      </c>
      <c r="AT618" t="s">
        <v>108</v>
      </c>
      <c r="AU618">
        <v>0</v>
      </c>
      <c r="AV618" t="s">
        <v>108</v>
      </c>
      <c r="AW618" t="s">
        <v>108</v>
      </c>
      <c r="AX618" s="24" t="str">
        <f t="shared" si="66"/>
        <v/>
      </c>
      <c r="AY618" s="24" t="str">
        <f t="shared" si="66"/>
        <v/>
      </c>
      <c r="AZ618" s="24" t="str">
        <f t="shared" si="65"/>
        <v/>
      </c>
      <c r="BA618" s="24" t="str">
        <f t="shared" si="65"/>
        <v/>
      </c>
      <c r="BB618" s="24" t="str">
        <f t="shared" si="65"/>
        <v/>
      </c>
      <c r="BC618" s="24" t="str">
        <f t="shared" si="65"/>
        <v/>
      </c>
      <c r="BD618" s="24" t="str">
        <f t="shared" si="65"/>
        <v/>
      </c>
      <c r="BE618" s="24" t="str">
        <f t="shared" si="65"/>
        <v/>
      </c>
      <c r="BF618" s="24" t="str">
        <f t="shared" si="65"/>
        <v/>
      </c>
      <c r="BG618" s="24" t="str">
        <f t="shared" si="65"/>
        <v/>
      </c>
      <c r="BH618" s="24">
        <f t="shared" si="63"/>
        <v>1</v>
      </c>
      <c r="BI618" s="24" t="str">
        <f t="shared" si="65"/>
        <v/>
      </c>
      <c r="BJ618" s="24" t="str">
        <f t="shared" si="64"/>
        <v/>
      </c>
    </row>
    <row r="619" spans="1:62" ht="15" customHeight="1" x14ac:dyDescent="0.25">
      <c r="C619" t="s">
        <v>5858</v>
      </c>
      <c r="G619" t="s">
        <v>5859</v>
      </c>
      <c r="H619" t="s">
        <v>2567</v>
      </c>
      <c r="J619" t="s">
        <v>5860</v>
      </c>
      <c r="K619" t="s">
        <v>780</v>
      </c>
      <c r="L619" t="s">
        <v>781</v>
      </c>
      <c r="M619" t="s">
        <v>108</v>
      </c>
      <c r="N619" t="s">
        <v>5861</v>
      </c>
      <c r="O619" t="s">
        <v>1088</v>
      </c>
      <c r="P619" t="s">
        <v>111</v>
      </c>
      <c r="Q619" t="str">
        <f>"14850"</f>
        <v>14850</v>
      </c>
      <c r="AC619" t="s">
        <v>113</v>
      </c>
      <c r="AD619" t="s">
        <v>108</v>
      </c>
      <c r="AE619" t="s">
        <v>784</v>
      </c>
      <c r="AF619" t="s">
        <v>142</v>
      </c>
      <c r="AG619" t="s">
        <v>116</v>
      </c>
      <c r="AK619" t="str">
        <f t="shared" si="62"/>
        <v>Ithaca Primary Care</v>
      </c>
      <c r="AM619" t="s">
        <v>108</v>
      </c>
      <c r="AN619" t="s">
        <v>108</v>
      </c>
      <c r="AO619" t="s">
        <v>108</v>
      </c>
      <c r="AP619" t="s">
        <v>108</v>
      </c>
      <c r="AQ619" t="s">
        <v>108</v>
      </c>
      <c r="AR619" t="s">
        <v>108</v>
      </c>
      <c r="AS619" t="s">
        <v>108</v>
      </c>
      <c r="AT619" t="s">
        <v>108</v>
      </c>
      <c r="AU619">
        <v>0</v>
      </c>
      <c r="AV619" t="s">
        <v>108</v>
      </c>
      <c r="AW619" t="s">
        <v>108</v>
      </c>
      <c r="AX619" s="24" t="str">
        <f t="shared" si="66"/>
        <v/>
      </c>
      <c r="AY619" s="24" t="str">
        <f t="shared" si="66"/>
        <v/>
      </c>
      <c r="AZ619" s="24" t="str">
        <f t="shared" si="65"/>
        <v/>
      </c>
      <c r="BA619" s="24" t="str">
        <f t="shared" si="65"/>
        <v/>
      </c>
      <c r="BB619" s="24" t="str">
        <f t="shared" si="65"/>
        <v/>
      </c>
      <c r="BC619" s="24" t="str">
        <f t="shared" si="65"/>
        <v/>
      </c>
      <c r="BD619" s="24" t="str">
        <f t="shared" si="65"/>
        <v/>
      </c>
      <c r="BE619" s="24" t="str">
        <f t="shared" si="65"/>
        <v/>
      </c>
      <c r="BF619" s="24" t="str">
        <f t="shared" si="65"/>
        <v/>
      </c>
      <c r="BG619" s="24" t="str">
        <f t="shared" si="65"/>
        <v/>
      </c>
      <c r="BH619" s="24">
        <f t="shared" si="63"/>
        <v>1</v>
      </c>
      <c r="BI619" s="24" t="str">
        <f t="shared" si="65"/>
        <v/>
      </c>
      <c r="BJ619" s="24" t="str">
        <f t="shared" si="64"/>
        <v/>
      </c>
    </row>
    <row r="620" spans="1:62" ht="15" customHeight="1" x14ac:dyDescent="0.25">
      <c r="A620" t="str">
        <f>"1780668103"</f>
        <v>1780668103</v>
      </c>
      <c r="B620" t="str">
        <f>"01295894"</f>
        <v>01295894</v>
      </c>
      <c r="C620" t="s">
        <v>4365</v>
      </c>
      <c r="D620" t="s">
        <v>4366</v>
      </c>
      <c r="E620" t="s">
        <v>4367</v>
      </c>
      <c r="G620" t="s">
        <v>786</v>
      </c>
      <c r="H620" t="s">
        <v>787</v>
      </c>
      <c r="I620">
        <v>5027</v>
      </c>
      <c r="J620" t="s">
        <v>788</v>
      </c>
      <c r="L620" t="s">
        <v>6867</v>
      </c>
      <c r="M620" t="s">
        <v>108</v>
      </c>
      <c r="R620" t="s">
        <v>4368</v>
      </c>
      <c r="W620" t="s">
        <v>4367</v>
      </c>
      <c r="X620" t="s">
        <v>4369</v>
      </c>
      <c r="Y620" t="s">
        <v>262</v>
      </c>
      <c r="Z620" t="s">
        <v>111</v>
      </c>
      <c r="AA620" t="str">
        <f>"13053"</f>
        <v>13053</v>
      </c>
      <c r="AB620" t="s">
        <v>123</v>
      </c>
      <c r="AC620" t="s">
        <v>113</v>
      </c>
      <c r="AD620" t="s">
        <v>108</v>
      </c>
      <c r="AE620" t="s">
        <v>114</v>
      </c>
      <c r="AF620" t="s">
        <v>142</v>
      </c>
      <c r="AG620" t="s">
        <v>116</v>
      </c>
      <c r="AK620" t="str">
        <f t="shared" si="62"/>
        <v/>
      </c>
      <c r="AL620" t="s">
        <v>4366</v>
      </c>
      <c r="AM620">
        <v>0</v>
      </c>
      <c r="AN620">
        <v>0</v>
      </c>
      <c r="AO620">
        <v>0</v>
      </c>
      <c r="AP620">
        <v>0</v>
      </c>
      <c r="AQ620">
        <v>0</v>
      </c>
      <c r="AR620">
        <v>0</v>
      </c>
      <c r="AS620">
        <v>0</v>
      </c>
      <c r="AT620">
        <v>0</v>
      </c>
      <c r="AU620">
        <v>1</v>
      </c>
      <c r="AV620">
        <v>0</v>
      </c>
      <c r="AW620">
        <v>0</v>
      </c>
      <c r="AX620" s="24">
        <f t="shared" si="66"/>
        <v>1</v>
      </c>
      <c r="AY620" s="24">
        <f t="shared" si="66"/>
        <v>1</v>
      </c>
      <c r="AZ620" s="24" t="str">
        <f t="shared" si="65"/>
        <v/>
      </c>
      <c r="BA620" s="24" t="str">
        <f t="shared" si="65"/>
        <v/>
      </c>
      <c r="BB620" s="24" t="str">
        <f t="shared" si="65"/>
        <v/>
      </c>
      <c r="BC620" s="24" t="str">
        <f t="shared" si="65"/>
        <v/>
      </c>
      <c r="BD620" s="24" t="str">
        <f t="shared" si="65"/>
        <v/>
      </c>
      <c r="BE620" s="24" t="str">
        <f t="shared" si="65"/>
        <v/>
      </c>
      <c r="BF620" s="24" t="str">
        <f t="shared" si="65"/>
        <v/>
      </c>
      <c r="BG620" s="24" t="str">
        <f t="shared" si="65"/>
        <v/>
      </c>
      <c r="BH620" s="24" t="str">
        <f t="shared" si="63"/>
        <v/>
      </c>
      <c r="BI620" s="24">
        <f t="shared" si="65"/>
        <v>1</v>
      </c>
      <c r="BJ620" s="24" t="str">
        <f t="shared" si="64"/>
        <v/>
      </c>
    </row>
    <row r="621" spans="1:62" ht="15" customHeight="1" x14ac:dyDescent="0.25">
      <c r="B621" t="str">
        <f>"02300874"</f>
        <v>02300874</v>
      </c>
      <c r="C621" t="s">
        <v>1983</v>
      </c>
      <c r="D621" t="s">
        <v>1984</v>
      </c>
      <c r="E621" t="s">
        <v>1983</v>
      </c>
      <c r="F621">
        <v>160919050</v>
      </c>
      <c r="G621" t="s">
        <v>1985</v>
      </c>
      <c r="H621" t="s">
        <v>1986</v>
      </c>
      <c r="J621" t="s">
        <v>1987</v>
      </c>
      <c r="L621" t="s">
        <v>133</v>
      </c>
      <c r="M621" t="s">
        <v>139</v>
      </c>
      <c r="W621" t="s">
        <v>1983</v>
      </c>
      <c r="X621" t="s">
        <v>1988</v>
      </c>
      <c r="Y621" t="s">
        <v>239</v>
      </c>
      <c r="Z621" t="s">
        <v>111</v>
      </c>
      <c r="AA621" t="str">
        <f>"13045-0589"</f>
        <v>13045-0589</v>
      </c>
      <c r="AB621" t="s">
        <v>165</v>
      </c>
      <c r="AC621" t="s">
        <v>113</v>
      </c>
      <c r="AD621" t="s">
        <v>108</v>
      </c>
      <c r="AE621" t="s">
        <v>114</v>
      </c>
      <c r="AF621" t="s">
        <v>142</v>
      </c>
      <c r="AG621" t="s">
        <v>116</v>
      </c>
      <c r="AK621" t="str">
        <f t="shared" si="62"/>
        <v>J M MURRAY CTR INC HCBS 2</v>
      </c>
      <c r="AL621" t="s">
        <v>1984</v>
      </c>
      <c r="AM621" t="s">
        <v>108</v>
      </c>
      <c r="AN621" t="s">
        <v>108</v>
      </c>
      <c r="AO621" t="s">
        <v>108</v>
      </c>
      <c r="AP621" t="s">
        <v>108</v>
      </c>
      <c r="AQ621" t="s">
        <v>108</v>
      </c>
      <c r="AR621" t="s">
        <v>108</v>
      </c>
      <c r="AS621" t="s">
        <v>108</v>
      </c>
      <c r="AT621" t="s">
        <v>108</v>
      </c>
      <c r="AU621">
        <v>0</v>
      </c>
      <c r="AV621" t="s">
        <v>108</v>
      </c>
      <c r="AW621" t="s">
        <v>108</v>
      </c>
      <c r="AX621" s="24" t="str">
        <f t="shared" si="66"/>
        <v/>
      </c>
      <c r="AY621" s="24" t="str">
        <f t="shared" si="66"/>
        <v/>
      </c>
      <c r="AZ621" s="24" t="str">
        <f t="shared" si="65"/>
        <v/>
      </c>
      <c r="BA621" s="24" t="str">
        <f t="shared" si="65"/>
        <v/>
      </c>
      <c r="BB621" s="24" t="str">
        <f t="shared" si="65"/>
        <v/>
      </c>
      <c r="BC621" s="24" t="str">
        <f t="shared" si="65"/>
        <v/>
      </c>
      <c r="BD621" s="24" t="str">
        <f t="shared" si="65"/>
        <v/>
      </c>
      <c r="BE621" s="24" t="str">
        <f t="shared" si="65"/>
        <v/>
      </c>
      <c r="BF621" s="24" t="str">
        <f t="shared" si="65"/>
        <v/>
      </c>
      <c r="BG621" s="24" t="str">
        <f t="shared" si="65"/>
        <v/>
      </c>
      <c r="BH621" s="24" t="str">
        <f t="shared" si="63"/>
        <v/>
      </c>
      <c r="BI621" s="24" t="str">
        <f t="shared" si="65"/>
        <v/>
      </c>
      <c r="BJ621" s="24">
        <f t="shared" si="64"/>
        <v>1</v>
      </c>
    </row>
    <row r="622" spans="1:62" ht="15" customHeight="1" x14ac:dyDescent="0.25">
      <c r="A622" t="str">
        <f>"1679592224"</f>
        <v>1679592224</v>
      </c>
      <c r="B622" t="str">
        <f>"02173191"</f>
        <v>02173191</v>
      </c>
      <c r="C622" t="s">
        <v>3404</v>
      </c>
      <c r="D622" t="s">
        <v>3405</v>
      </c>
      <c r="E622" t="s">
        <v>3406</v>
      </c>
      <c r="G622" t="s">
        <v>3096</v>
      </c>
      <c r="H622" t="s">
        <v>3097</v>
      </c>
      <c r="J622" t="s">
        <v>3407</v>
      </c>
      <c r="L622" t="s">
        <v>138</v>
      </c>
      <c r="M622" t="s">
        <v>108</v>
      </c>
      <c r="R622" t="s">
        <v>3408</v>
      </c>
      <c r="W622" t="s">
        <v>3409</v>
      </c>
      <c r="X622" t="s">
        <v>3410</v>
      </c>
      <c r="Y622" t="s">
        <v>1053</v>
      </c>
      <c r="Z622" t="s">
        <v>111</v>
      </c>
      <c r="AA622" t="str">
        <f>"14642-0001"</f>
        <v>14642-0001</v>
      </c>
      <c r="AB622" t="s">
        <v>123</v>
      </c>
      <c r="AC622" t="s">
        <v>113</v>
      </c>
      <c r="AD622" t="s">
        <v>108</v>
      </c>
      <c r="AE622" t="s">
        <v>114</v>
      </c>
      <c r="AF622" t="s">
        <v>142</v>
      </c>
      <c r="AG622" t="s">
        <v>116</v>
      </c>
      <c r="AK622" t="str">
        <f t="shared" si="62"/>
        <v/>
      </c>
      <c r="AL622" t="s">
        <v>3405</v>
      </c>
      <c r="AM622">
        <v>1</v>
      </c>
      <c r="AN622">
        <v>1</v>
      </c>
      <c r="AO622">
        <v>0</v>
      </c>
      <c r="AP622">
        <v>0</v>
      </c>
      <c r="AQ622">
        <v>0</v>
      </c>
      <c r="AR622">
        <v>0</v>
      </c>
      <c r="AS622">
        <v>0</v>
      </c>
      <c r="AT622">
        <v>0</v>
      </c>
      <c r="AU622">
        <v>0</v>
      </c>
      <c r="AV622">
        <v>0</v>
      </c>
      <c r="AW622">
        <v>0</v>
      </c>
      <c r="AX622" s="24" t="str">
        <f t="shared" si="66"/>
        <v/>
      </c>
      <c r="AY622" s="24">
        <f t="shared" si="66"/>
        <v>1</v>
      </c>
      <c r="AZ622" s="24" t="str">
        <f t="shared" si="65"/>
        <v/>
      </c>
      <c r="BA622" s="24" t="str">
        <f t="shared" si="65"/>
        <v/>
      </c>
      <c r="BB622" s="24" t="str">
        <f t="shared" si="65"/>
        <v/>
      </c>
      <c r="BC622" s="24" t="str">
        <f t="shared" si="65"/>
        <v/>
      </c>
      <c r="BD622" s="24" t="str">
        <f t="shared" si="65"/>
        <v/>
      </c>
      <c r="BE622" s="24" t="str">
        <f t="shared" si="65"/>
        <v/>
      </c>
      <c r="BF622" s="24" t="str">
        <f t="shared" si="65"/>
        <v/>
      </c>
      <c r="BG622" s="24" t="str">
        <f t="shared" si="65"/>
        <v/>
      </c>
      <c r="BH622" s="24" t="str">
        <f t="shared" si="63"/>
        <v/>
      </c>
      <c r="BI622" s="24">
        <f t="shared" si="65"/>
        <v>1</v>
      </c>
      <c r="BJ622" s="24" t="str">
        <f t="shared" si="64"/>
        <v/>
      </c>
    </row>
    <row r="623" spans="1:62" ht="15" customHeight="1" x14ac:dyDescent="0.25">
      <c r="A623" t="str">
        <f>"1083692578"</f>
        <v>1083692578</v>
      </c>
      <c r="B623" t="str">
        <f>"01991560"</f>
        <v>01991560</v>
      </c>
      <c r="C623" t="s">
        <v>1656</v>
      </c>
      <c r="D623" t="s">
        <v>1657</v>
      </c>
      <c r="E623" t="s">
        <v>1658</v>
      </c>
      <c r="G623" t="s">
        <v>638</v>
      </c>
      <c r="H623" t="s">
        <v>645</v>
      </c>
      <c r="J623" t="s">
        <v>1659</v>
      </c>
      <c r="L623" t="s">
        <v>120</v>
      </c>
      <c r="M623" t="s">
        <v>108</v>
      </c>
      <c r="R623" t="s">
        <v>1660</v>
      </c>
      <c r="W623" t="s">
        <v>1658</v>
      </c>
      <c r="X623" t="s">
        <v>1661</v>
      </c>
      <c r="Y623" t="s">
        <v>239</v>
      </c>
      <c r="Z623" t="s">
        <v>111</v>
      </c>
      <c r="AA623" t="str">
        <f>"13045-1148"</f>
        <v>13045-1148</v>
      </c>
      <c r="AB623" t="s">
        <v>123</v>
      </c>
      <c r="AC623" t="s">
        <v>113</v>
      </c>
      <c r="AD623" t="s">
        <v>108</v>
      </c>
      <c r="AE623" t="s">
        <v>114</v>
      </c>
      <c r="AF623" t="s">
        <v>142</v>
      </c>
      <c r="AG623" t="s">
        <v>116</v>
      </c>
      <c r="AK623" t="str">
        <f t="shared" si="62"/>
        <v/>
      </c>
      <c r="AL623" t="s">
        <v>1657</v>
      </c>
      <c r="AM623">
        <v>1</v>
      </c>
      <c r="AN623">
        <v>1</v>
      </c>
      <c r="AO623">
        <v>0</v>
      </c>
      <c r="AP623">
        <v>0</v>
      </c>
      <c r="AQ623">
        <v>0</v>
      </c>
      <c r="AR623">
        <v>0</v>
      </c>
      <c r="AS623">
        <v>0</v>
      </c>
      <c r="AT623">
        <v>0</v>
      </c>
      <c r="AU623">
        <v>0</v>
      </c>
      <c r="AV623">
        <v>0</v>
      </c>
      <c r="AW623">
        <v>0</v>
      </c>
      <c r="AX623" s="24">
        <f t="shared" si="66"/>
        <v>1</v>
      </c>
      <c r="AY623" s="24" t="str">
        <f t="shared" si="66"/>
        <v/>
      </c>
      <c r="AZ623" s="24" t="str">
        <f t="shared" si="65"/>
        <v/>
      </c>
      <c r="BA623" s="24" t="str">
        <f t="shared" si="65"/>
        <v/>
      </c>
      <c r="BB623" s="24" t="str">
        <f t="shared" si="65"/>
        <v/>
      </c>
      <c r="BC623" s="24" t="str">
        <f t="shared" si="65"/>
        <v/>
      </c>
      <c r="BD623" s="24" t="str">
        <f t="shared" si="65"/>
        <v/>
      </c>
      <c r="BE623" s="24" t="str">
        <f t="shared" si="65"/>
        <v/>
      </c>
      <c r="BF623" s="24" t="str">
        <f t="shared" si="65"/>
        <v/>
      </c>
      <c r="BG623" s="24" t="str">
        <f t="shared" si="65"/>
        <v/>
      </c>
      <c r="BH623" s="24" t="str">
        <f t="shared" si="63"/>
        <v/>
      </c>
      <c r="BI623" s="24">
        <f t="shared" si="65"/>
        <v>1</v>
      </c>
      <c r="BJ623" s="24" t="str">
        <f t="shared" si="64"/>
        <v/>
      </c>
    </row>
    <row r="624" spans="1:62" ht="15" customHeight="1" x14ac:dyDescent="0.25">
      <c r="A624" t="str">
        <f>"1588977763"</f>
        <v>1588977763</v>
      </c>
      <c r="B624" t="str">
        <f>"03240966"</f>
        <v>03240966</v>
      </c>
      <c r="C624" t="s">
        <v>3714</v>
      </c>
      <c r="D624" t="s">
        <v>3715</v>
      </c>
      <c r="E624" t="s">
        <v>3716</v>
      </c>
      <c r="G624" t="s">
        <v>3714</v>
      </c>
      <c r="H624" t="s">
        <v>3687</v>
      </c>
      <c r="J624" t="s">
        <v>3717</v>
      </c>
      <c r="L624" t="s">
        <v>120</v>
      </c>
      <c r="M624" t="s">
        <v>139</v>
      </c>
      <c r="R624" t="s">
        <v>3718</v>
      </c>
      <c r="W624" t="s">
        <v>3716</v>
      </c>
      <c r="X624" t="s">
        <v>881</v>
      </c>
      <c r="Y624" t="s">
        <v>321</v>
      </c>
      <c r="Z624" t="s">
        <v>111</v>
      </c>
      <c r="AA624" t="str">
        <f>"13760-5430"</f>
        <v>13760-5430</v>
      </c>
      <c r="AB624" t="s">
        <v>123</v>
      </c>
      <c r="AC624" t="s">
        <v>113</v>
      </c>
      <c r="AD624" t="s">
        <v>108</v>
      </c>
      <c r="AE624" t="s">
        <v>114</v>
      </c>
      <c r="AF624" t="s">
        <v>115</v>
      </c>
      <c r="AG624" t="s">
        <v>116</v>
      </c>
      <c r="AK624" t="str">
        <f t="shared" si="62"/>
        <v/>
      </c>
      <c r="AL624" t="s">
        <v>3715</v>
      </c>
      <c r="AM624">
        <v>1</v>
      </c>
      <c r="AN624">
        <v>1</v>
      </c>
      <c r="AO624">
        <v>0</v>
      </c>
      <c r="AP624">
        <v>1</v>
      </c>
      <c r="AQ624">
        <v>1</v>
      </c>
      <c r="AR624">
        <v>0</v>
      </c>
      <c r="AS624">
        <v>0</v>
      </c>
      <c r="AT624">
        <v>0</v>
      </c>
      <c r="AU624">
        <v>1</v>
      </c>
      <c r="AV624">
        <v>0</v>
      </c>
      <c r="AW624">
        <v>0</v>
      </c>
      <c r="AX624" s="24">
        <f t="shared" si="66"/>
        <v>1</v>
      </c>
      <c r="AY624" s="24" t="str">
        <f t="shared" si="66"/>
        <v/>
      </c>
      <c r="AZ624" s="24" t="str">
        <f t="shared" si="65"/>
        <v/>
      </c>
      <c r="BA624" s="24" t="str">
        <f t="shared" si="65"/>
        <v/>
      </c>
      <c r="BB624" s="24" t="str">
        <f t="shared" si="65"/>
        <v/>
      </c>
      <c r="BC624" s="24" t="str">
        <f t="shared" si="65"/>
        <v/>
      </c>
      <c r="BD624" s="24" t="str">
        <f t="shared" si="65"/>
        <v/>
      </c>
      <c r="BE624" s="24" t="str">
        <f t="shared" si="65"/>
        <v/>
      </c>
      <c r="BF624" s="24" t="str">
        <f t="shared" si="65"/>
        <v/>
      </c>
      <c r="BG624" s="24" t="str">
        <f t="shared" si="65"/>
        <v/>
      </c>
      <c r="BH624" s="24" t="str">
        <f t="shared" si="63"/>
        <v/>
      </c>
      <c r="BI624" s="24">
        <f t="shared" si="65"/>
        <v>1</v>
      </c>
      <c r="BJ624" s="24" t="str">
        <f t="shared" si="64"/>
        <v/>
      </c>
    </row>
    <row r="625" spans="1:62" ht="15" customHeight="1" x14ac:dyDescent="0.25">
      <c r="A625" t="str">
        <f>"1780749671"</f>
        <v>1780749671</v>
      </c>
      <c r="B625" t="str">
        <f>"02903533"</f>
        <v>02903533</v>
      </c>
      <c r="C625" t="s">
        <v>6818</v>
      </c>
      <c r="D625" t="s">
        <v>7101</v>
      </c>
      <c r="E625" t="s">
        <v>7102</v>
      </c>
      <c r="G625" t="s">
        <v>815</v>
      </c>
      <c r="H625" t="s">
        <v>816</v>
      </c>
      <c r="J625" t="s">
        <v>817</v>
      </c>
      <c r="L625" t="s">
        <v>120</v>
      </c>
      <c r="M625" t="s">
        <v>108</v>
      </c>
      <c r="R625" t="s">
        <v>6818</v>
      </c>
      <c r="W625" t="s">
        <v>6960</v>
      </c>
      <c r="X625" t="s">
        <v>881</v>
      </c>
      <c r="Y625" t="s">
        <v>321</v>
      </c>
      <c r="Z625" t="s">
        <v>111</v>
      </c>
      <c r="AA625" t="str">
        <f>"13760-5430"</f>
        <v>13760-5430</v>
      </c>
      <c r="AB625" t="s">
        <v>123</v>
      </c>
      <c r="AC625" t="s">
        <v>113</v>
      </c>
      <c r="AD625" t="s">
        <v>108</v>
      </c>
      <c r="AE625" t="s">
        <v>114</v>
      </c>
      <c r="AF625" t="s">
        <v>115</v>
      </c>
      <c r="AG625" t="s">
        <v>116</v>
      </c>
      <c r="AK625" t="str">
        <f t="shared" si="62"/>
        <v>JACKSON SUSAN DR.</v>
      </c>
      <c r="AL625" t="s">
        <v>7101</v>
      </c>
      <c r="AM625" t="s">
        <v>108</v>
      </c>
      <c r="AN625" t="s">
        <v>108</v>
      </c>
      <c r="AO625" t="s">
        <v>108</v>
      </c>
      <c r="AP625" t="s">
        <v>108</v>
      </c>
      <c r="AQ625" t="s">
        <v>108</v>
      </c>
      <c r="AR625" t="s">
        <v>108</v>
      </c>
      <c r="AS625" t="s">
        <v>108</v>
      </c>
      <c r="AT625" t="s">
        <v>108</v>
      </c>
      <c r="AU625">
        <v>0</v>
      </c>
      <c r="AV625" t="s">
        <v>108</v>
      </c>
      <c r="AW625" t="s">
        <v>108</v>
      </c>
      <c r="AX625" s="24">
        <f t="shared" si="66"/>
        <v>1</v>
      </c>
      <c r="AY625" s="24" t="str">
        <f t="shared" si="66"/>
        <v/>
      </c>
      <c r="AZ625" s="24" t="str">
        <f t="shared" si="65"/>
        <v/>
      </c>
      <c r="BA625" s="24" t="str">
        <f t="shared" si="65"/>
        <v/>
      </c>
      <c r="BB625" s="24" t="str">
        <f t="shared" si="65"/>
        <v/>
      </c>
      <c r="BC625" s="24" t="str">
        <f t="shared" si="65"/>
        <v/>
      </c>
      <c r="BD625" s="24" t="str">
        <f t="shared" si="65"/>
        <v/>
      </c>
      <c r="BE625" s="24" t="str">
        <f t="shared" si="65"/>
        <v/>
      </c>
      <c r="BF625" s="24" t="str">
        <f t="shared" ref="AZ625:BI651" si="67">IF(ISERROR(FIND(BF$1,$L625,1)),"",1)</f>
        <v/>
      </c>
      <c r="BG625" s="24" t="str">
        <f t="shared" si="67"/>
        <v/>
      </c>
      <c r="BH625" s="24" t="str">
        <f t="shared" si="63"/>
        <v/>
      </c>
      <c r="BI625" s="24">
        <f t="shared" si="67"/>
        <v>1</v>
      </c>
      <c r="BJ625" s="24" t="str">
        <f t="shared" si="64"/>
        <v/>
      </c>
    </row>
    <row r="626" spans="1:62" ht="15" customHeight="1" x14ac:dyDescent="0.25">
      <c r="A626" t="str">
        <f>"1841204963"</f>
        <v>1841204963</v>
      </c>
      <c r="B626" t="str">
        <f>"03505406"</f>
        <v>03505406</v>
      </c>
      <c r="C626" t="s">
        <v>3417</v>
      </c>
      <c r="D626" t="s">
        <v>3418</v>
      </c>
      <c r="E626" t="s">
        <v>3419</v>
      </c>
      <c r="G626" t="s">
        <v>3096</v>
      </c>
      <c r="H626" t="s">
        <v>3097</v>
      </c>
      <c r="J626" t="s">
        <v>3420</v>
      </c>
      <c r="L626" t="s">
        <v>138</v>
      </c>
      <c r="M626" t="s">
        <v>108</v>
      </c>
      <c r="R626" t="s">
        <v>3421</v>
      </c>
      <c r="W626" t="s">
        <v>3422</v>
      </c>
      <c r="X626" t="s">
        <v>1506</v>
      </c>
      <c r="Y626" t="s">
        <v>293</v>
      </c>
      <c r="Z626" t="s">
        <v>111</v>
      </c>
      <c r="AA626" t="str">
        <f>"14850-1345"</f>
        <v>14850-1345</v>
      </c>
      <c r="AB626" t="s">
        <v>123</v>
      </c>
      <c r="AC626" t="s">
        <v>113</v>
      </c>
      <c r="AD626" t="s">
        <v>108</v>
      </c>
      <c r="AE626" t="s">
        <v>114</v>
      </c>
      <c r="AF626" t="s">
        <v>142</v>
      </c>
      <c r="AG626" t="s">
        <v>116</v>
      </c>
      <c r="AK626" t="str">
        <f t="shared" si="62"/>
        <v/>
      </c>
      <c r="AL626" t="s">
        <v>3418</v>
      </c>
      <c r="AM626">
        <v>1</v>
      </c>
      <c r="AN626">
        <v>1</v>
      </c>
      <c r="AO626">
        <v>0</v>
      </c>
      <c r="AP626">
        <v>0</v>
      </c>
      <c r="AQ626">
        <v>0</v>
      </c>
      <c r="AR626">
        <v>0</v>
      </c>
      <c r="AS626">
        <v>0</v>
      </c>
      <c r="AT626">
        <v>0</v>
      </c>
      <c r="AU626">
        <v>0</v>
      </c>
      <c r="AV626">
        <v>0</v>
      </c>
      <c r="AW626">
        <v>0</v>
      </c>
      <c r="AX626" s="24" t="str">
        <f t="shared" si="66"/>
        <v/>
      </c>
      <c r="AY626" s="24">
        <f t="shared" si="66"/>
        <v>1</v>
      </c>
      <c r="AZ626" s="24" t="str">
        <f t="shared" si="67"/>
        <v/>
      </c>
      <c r="BA626" s="24" t="str">
        <f t="shared" si="67"/>
        <v/>
      </c>
      <c r="BB626" s="24" t="str">
        <f t="shared" si="67"/>
        <v/>
      </c>
      <c r="BC626" s="24" t="str">
        <f t="shared" si="67"/>
        <v/>
      </c>
      <c r="BD626" s="24" t="str">
        <f t="shared" si="67"/>
        <v/>
      </c>
      <c r="BE626" s="24" t="str">
        <f t="shared" si="67"/>
        <v/>
      </c>
      <c r="BF626" s="24" t="str">
        <f t="shared" si="67"/>
        <v/>
      </c>
      <c r="BG626" s="24" t="str">
        <f t="shared" si="67"/>
        <v/>
      </c>
      <c r="BH626" s="24" t="str">
        <f t="shared" si="63"/>
        <v/>
      </c>
      <c r="BI626" s="24">
        <f t="shared" si="67"/>
        <v>1</v>
      </c>
      <c r="BJ626" s="24" t="str">
        <f t="shared" si="64"/>
        <v/>
      </c>
    </row>
    <row r="627" spans="1:62" ht="15" customHeight="1" x14ac:dyDescent="0.25">
      <c r="A627" t="str">
        <f>"1427043710"</f>
        <v>1427043710</v>
      </c>
      <c r="B627" t="str">
        <f>"03533108"</f>
        <v>03533108</v>
      </c>
      <c r="C627" t="s">
        <v>1221</v>
      </c>
      <c r="D627" t="s">
        <v>1222</v>
      </c>
      <c r="E627" t="s">
        <v>1223</v>
      </c>
      <c r="G627" t="s">
        <v>1221</v>
      </c>
      <c r="H627" t="s">
        <v>467</v>
      </c>
      <c r="J627" t="s">
        <v>1224</v>
      </c>
      <c r="L627" t="s">
        <v>68</v>
      </c>
      <c r="M627" t="s">
        <v>108</v>
      </c>
      <c r="R627" t="s">
        <v>1225</v>
      </c>
      <c r="W627" t="s">
        <v>1223</v>
      </c>
      <c r="X627" t="s">
        <v>1226</v>
      </c>
      <c r="Y627" t="s">
        <v>1227</v>
      </c>
      <c r="Z627" t="s">
        <v>111</v>
      </c>
      <c r="AA627" t="str">
        <f>"13502-4830"</f>
        <v>13502-4830</v>
      </c>
      <c r="AB627" t="s">
        <v>1228</v>
      </c>
      <c r="AC627" t="s">
        <v>113</v>
      </c>
      <c r="AD627" t="s">
        <v>108</v>
      </c>
      <c r="AE627" t="s">
        <v>114</v>
      </c>
      <c r="AF627" t="s">
        <v>115</v>
      </c>
      <c r="AG627" t="s">
        <v>116</v>
      </c>
      <c r="AK627" t="str">
        <f t="shared" si="62"/>
        <v/>
      </c>
      <c r="AL627" t="s">
        <v>1222</v>
      </c>
      <c r="AM627">
        <v>1</v>
      </c>
      <c r="AN627">
        <v>1</v>
      </c>
      <c r="AO627">
        <v>0</v>
      </c>
      <c r="AP627">
        <v>1</v>
      </c>
      <c r="AQ627">
        <v>1</v>
      </c>
      <c r="AR627">
        <v>0</v>
      </c>
      <c r="AS627">
        <v>0</v>
      </c>
      <c r="AT627">
        <v>0</v>
      </c>
      <c r="AU627">
        <v>0</v>
      </c>
      <c r="AV627">
        <v>0</v>
      </c>
      <c r="AW627">
        <v>0</v>
      </c>
      <c r="AX627" s="24" t="str">
        <f t="shared" si="66"/>
        <v/>
      </c>
      <c r="AY627" s="24" t="str">
        <f t="shared" si="66"/>
        <v/>
      </c>
      <c r="AZ627" s="24" t="str">
        <f t="shared" si="67"/>
        <v/>
      </c>
      <c r="BA627" s="24" t="str">
        <f t="shared" si="67"/>
        <v/>
      </c>
      <c r="BB627" s="24" t="str">
        <f t="shared" si="67"/>
        <v/>
      </c>
      <c r="BC627" s="24" t="str">
        <f t="shared" si="67"/>
        <v/>
      </c>
      <c r="BD627" s="24" t="str">
        <f t="shared" si="67"/>
        <v/>
      </c>
      <c r="BE627" s="24" t="str">
        <f t="shared" si="67"/>
        <v/>
      </c>
      <c r="BF627" s="24" t="str">
        <f t="shared" si="67"/>
        <v/>
      </c>
      <c r="BG627" s="24" t="str">
        <f t="shared" si="67"/>
        <v/>
      </c>
      <c r="BH627" s="24" t="str">
        <f t="shared" si="63"/>
        <v/>
      </c>
      <c r="BI627" s="24">
        <f t="shared" si="67"/>
        <v>1</v>
      </c>
      <c r="BJ627" s="24" t="str">
        <f t="shared" si="64"/>
        <v/>
      </c>
    </row>
    <row r="628" spans="1:62" ht="15" customHeight="1" x14ac:dyDescent="0.25">
      <c r="A628" t="str">
        <f>"1972619013"</f>
        <v>1972619013</v>
      </c>
      <c r="B628" t="str">
        <f>"01390165"</f>
        <v>01390165</v>
      </c>
      <c r="C628" t="s">
        <v>3611</v>
      </c>
      <c r="D628" t="s">
        <v>3612</v>
      </c>
      <c r="E628" t="s">
        <v>3613</v>
      </c>
      <c r="G628" t="s">
        <v>2412</v>
      </c>
      <c r="H628" t="s">
        <v>2413</v>
      </c>
      <c r="I628">
        <v>2359</v>
      </c>
      <c r="J628" t="s">
        <v>3614</v>
      </c>
      <c r="L628" t="s">
        <v>120</v>
      </c>
      <c r="M628" t="s">
        <v>108</v>
      </c>
      <c r="R628" t="s">
        <v>3615</v>
      </c>
      <c r="W628" t="s">
        <v>3613</v>
      </c>
      <c r="X628" t="s">
        <v>3616</v>
      </c>
      <c r="Y628" t="s">
        <v>3617</v>
      </c>
      <c r="Z628" t="s">
        <v>111</v>
      </c>
      <c r="AA628" t="str">
        <f>"14803"</f>
        <v>14803</v>
      </c>
      <c r="AB628" t="s">
        <v>123</v>
      </c>
      <c r="AC628" t="s">
        <v>113</v>
      </c>
      <c r="AD628" t="s">
        <v>108</v>
      </c>
      <c r="AE628" t="s">
        <v>114</v>
      </c>
      <c r="AF628" t="s">
        <v>142</v>
      </c>
      <c r="AG628" t="s">
        <v>116</v>
      </c>
      <c r="AK628" t="str">
        <f t="shared" si="62"/>
        <v/>
      </c>
      <c r="AL628" t="s">
        <v>3612</v>
      </c>
      <c r="AM628">
        <v>1</v>
      </c>
      <c r="AN628">
        <v>1</v>
      </c>
      <c r="AO628">
        <v>0</v>
      </c>
      <c r="AP628">
        <v>0</v>
      </c>
      <c r="AQ628">
        <v>0</v>
      </c>
      <c r="AR628">
        <v>0</v>
      </c>
      <c r="AS628">
        <v>0</v>
      </c>
      <c r="AT628">
        <v>0</v>
      </c>
      <c r="AU628">
        <v>0</v>
      </c>
      <c r="AV628">
        <v>0</v>
      </c>
      <c r="AW628">
        <v>0</v>
      </c>
      <c r="AX628" s="24">
        <f t="shared" si="66"/>
        <v>1</v>
      </c>
      <c r="AY628" s="24" t="str">
        <f t="shared" si="66"/>
        <v/>
      </c>
      <c r="AZ628" s="24" t="str">
        <f t="shared" si="67"/>
        <v/>
      </c>
      <c r="BA628" s="24" t="str">
        <f t="shared" si="67"/>
        <v/>
      </c>
      <c r="BB628" s="24" t="str">
        <f t="shared" si="67"/>
        <v/>
      </c>
      <c r="BC628" s="24" t="str">
        <f t="shared" si="67"/>
        <v/>
      </c>
      <c r="BD628" s="24" t="str">
        <f t="shared" si="67"/>
        <v/>
      </c>
      <c r="BE628" s="24" t="str">
        <f t="shared" si="67"/>
        <v/>
      </c>
      <c r="BF628" s="24" t="str">
        <f t="shared" si="67"/>
        <v/>
      </c>
      <c r="BG628" s="24" t="str">
        <f t="shared" si="67"/>
        <v/>
      </c>
      <c r="BH628" s="24" t="str">
        <f t="shared" si="63"/>
        <v/>
      </c>
      <c r="BI628" s="24">
        <f t="shared" si="67"/>
        <v>1</v>
      </c>
      <c r="BJ628" s="24" t="str">
        <f t="shared" si="64"/>
        <v/>
      </c>
    </row>
    <row r="629" spans="1:62" ht="15" customHeight="1" x14ac:dyDescent="0.25">
      <c r="A629" t="str">
        <f>"1437220084"</f>
        <v>1437220084</v>
      </c>
      <c r="B629" t="str">
        <f>"01368441"</f>
        <v>01368441</v>
      </c>
      <c r="C629" t="s">
        <v>6019</v>
      </c>
      <c r="D629" t="s">
        <v>6020</v>
      </c>
      <c r="E629" t="s">
        <v>6021</v>
      </c>
      <c r="G629" t="s">
        <v>815</v>
      </c>
      <c r="H629" t="s">
        <v>816</v>
      </c>
      <c r="J629" t="s">
        <v>817</v>
      </c>
      <c r="L629" t="s">
        <v>120</v>
      </c>
      <c r="M629" t="s">
        <v>108</v>
      </c>
      <c r="R629" t="s">
        <v>6022</v>
      </c>
      <c r="W629" t="s">
        <v>6021</v>
      </c>
      <c r="X629" t="s">
        <v>6023</v>
      </c>
      <c r="Y629" t="s">
        <v>966</v>
      </c>
      <c r="Z629" t="s">
        <v>111</v>
      </c>
      <c r="AA629" t="str">
        <f>"13850-1748"</f>
        <v>13850-1748</v>
      </c>
      <c r="AB629" t="s">
        <v>123</v>
      </c>
      <c r="AC629" t="s">
        <v>113</v>
      </c>
      <c r="AD629" t="s">
        <v>108</v>
      </c>
      <c r="AE629" t="s">
        <v>114</v>
      </c>
      <c r="AF629" t="s">
        <v>115</v>
      </c>
      <c r="AG629" t="s">
        <v>116</v>
      </c>
      <c r="AK629" t="str">
        <f t="shared" si="62"/>
        <v>Jagraj S. Rai, MD</v>
      </c>
      <c r="AL629" t="s">
        <v>6020</v>
      </c>
      <c r="AM629" t="s">
        <v>108</v>
      </c>
      <c r="AN629" t="s">
        <v>108</v>
      </c>
      <c r="AO629" t="s">
        <v>108</v>
      </c>
      <c r="AP629" t="s">
        <v>108</v>
      </c>
      <c r="AQ629" t="s">
        <v>108</v>
      </c>
      <c r="AR629" t="s">
        <v>108</v>
      </c>
      <c r="AS629" t="s">
        <v>108</v>
      </c>
      <c r="AT629" t="s">
        <v>108</v>
      </c>
      <c r="AU629">
        <v>0</v>
      </c>
      <c r="AV629" t="s">
        <v>108</v>
      </c>
      <c r="AW629" t="s">
        <v>108</v>
      </c>
      <c r="AX629" s="24">
        <f t="shared" si="66"/>
        <v>1</v>
      </c>
      <c r="AY629" s="24" t="str">
        <f t="shared" si="66"/>
        <v/>
      </c>
      <c r="AZ629" s="24" t="str">
        <f t="shared" si="67"/>
        <v/>
      </c>
      <c r="BA629" s="24" t="str">
        <f t="shared" si="67"/>
        <v/>
      </c>
      <c r="BB629" s="24" t="str">
        <f t="shared" si="67"/>
        <v/>
      </c>
      <c r="BC629" s="24" t="str">
        <f t="shared" si="67"/>
        <v/>
      </c>
      <c r="BD629" s="24" t="str">
        <f t="shared" si="67"/>
        <v/>
      </c>
      <c r="BE629" s="24" t="str">
        <f t="shared" si="67"/>
        <v/>
      </c>
      <c r="BF629" s="24" t="str">
        <f t="shared" si="67"/>
        <v/>
      </c>
      <c r="BG629" s="24" t="str">
        <f t="shared" si="67"/>
        <v/>
      </c>
      <c r="BH629" s="24" t="str">
        <f t="shared" si="63"/>
        <v/>
      </c>
      <c r="BI629" s="24">
        <f t="shared" si="67"/>
        <v>1</v>
      </c>
      <c r="BJ629" s="24" t="str">
        <f t="shared" si="64"/>
        <v/>
      </c>
    </row>
    <row r="630" spans="1:62" ht="15" customHeight="1" x14ac:dyDescent="0.25">
      <c r="A630" t="str">
        <f>"1487103024"</f>
        <v>1487103024</v>
      </c>
      <c r="C630" t="s">
        <v>6184</v>
      </c>
      <c r="G630" t="s">
        <v>815</v>
      </c>
      <c r="H630" t="s">
        <v>816</v>
      </c>
      <c r="J630" t="s">
        <v>817</v>
      </c>
      <c r="K630" t="s">
        <v>6876</v>
      </c>
      <c r="L630" t="s">
        <v>247</v>
      </c>
      <c r="M630" t="s">
        <v>108</v>
      </c>
      <c r="R630" t="s">
        <v>6185</v>
      </c>
      <c r="AC630" t="s">
        <v>113</v>
      </c>
      <c r="AD630" t="s">
        <v>108</v>
      </c>
      <c r="AE630" t="s">
        <v>775</v>
      </c>
      <c r="AF630" t="s">
        <v>115</v>
      </c>
      <c r="AG630" t="s">
        <v>116</v>
      </c>
      <c r="AK630" t="str">
        <f t="shared" si="62"/>
        <v>Jaime L. Fernandez, NP</v>
      </c>
      <c r="AM630" t="s">
        <v>108</v>
      </c>
      <c r="AN630" t="s">
        <v>108</v>
      </c>
      <c r="AO630" t="s">
        <v>108</v>
      </c>
      <c r="AP630" t="s">
        <v>108</v>
      </c>
      <c r="AQ630" t="s">
        <v>108</v>
      </c>
      <c r="AR630" t="s">
        <v>108</v>
      </c>
      <c r="AS630" t="s">
        <v>108</v>
      </c>
      <c r="AT630" t="s">
        <v>108</v>
      </c>
      <c r="AU630">
        <v>0</v>
      </c>
      <c r="AV630" t="s">
        <v>108</v>
      </c>
      <c r="AW630" t="s">
        <v>108</v>
      </c>
      <c r="AX630" s="24" t="str">
        <f t="shared" si="66"/>
        <v/>
      </c>
      <c r="AY630" s="24">
        <f t="shared" si="66"/>
        <v>1</v>
      </c>
      <c r="AZ630" s="24" t="str">
        <f t="shared" si="67"/>
        <v/>
      </c>
      <c r="BA630" s="24" t="str">
        <f t="shared" si="67"/>
        <v/>
      </c>
      <c r="BB630" s="24" t="str">
        <f t="shared" si="67"/>
        <v/>
      </c>
      <c r="BC630" s="24" t="str">
        <f t="shared" si="67"/>
        <v/>
      </c>
      <c r="BD630" s="24" t="str">
        <f t="shared" si="67"/>
        <v/>
      </c>
      <c r="BE630" s="24" t="str">
        <f t="shared" si="67"/>
        <v/>
      </c>
      <c r="BF630" s="24" t="str">
        <f t="shared" si="67"/>
        <v/>
      </c>
      <c r="BG630" s="24" t="str">
        <f t="shared" si="67"/>
        <v/>
      </c>
      <c r="BH630" s="24" t="str">
        <f t="shared" si="63"/>
        <v/>
      </c>
      <c r="BI630" s="24" t="str">
        <f t="shared" si="67"/>
        <v/>
      </c>
      <c r="BJ630" s="24" t="str">
        <f t="shared" si="64"/>
        <v/>
      </c>
    </row>
    <row r="631" spans="1:62" ht="15" customHeight="1" x14ac:dyDescent="0.25">
      <c r="A631" t="str">
        <f>"1437170057"</f>
        <v>1437170057</v>
      </c>
      <c r="B631" t="str">
        <f>"02571915"</f>
        <v>02571915</v>
      </c>
      <c r="C631" t="s">
        <v>3814</v>
      </c>
      <c r="D631" t="s">
        <v>3815</v>
      </c>
      <c r="E631" t="s">
        <v>3816</v>
      </c>
      <c r="G631" t="s">
        <v>2412</v>
      </c>
      <c r="H631" t="s">
        <v>2413</v>
      </c>
      <c r="I631">
        <v>2359</v>
      </c>
      <c r="J631" t="s">
        <v>3817</v>
      </c>
      <c r="L631" t="s">
        <v>120</v>
      </c>
      <c r="M631" t="s">
        <v>139</v>
      </c>
      <c r="R631" t="s">
        <v>3818</v>
      </c>
      <c r="W631" t="s">
        <v>3816</v>
      </c>
      <c r="X631" t="s">
        <v>3014</v>
      </c>
      <c r="Y631" t="s">
        <v>1655</v>
      </c>
      <c r="Z631" t="s">
        <v>111</v>
      </c>
      <c r="AA631" t="str">
        <f>"14865-9740"</f>
        <v>14865-9740</v>
      </c>
      <c r="AB631" t="s">
        <v>123</v>
      </c>
      <c r="AC631" t="s">
        <v>113</v>
      </c>
      <c r="AD631" t="s">
        <v>108</v>
      </c>
      <c r="AE631" t="s">
        <v>114</v>
      </c>
      <c r="AF631" t="s">
        <v>142</v>
      </c>
      <c r="AG631" t="s">
        <v>116</v>
      </c>
      <c r="AK631" t="str">
        <f t="shared" si="62"/>
        <v/>
      </c>
      <c r="AL631" t="s">
        <v>3815</v>
      </c>
      <c r="AM631">
        <v>1</v>
      </c>
      <c r="AN631">
        <v>1</v>
      </c>
      <c r="AO631">
        <v>0</v>
      </c>
      <c r="AP631">
        <v>0</v>
      </c>
      <c r="AQ631">
        <v>0</v>
      </c>
      <c r="AR631">
        <v>0</v>
      </c>
      <c r="AS631">
        <v>0</v>
      </c>
      <c r="AT631">
        <v>0</v>
      </c>
      <c r="AU631">
        <v>0</v>
      </c>
      <c r="AV631">
        <v>0</v>
      </c>
      <c r="AW631">
        <v>0</v>
      </c>
      <c r="AX631" s="24">
        <f t="shared" si="66"/>
        <v>1</v>
      </c>
      <c r="AY631" s="24" t="str">
        <f t="shared" si="66"/>
        <v/>
      </c>
      <c r="AZ631" s="24" t="str">
        <f t="shared" si="67"/>
        <v/>
      </c>
      <c r="BA631" s="24" t="str">
        <f t="shared" si="67"/>
        <v/>
      </c>
      <c r="BB631" s="24" t="str">
        <f t="shared" si="67"/>
        <v/>
      </c>
      <c r="BC631" s="24" t="str">
        <f t="shared" si="67"/>
        <v/>
      </c>
      <c r="BD631" s="24" t="str">
        <f t="shared" si="67"/>
        <v/>
      </c>
      <c r="BE631" s="24" t="str">
        <f t="shared" si="67"/>
        <v/>
      </c>
      <c r="BF631" s="24" t="str">
        <f t="shared" si="67"/>
        <v/>
      </c>
      <c r="BG631" s="24" t="str">
        <f t="shared" si="67"/>
        <v/>
      </c>
      <c r="BH631" s="24" t="str">
        <f t="shared" si="63"/>
        <v/>
      </c>
      <c r="BI631" s="24">
        <f t="shared" si="67"/>
        <v>1</v>
      </c>
      <c r="BJ631" s="24" t="str">
        <f t="shared" si="64"/>
        <v/>
      </c>
    </row>
    <row r="632" spans="1:62" ht="15" customHeight="1" x14ac:dyDescent="0.25">
      <c r="A632" t="str">
        <f>"1770535528"</f>
        <v>1770535528</v>
      </c>
      <c r="B632" t="str">
        <f>"02259983"</f>
        <v>02259983</v>
      </c>
      <c r="C632" t="s">
        <v>675</v>
      </c>
      <c r="D632" t="s">
        <v>676</v>
      </c>
      <c r="E632" t="s">
        <v>677</v>
      </c>
      <c r="G632" t="s">
        <v>638</v>
      </c>
      <c r="H632" t="s">
        <v>645</v>
      </c>
      <c r="J632" t="s">
        <v>678</v>
      </c>
      <c r="L632" t="s">
        <v>247</v>
      </c>
      <c r="M632" t="s">
        <v>108</v>
      </c>
      <c r="R632" t="s">
        <v>679</v>
      </c>
      <c r="W632" t="s">
        <v>677</v>
      </c>
      <c r="X632" t="s">
        <v>583</v>
      </c>
      <c r="Y632" t="s">
        <v>293</v>
      </c>
      <c r="Z632" t="s">
        <v>111</v>
      </c>
      <c r="AA632" t="str">
        <f>"14850-1857"</f>
        <v>14850-1857</v>
      </c>
      <c r="AB632" t="s">
        <v>123</v>
      </c>
      <c r="AC632" t="s">
        <v>113</v>
      </c>
      <c r="AD632" t="s">
        <v>108</v>
      </c>
      <c r="AE632" t="s">
        <v>114</v>
      </c>
      <c r="AF632" t="s">
        <v>142</v>
      </c>
      <c r="AG632" t="s">
        <v>116</v>
      </c>
      <c r="AK632" t="str">
        <f t="shared" si="62"/>
        <v/>
      </c>
      <c r="AL632" t="s">
        <v>676</v>
      </c>
      <c r="AM632">
        <v>1</v>
      </c>
      <c r="AN632">
        <v>1</v>
      </c>
      <c r="AO632">
        <v>0</v>
      </c>
      <c r="AP632">
        <v>0</v>
      </c>
      <c r="AQ632">
        <v>0</v>
      </c>
      <c r="AR632">
        <v>0</v>
      </c>
      <c r="AS632">
        <v>0</v>
      </c>
      <c r="AT632">
        <v>0</v>
      </c>
      <c r="AU632">
        <v>0</v>
      </c>
      <c r="AV632">
        <v>0</v>
      </c>
      <c r="AW632">
        <v>0</v>
      </c>
      <c r="AX632" s="24" t="str">
        <f t="shared" si="66"/>
        <v/>
      </c>
      <c r="AY632" s="24">
        <f t="shared" si="66"/>
        <v>1</v>
      </c>
      <c r="AZ632" s="24" t="str">
        <f t="shared" si="67"/>
        <v/>
      </c>
      <c r="BA632" s="24" t="str">
        <f t="shared" si="67"/>
        <v/>
      </c>
      <c r="BB632" s="24" t="str">
        <f t="shared" si="67"/>
        <v/>
      </c>
      <c r="BC632" s="24" t="str">
        <f t="shared" si="67"/>
        <v/>
      </c>
      <c r="BD632" s="24" t="str">
        <f t="shared" si="67"/>
        <v/>
      </c>
      <c r="BE632" s="24" t="str">
        <f t="shared" si="67"/>
        <v/>
      </c>
      <c r="BF632" s="24" t="str">
        <f t="shared" si="67"/>
        <v/>
      </c>
      <c r="BG632" s="24" t="str">
        <f t="shared" si="67"/>
        <v/>
      </c>
      <c r="BH632" s="24" t="str">
        <f t="shared" si="63"/>
        <v/>
      </c>
      <c r="BI632" s="24" t="str">
        <f t="shared" si="67"/>
        <v/>
      </c>
      <c r="BJ632" s="24" t="str">
        <f t="shared" si="64"/>
        <v/>
      </c>
    </row>
    <row r="633" spans="1:62" ht="15" customHeight="1" x14ac:dyDescent="0.25">
      <c r="A633" t="str">
        <f>"1861489031"</f>
        <v>1861489031</v>
      </c>
      <c r="B633" t="str">
        <f>"00750789"</f>
        <v>00750789</v>
      </c>
      <c r="C633" t="s">
        <v>5308</v>
      </c>
      <c r="D633" t="s">
        <v>5309</v>
      </c>
      <c r="E633" t="s">
        <v>5310</v>
      </c>
      <c r="G633" t="s">
        <v>5294</v>
      </c>
      <c r="H633" t="s">
        <v>2626</v>
      </c>
      <c r="J633" t="s">
        <v>5311</v>
      </c>
      <c r="L633" t="s">
        <v>6867</v>
      </c>
      <c r="M633" t="s">
        <v>108</v>
      </c>
      <c r="R633" t="s">
        <v>5312</v>
      </c>
      <c r="W633" t="s">
        <v>5310</v>
      </c>
      <c r="X633" t="s">
        <v>2333</v>
      </c>
      <c r="Y633" t="s">
        <v>2334</v>
      </c>
      <c r="Z633" t="s">
        <v>182</v>
      </c>
      <c r="AA633" t="str">
        <f>"18847-2771"</f>
        <v>18847-2771</v>
      </c>
      <c r="AB633" t="s">
        <v>123</v>
      </c>
      <c r="AC633" t="s">
        <v>113</v>
      </c>
      <c r="AD633" t="s">
        <v>108</v>
      </c>
      <c r="AE633" t="s">
        <v>114</v>
      </c>
      <c r="AF633" t="s">
        <v>115</v>
      </c>
      <c r="AG633" t="s">
        <v>116</v>
      </c>
      <c r="AK633" t="str">
        <f t="shared" si="62"/>
        <v/>
      </c>
      <c r="AL633" t="s">
        <v>5309</v>
      </c>
      <c r="AM633">
        <v>0</v>
      </c>
      <c r="AN633">
        <v>0</v>
      </c>
      <c r="AO633">
        <v>0</v>
      </c>
      <c r="AP633">
        <v>0</v>
      </c>
      <c r="AQ633">
        <v>0</v>
      </c>
      <c r="AR633">
        <v>0</v>
      </c>
      <c r="AS633">
        <v>0</v>
      </c>
      <c r="AT633">
        <v>0</v>
      </c>
      <c r="AU633">
        <v>0</v>
      </c>
      <c r="AV633">
        <v>0</v>
      </c>
      <c r="AW633">
        <v>0</v>
      </c>
      <c r="AX633" s="24">
        <f t="shared" si="66"/>
        <v>1</v>
      </c>
      <c r="AY633" s="24">
        <f t="shared" si="66"/>
        <v>1</v>
      </c>
      <c r="AZ633" s="24" t="str">
        <f t="shared" si="67"/>
        <v/>
      </c>
      <c r="BA633" s="24" t="str">
        <f t="shared" si="67"/>
        <v/>
      </c>
      <c r="BB633" s="24" t="str">
        <f t="shared" si="67"/>
        <v/>
      </c>
      <c r="BC633" s="24" t="str">
        <f t="shared" si="67"/>
        <v/>
      </c>
      <c r="BD633" s="24" t="str">
        <f t="shared" si="67"/>
        <v/>
      </c>
      <c r="BE633" s="24" t="str">
        <f t="shared" si="67"/>
        <v/>
      </c>
      <c r="BF633" s="24" t="str">
        <f t="shared" si="67"/>
        <v/>
      </c>
      <c r="BG633" s="24" t="str">
        <f t="shared" si="67"/>
        <v/>
      </c>
      <c r="BH633" s="24" t="str">
        <f t="shared" si="63"/>
        <v/>
      </c>
      <c r="BI633" s="24">
        <f t="shared" si="67"/>
        <v>1</v>
      </c>
      <c r="BJ633" s="24" t="str">
        <f t="shared" si="64"/>
        <v/>
      </c>
    </row>
    <row r="634" spans="1:62" ht="15" customHeight="1" x14ac:dyDescent="0.25">
      <c r="A634" t="str">
        <f>"1366472052"</f>
        <v>1366472052</v>
      </c>
      <c r="B634" t="str">
        <f>"00864324"</f>
        <v>00864324</v>
      </c>
      <c r="C634" t="s">
        <v>3538</v>
      </c>
      <c r="D634" t="s">
        <v>3539</v>
      </c>
      <c r="E634" t="s">
        <v>3540</v>
      </c>
      <c r="G634" t="s">
        <v>7169</v>
      </c>
      <c r="H634" t="s">
        <v>7170</v>
      </c>
      <c r="I634">
        <v>215</v>
      </c>
      <c r="J634" t="s">
        <v>7171</v>
      </c>
      <c r="L634" t="s">
        <v>1382</v>
      </c>
      <c r="M634" t="s">
        <v>139</v>
      </c>
      <c r="R634" t="s">
        <v>3541</v>
      </c>
      <c r="W634" t="s">
        <v>3542</v>
      </c>
      <c r="X634" t="s">
        <v>3543</v>
      </c>
      <c r="Y634" t="s">
        <v>129</v>
      </c>
      <c r="Z634" t="s">
        <v>111</v>
      </c>
      <c r="AA634" t="str">
        <f>"13790-5109"</f>
        <v>13790-5109</v>
      </c>
      <c r="AB634" t="s">
        <v>312</v>
      </c>
      <c r="AC634" t="s">
        <v>113</v>
      </c>
      <c r="AD634" t="s">
        <v>108</v>
      </c>
      <c r="AE634" t="s">
        <v>114</v>
      </c>
      <c r="AF634" t="s">
        <v>115</v>
      </c>
      <c r="AG634" t="s">
        <v>116</v>
      </c>
      <c r="AK634" t="str">
        <f t="shared" si="62"/>
        <v/>
      </c>
      <c r="AL634" t="s">
        <v>3539</v>
      </c>
      <c r="AM634">
        <v>1</v>
      </c>
      <c r="AN634">
        <v>0</v>
      </c>
      <c r="AO634">
        <v>1</v>
      </c>
      <c r="AP634">
        <v>0</v>
      </c>
      <c r="AQ634">
        <v>0</v>
      </c>
      <c r="AR634">
        <v>0</v>
      </c>
      <c r="AS634">
        <v>0</v>
      </c>
      <c r="AT634">
        <v>0</v>
      </c>
      <c r="AU634">
        <v>0</v>
      </c>
      <c r="AV634">
        <v>0</v>
      </c>
      <c r="AW634">
        <v>0</v>
      </c>
      <c r="AX634" s="24" t="str">
        <f t="shared" si="66"/>
        <v/>
      </c>
      <c r="AY634" s="24" t="str">
        <f t="shared" si="66"/>
        <v/>
      </c>
      <c r="AZ634" s="24" t="str">
        <f t="shared" si="67"/>
        <v/>
      </c>
      <c r="BA634" s="24" t="str">
        <f t="shared" si="67"/>
        <v/>
      </c>
      <c r="BB634" s="24" t="str">
        <f t="shared" si="67"/>
        <v/>
      </c>
      <c r="BC634" s="24" t="str">
        <f t="shared" si="67"/>
        <v/>
      </c>
      <c r="BD634" s="24" t="str">
        <f t="shared" si="67"/>
        <v/>
      </c>
      <c r="BE634" s="24">
        <f t="shared" si="67"/>
        <v>1</v>
      </c>
      <c r="BF634" s="24" t="str">
        <f t="shared" si="67"/>
        <v/>
      </c>
      <c r="BG634" s="24" t="str">
        <f t="shared" si="67"/>
        <v/>
      </c>
      <c r="BH634" s="24" t="str">
        <f t="shared" si="63"/>
        <v/>
      </c>
      <c r="BI634" s="24">
        <f t="shared" si="67"/>
        <v>1</v>
      </c>
      <c r="BJ634" s="24" t="str">
        <f t="shared" si="64"/>
        <v/>
      </c>
    </row>
    <row r="635" spans="1:62" ht="15" customHeight="1" x14ac:dyDescent="0.25">
      <c r="A635" t="str">
        <f>"1316949522"</f>
        <v>1316949522</v>
      </c>
      <c r="B635" t="str">
        <f>"01335900"</f>
        <v>01335900</v>
      </c>
      <c r="C635" t="s">
        <v>2426</v>
      </c>
      <c r="D635" t="s">
        <v>2427</v>
      </c>
      <c r="E635" t="s">
        <v>2428</v>
      </c>
      <c r="G635" t="s">
        <v>2420</v>
      </c>
      <c r="H635" t="s">
        <v>2421</v>
      </c>
      <c r="J635" t="s">
        <v>2429</v>
      </c>
      <c r="L635" t="s">
        <v>138</v>
      </c>
      <c r="M635" t="s">
        <v>108</v>
      </c>
      <c r="R635" t="s">
        <v>2430</v>
      </c>
      <c r="W635" t="s">
        <v>2428</v>
      </c>
      <c r="X635" t="s">
        <v>2431</v>
      </c>
      <c r="Y635" t="s">
        <v>293</v>
      </c>
      <c r="Z635" t="s">
        <v>111</v>
      </c>
      <c r="AA635" t="str">
        <f>"14850-4131"</f>
        <v>14850-4131</v>
      </c>
      <c r="AB635" t="s">
        <v>123</v>
      </c>
      <c r="AC635" t="s">
        <v>113</v>
      </c>
      <c r="AD635" t="s">
        <v>108</v>
      </c>
      <c r="AE635" t="s">
        <v>114</v>
      </c>
      <c r="AF635" t="s">
        <v>142</v>
      </c>
      <c r="AG635" t="s">
        <v>116</v>
      </c>
      <c r="AK635" t="str">
        <f t="shared" si="62"/>
        <v/>
      </c>
      <c r="AL635" t="s">
        <v>2427</v>
      </c>
      <c r="AM635">
        <v>1</v>
      </c>
      <c r="AN635">
        <v>1</v>
      </c>
      <c r="AO635">
        <v>0</v>
      </c>
      <c r="AP635">
        <v>0</v>
      </c>
      <c r="AQ635">
        <v>0</v>
      </c>
      <c r="AR635">
        <v>0</v>
      </c>
      <c r="AS635">
        <v>0</v>
      </c>
      <c r="AT635">
        <v>0</v>
      </c>
      <c r="AU635">
        <v>0</v>
      </c>
      <c r="AV635">
        <v>0</v>
      </c>
      <c r="AW635">
        <v>0</v>
      </c>
      <c r="AX635" s="24" t="str">
        <f t="shared" si="66"/>
        <v/>
      </c>
      <c r="AY635" s="24">
        <f t="shared" si="66"/>
        <v>1</v>
      </c>
      <c r="AZ635" s="24" t="str">
        <f t="shared" si="67"/>
        <v/>
      </c>
      <c r="BA635" s="24" t="str">
        <f t="shared" si="67"/>
        <v/>
      </c>
      <c r="BB635" s="24" t="str">
        <f t="shared" si="67"/>
        <v/>
      </c>
      <c r="BC635" s="24" t="str">
        <f t="shared" si="67"/>
        <v/>
      </c>
      <c r="BD635" s="24" t="str">
        <f t="shared" si="67"/>
        <v/>
      </c>
      <c r="BE635" s="24" t="str">
        <f t="shared" si="67"/>
        <v/>
      </c>
      <c r="BF635" s="24" t="str">
        <f t="shared" si="67"/>
        <v/>
      </c>
      <c r="BG635" s="24" t="str">
        <f t="shared" si="67"/>
        <v/>
      </c>
      <c r="BH635" s="24" t="str">
        <f t="shared" si="63"/>
        <v/>
      </c>
      <c r="BI635" s="24">
        <f t="shared" si="67"/>
        <v>1</v>
      </c>
      <c r="BJ635" s="24" t="str">
        <f t="shared" si="64"/>
        <v/>
      </c>
    </row>
    <row r="636" spans="1:62" ht="15" customHeight="1" x14ac:dyDescent="0.25">
      <c r="A636" t="str">
        <f>"1033162730"</f>
        <v>1033162730</v>
      </c>
      <c r="B636" t="str">
        <f>"01827238"</f>
        <v>01827238</v>
      </c>
      <c r="C636" t="s">
        <v>5889</v>
      </c>
      <c r="D636" t="s">
        <v>5890</v>
      </c>
      <c r="E636" t="s">
        <v>5891</v>
      </c>
      <c r="G636" t="s">
        <v>815</v>
      </c>
      <c r="H636" t="s">
        <v>816</v>
      </c>
      <c r="J636" t="s">
        <v>817</v>
      </c>
      <c r="L636" t="s">
        <v>138</v>
      </c>
      <c r="M636" t="s">
        <v>108</v>
      </c>
      <c r="R636" t="s">
        <v>5892</v>
      </c>
      <c r="W636" t="s">
        <v>5891</v>
      </c>
      <c r="X636" t="s">
        <v>5893</v>
      </c>
      <c r="Y636" t="s">
        <v>129</v>
      </c>
      <c r="Z636" t="s">
        <v>111</v>
      </c>
      <c r="AA636" t="str">
        <f>"13790-2161"</f>
        <v>13790-2161</v>
      </c>
      <c r="AB636" t="s">
        <v>123</v>
      </c>
      <c r="AC636" t="s">
        <v>113</v>
      </c>
      <c r="AD636" t="s">
        <v>108</v>
      </c>
      <c r="AE636" t="s">
        <v>114</v>
      </c>
      <c r="AF636" t="s">
        <v>115</v>
      </c>
      <c r="AG636" t="s">
        <v>116</v>
      </c>
      <c r="AK636" t="str">
        <f t="shared" si="62"/>
        <v>James J. Vincens, MD</v>
      </c>
      <c r="AL636" t="s">
        <v>5890</v>
      </c>
      <c r="AM636" t="s">
        <v>108</v>
      </c>
      <c r="AN636" t="s">
        <v>108</v>
      </c>
      <c r="AO636" t="s">
        <v>108</v>
      </c>
      <c r="AP636" t="s">
        <v>108</v>
      </c>
      <c r="AQ636" t="s">
        <v>108</v>
      </c>
      <c r="AR636" t="s">
        <v>108</v>
      </c>
      <c r="AS636" t="s">
        <v>108</v>
      </c>
      <c r="AT636" t="s">
        <v>108</v>
      </c>
      <c r="AU636">
        <v>0</v>
      </c>
      <c r="AV636" t="s">
        <v>108</v>
      </c>
      <c r="AW636" t="s">
        <v>108</v>
      </c>
      <c r="AX636" s="24" t="str">
        <f t="shared" si="66"/>
        <v/>
      </c>
      <c r="AY636" s="24">
        <f t="shared" si="66"/>
        <v>1</v>
      </c>
      <c r="AZ636" s="24" t="str">
        <f t="shared" si="67"/>
        <v/>
      </c>
      <c r="BA636" s="24" t="str">
        <f t="shared" si="67"/>
        <v/>
      </c>
      <c r="BB636" s="24" t="str">
        <f t="shared" si="67"/>
        <v/>
      </c>
      <c r="BC636" s="24" t="str">
        <f t="shared" si="67"/>
        <v/>
      </c>
      <c r="BD636" s="24" t="str">
        <f t="shared" si="67"/>
        <v/>
      </c>
      <c r="BE636" s="24" t="str">
        <f t="shared" si="67"/>
        <v/>
      </c>
      <c r="BF636" s="24" t="str">
        <f t="shared" si="67"/>
        <v/>
      </c>
      <c r="BG636" s="24" t="str">
        <f t="shared" si="67"/>
        <v/>
      </c>
      <c r="BH636" s="24" t="str">
        <f t="shared" si="63"/>
        <v/>
      </c>
      <c r="BI636" s="24">
        <f t="shared" si="67"/>
        <v>1</v>
      </c>
      <c r="BJ636" s="24" t="str">
        <f t="shared" si="64"/>
        <v/>
      </c>
    </row>
    <row r="637" spans="1:62" ht="15" customHeight="1" x14ac:dyDescent="0.25">
      <c r="A637" t="str">
        <f>"1356312169"</f>
        <v>1356312169</v>
      </c>
      <c r="B637" t="str">
        <f>"03226437"</f>
        <v>03226437</v>
      </c>
      <c r="C637" t="s">
        <v>1365</v>
      </c>
      <c r="D637" t="s">
        <v>1366</v>
      </c>
      <c r="E637" t="s">
        <v>1367</v>
      </c>
      <c r="G637" t="s">
        <v>229</v>
      </c>
      <c r="H637" t="s">
        <v>230</v>
      </c>
      <c r="J637" t="s">
        <v>231</v>
      </c>
      <c r="L637" t="s">
        <v>138</v>
      </c>
      <c r="M637" t="s">
        <v>108</v>
      </c>
      <c r="R637" t="s">
        <v>1368</v>
      </c>
      <c r="W637" t="s">
        <v>1367</v>
      </c>
      <c r="X637" t="s">
        <v>271</v>
      </c>
      <c r="Y637" t="s">
        <v>239</v>
      </c>
      <c r="Z637" t="s">
        <v>111</v>
      </c>
      <c r="AA637" t="str">
        <f>"13045-1669"</f>
        <v>13045-1669</v>
      </c>
      <c r="AB637" t="s">
        <v>123</v>
      </c>
      <c r="AC637" t="s">
        <v>113</v>
      </c>
      <c r="AD637" t="s">
        <v>108</v>
      </c>
      <c r="AE637" t="s">
        <v>114</v>
      </c>
      <c r="AF637" t="s">
        <v>142</v>
      </c>
      <c r="AG637" t="s">
        <v>116</v>
      </c>
      <c r="AK637" t="str">
        <f t="shared" si="62"/>
        <v/>
      </c>
      <c r="AL637" t="s">
        <v>1366</v>
      </c>
      <c r="AM637">
        <v>0</v>
      </c>
      <c r="AN637">
        <v>0</v>
      </c>
      <c r="AO637">
        <v>0</v>
      </c>
      <c r="AP637">
        <v>0</v>
      </c>
      <c r="AQ637">
        <v>0</v>
      </c>
      <c r="AR637">
        <v>0</v>
      </c>
      <c r="AS637">
        <v>0</v>
      </c>
      <c r="AT637">
        <v>0</v>
      </c>
      <c r="AU637">
        <v>0</v>
      </c>
      <c r="AV637">
        <v>0</v>
      </c>
      <c r="AW637">
        <v>0</v>
      </c>
      <c r="AX637" s="24" t="str">
        <f t="shared" si="66"/>
        <v/>
      </c>
      <c r="AY637" s="24">
        <f t="shared" si="66"/>
        <v>1</v>
      </c>
      <c r="AZ637" s="24" t="str">
        <f t="shared" si="67"/>
        <v/>
      </c>
      <c r="BA637" s="24" t="str">
        <f t="shared" si="67"/>
        <v/>
      </c>
      <c r="BB637" s="24" t="str">
        <f t="shared" si="67"/>
        <v/>
      </c>
      <c r="BC637" s="24" t="str">
        <f t="shared" si="67"/>
        <v/>
      </c>
      <c r="BD637" s="24" t="str">
        <f t="shared" si="67"/>
        <v/>
      </c>
      <c r="BE637" s="24" t="str">
        <f t="shared" si="67"/>
        <v/>
      </c>
      <c r="BF637" s="24" t="str">
        <f t="shared" si="67"/>
        <v/>
      </c>
      <c r="BG637" s="24" t="str">
        <f t="shared" si="67"/>
        <v/>
      </c>
      <c r="BH637" s="24" t="str">
        <f t="shared" si="63"/>
        <v/>
      </c>
      <c r="BI637" s="24">
        <f t="shared" si="67"/>
        <v>1</v>
      </c>
      <c r="BJ637" s="24" t="str">
        <f t="shared" si="64"/>
        <v/>
      </c>
    </row>
    <row r="638" spans="1:62" ht="15" customHeight="1" x14ac:dyDescent="0.25">
      <c r="A638" t="str">
        <f>"1205853926"</f>
        <v>1205853926</v>
      </c>
      <c r="B638" t="str">
        <f>"01685116"</f>
        <v>01685116</v>
      </c>
      <c r="C638" t="s">
        <v>1686</v>
      </c>
      <c r="D638" t="s">
        <v>1687</v>
      </c>
      <c r="E638" t="s">
        <v>1688</v>
      </c>
      <c r="G638" t="s">
        <v>1682</v>
      </c>
      <c r="H638" t="s">
        <v>1683</v>
      </c>
      <c r="J638" t="s">
        <v>1689</v>
      </c>
      <c r="L638" t="s">
        <v>120</v>
      </c>
      <c r="M638" t="s">
        <v>108</v>
      </c>
      <c r="R638" t="s">
        <v>1690</v>
      </c>
      <c r="W638" t="s">
        <v>1688</v>
      </c>
      <c r="X638" t="s">
        <v>1691</v>
      </c>
      <c r="Y638" t="s">
        <v>293</v>
      </c>
      <c r="Z638" t="s">
        <v>111</v>
      </c>
      <c r="AA638" t="str">
        <f>"14850-4219"</f>
        <v>14850-4219</v>
      </c>
      <c r="AB638" t="s">
        <v>123</v>
      </c>
      <c r="AC638" t="s">
        <v>113</v>
      </c>
      <c r="AD638" t="s">
        <v>108</v>
      </c>
      <c r="AE638" t="s">
        <v>114</v>
      </c>
      <c r="AF638" t="s">
        <v>142</v>
      </c>
      <c r="AG638" t="s">
        <v>116</v>
      </c>
      <c r="AK638" t="str">
        <f t="shared" si="62"/>
        <v/>
      </c>
      <c r="AL638" t="s">
        <v>1687</v>
      </c>
      <c r="AM638">
        <v>1</v>
      </c>
      <c r="AN638">
        <v>1</v>
      </c>
      <c r="AO638">
        <v>0</v>
      </c>
      <c r="AP638">
        <v>0</v>
      </c>
      <c r="AQ638">
        <v>0</v>
      </c>
      <c r="AR638">
        <v>0</v>
      </c>
      <c r="AS638">
        <v>0</v>
      </c>
      <c r="AT638">
        <v>0</v>
      </c>
      <c r="AU638">
        <v>0</v>
      </c>
      <c r="AV638">
        <v>0</v>
      </c>
      <c r="AW638">
        <v>0</v>
      </c>
      <c r="AX638" s="24">
        <f t="shared" si="66"/>
        <v>1</v>
      </c>
      <c r="AY638" s="24" t="str">
        <f t="shared" si="66"/>
        <v/>
      </c>
      <c r="AZ638" s="24" t="str">
        <f t="shared" si="67"/>
        <v/>
      </c>
      <c r="BA638" s="24" t="str">
        <f t="shared" si="67"/>
        <v/>
      </c>
      <c r="BB638" s="24" t="str">
        <f t="shared" si="67"/>
        <v/>
      </c>
      <c r="BC638" s="24" t="str">
        <f t="shared" si="67"/>
        <v/>
      </c>
      <c r="BD638" s="24" t="str">
        <f t="shared" si="67"/>
        <v/>
      </c>
      <c r="BE638" s="24" t="str">
        <f t="shared" si="67"/>
        <v/>
      </c>
      <c r="BF638" s="24" t="str">
        <f t="shared" si="67"/>
        <v/>
      </c>
      <c r="BG638" s="24" t="str">
        <f t="shared" si="67"/>
        <v/>
      </c>
      <c r="BH638" s="24" t="str">
        <f t="shared" si="63"/>
        <v/>
      </c>
      <c r="BI638" s="24">
        <f t="shared" si="67"/>
        <v>1</v>
      </c>
      <c r="BJ638" s="24" t="str">
        <f t="shared" si="64"/>
        <v/>
      </c>
    </row>
    <row r="639" spans="1:62" ht="15" customHeight="1" x14ac:dyDescent="0.25">
      <c r="A639" t="str">
        <f>"1184696965"</f>
        <v>1184696965</v>
      </c>
      <c r="B639" t="str">
        <f>"03642064"</f>
        <v>03642064</v>
      </c>
      <c r="C639" t="s">
        <v>3272</v>
      </c>
      <c r="D639" t="s">
        <v>3273</v>
      </c>
      <c r="E639" t="s">
        <v>3274</v>
      </c>
      <c r="G639" t="s">
        <v>3275</v>
      </c>
      <c r="H639" t="s">
        <v>3276</v>
      </c>
      <c r="J639" t="s">
        <v>3277</v>
      </c>
      <c r="L639" t="s">
        <v>247</v>
      </c>
      <c r="M639" t="s">
        <v>108</v>
      </c>
      <c r="R639" t="s">
        <v>3278</v>
      </c>
      <c r="W639" t="s">
        <v>3274</v>
      </c>
      <c r="X639" t="s">
        <v>2759</v>
      </c>
      <c r="Y639" t="s">
        <v>293</v>
      </c>
      <c r="Z639" t="s">
        <v>111</v>
      </c>
      <c r="AA639" t="str">
        <f>"14850-1863"</f>
        <v>14850-1863</v>
      </c>
      <c r="AB639" t="s">
        <v>123</v>
      </c>
      <c r="AC639" t="s">
        <v>113</v>
      </c>
      <c r="AD639" t="s">
        <v>108</v>
      </c>
      <c r="AE639" t="s">
        <v>114</v>
      </c>
      <c r="AF639" t="s">
        <v>142</v>
      </c>
      <c r="AG639" t="s">
        <v>116</v>
      </c>
      <c r="AK639" t="str">
        <f t="shared" si="62"/>
        <v/>
      </c>
      <c r="AL639" t="s">
        <v>3273</v>
      </c>
      <c r="AM639">
        <v>1</v>
      </c>
      <c r="AN639">
        <v>1</v>
      </c>
      <c r="AO639">
        <v>0</v>
      </c>
      <c r="AP639">
        <v>0</v>
      </c>
      <c r="AQ639">
        <v>0</v>
      </c>
      <c r="AR639">
        <v>0</v>
      </c>
      <c r="AS639">
        <v>0</v>
      </c>
      <c r="AT639">
        <v>0</v>
      </c>
      <c r="AU639">
        <v>0</v>
      </c>
      <c r="AV639">
        <v>0</v>
      </c>
      <c r="AW639">
        <v>0</v>
      </c>
      <c r="AX639" s="24" t="str">
        <f t="shared" si="66"/>
        <v/>
      </c>
      <c r="AY639" s="24">
        <f t="shared" si="66"/>
        <v>1</v>
      </c>
      <c r="AZ639" s="24" t="str">
        <f t="shared" si="67"/>
        <v/>
      </c>
      <c r="BA639" s="24" t="str">
        <f t="shared" si="67"/>
        <v/>
      </c>
      <c r="BB639" s="24" t="str">
        <f t="shared" si="67"/>
        <v/>
      </c>
      <c r="BC639" s="24" t="str">
        <f t="shared" si="67"/>
        <v/>
      </c>
      <c r="BD639" s="24" t="str">
        <f t="shared" si="67"/>
        <v/>
      </c>
      <c r="BE639" s="24" t="str">
        <f t="shared" si="67"/>
        <v/>
      </c>
      <c r="BF639" s="24" t="str">
        <f t="shared" si="67"/>
        <v/>
      </c>
      <c r="BG639" s="24" t="str">
        <f t="shared" si="67"/>
        <v/>
      </c>
      <c r="BH639" s="24" t="str">
        <f t="shared" si="63"/>
        <v/>
      </c>
      <c r="BI639" s="24" t="str">
        <f t="shared" si="67"/>
        <v/>
      </c>
      <c r="BJ639" s="24" t="str">
        <f t="shared" si="64"/>
        <v/>
      </c>
    </row>
    <row r="640" spans="1:62" ht="15" customHeight="1" x14ac:dyDescent="0.25">
      <c r="A640" t="str">
        <f>"1639242308"</f>
        <v>1639242308</v>
      </c>
      <c r="B640" t="str">
        <f>"00853392"</f>
        <v>00853392</v>
      </c>
      <c r="C640" t="s">
        <v>2585</v>
      </c>
      <c r="D640" t="s">
        <v>2586</v>
      </c>
      <c r="E640" t="s">
        <v>2587</v>
      </c>
      <c r="G640" t="s">
        <v>2588</v>
      </c>
      <c r="H640" t="s">
        <v>2589</v>
      </c>
      <c r="J640" t="s">
        <v>2590</v>
      </c>
      <c r="L640" t="s">
        <v>120</v>
      </c>
      <c r="M640" t="s">
        <v>108</v>
      </c>
      <c r="R640" t="s">
        <v>2591</v>
      </c>
      <c r="W640" t="s">
        <v>2587</v>
      </c>
      <c r="X640" t="s">
        <v>2592</v>
      </c>
      <c r="Y640" t="s">
        <v>1655</v>
      </c>
      <c r="Z640" t="s">
        <v>111</v>
      </c>
      <c r="AA640" t="str">
        <f>"14865"</f>
        <v>14865</v>
      </c>
      <c r="AB640" t="s">
        <v>123</v>
      </c>
      <c r="AC640" t="s">
        <v>113</v>
      </c>
      <c r="AD640" t="s">
        <v>108</v>
      </c>
      <c r="AE640" t="s">
        <v>114</v>
      </c>
      <c r="AF640" t="s">
        <v>142</v>
      </c>
      <c r="AG640" t="s">
        <v>116</v>
      </c>
      <c r="AK640" t="str">
        <f t="shared" si="62"/>
        <v/>
      </c>
      <c r="AL640" t="s">
        <v>2586</v>
      </c>
      <c r="AM640">
        <v>1</v>
      </c>
      <c r="AN640">
        <v>1</v>
      </c>
      <c r="AO640">
        <v>0</v>
      </c>
      <c r="AP640">
        <v>0</v>
      </c>
      <c r="AQ640">
        <v>0</v>
      </c>
      <c r="AR640">
        <v>0</v>
      </c>
      <c r="AS640">
        <v>0</v>
      </c>
      <c r="AT640">
        <v>0</v>
      </c>
      <c r="AU640">
        <v>0</v>
      </c>
      <c r="AV640">
        <v>0</v>
      </c>
      <c r="AW640">
        <v>0</v>
      </c>
      <c r="AX640" s="24">
        <f t="shared" si="66"/>
        <v>1</v>
      </c>
      <c r="AY640" s="24" t="str">
        <f t="shared" si="66"/>
        <v/>
      </c>
      <c r="AZ640" s="24" t="str">
        <f t="shared" si="67"/>
        <v/>
      </c>
      <c r="BA640" s="24" t="str">
        <f t="shared" si="67"/>
        <v/>
      </c>
      <c r="BB640" s="24" t="str">
        <f t="shared" si="67"/>
        <v/>
      </c>
      <c r="BC640" s="24" t="str">
        <f t="shared" si="67"/>
        <v/>
      </c>
      <c r="BD640" s="24" t="str">
        <f t="shared" si="67"/>
        <v/>
      </c>
      <c r="BE640" s="24" t="str">
        <f t="shared" si="67"/>
        <v/>
      </c>
      <c r="BF640" s="24" t="str">
        <f t="shared" si="67"/>
        <v/>
      </c>
      <c r="BG640" s="24" t="str">
        <f t="shared" si="67"/>
        <v/>
      </c>
      <c r="BH640" s="24" t="str">
        <f t="shared" si="63"/>
        <v/>
      </c>
      <c r="BI640" s="24">
        <f t="shared" si="67"/>
        <v>1</v>
      </c>
      <c r="BJ640" s="24" t="str">
        <f t="shared" si="64"/>
        <v/>
      </c>
    </row>
    <row r="641" spans="1:62" ht="15" customHeight="1" x14ac:dyDescent="0.25">
      <c r="A641" t="str">
        <f>"1649521915"</f>
        <v>1649521915</v>
      </c>
      <c r="B641" t="str">
        <f>"03506512"</f>
        <v>03506512</v>
      </c>
      <c r="C641" t="s">
        <v>1513</v>
      </c>
      <c r="D641" t="s">
        <v>1514</v>
      </c>
      <c r="E641" t="s">
        <v>1515</v>
      </c>
      <c r="G641" t="s">
        <v>1513</v>
      </c>
      <c r="H641" t="s">
        <v>440</v>
      </c>
      <c r="J641" t="s">
        <v>1516</v>
      </c>
      <c r="L641" t="s">
        <v>247</v>
      </c>
      <c r="M641" t="s">
        <v>108</v>
      </c>
      <c r="R641" t="s">
        <v>1517</v>
      </c>
      <c r="W641" t="s">
        <v>1515</v>
      </c>
      <c r="X641" t="s">
        <v>406</v>
      </c>
      <c r="Y641" t="s">
        <v>129</v>
      </c>
      <c r="Z641" t="s">
        <v>111</v>
      </c>
      <c r="AA641" t="str">
        <f>"13790-2107"</f>
        <v>13790-2107</v>
      </c>
      <c r="AB641" t="s">
        <v>123</v>
      </c>
      <c r="AC641" t="s">
        <v>113</v>
      </c>
      <c r="AD641" t="s">
        <v>108</v>
      </c>
      <c r="AE641" t="s">
        <v>114</v>
      </c>
      <c r="AF641" t="s">
        <v>115</v>
      </c>
      <c r="AG641" t="s">
        <v>116</v>
      </c>
      <c r="AK641" t="str">
        <f t="shared" si="62"/>
        <v/>
      </c>
      <c r="AL641" t="s">
        <v>1514</v>
      </c>
      <c r="AM641">
        <v>0</v>
      </c>
      <c r="AN641">
        <v>0</v>
      </c>
      <c r="AO641">
        <v>0</v>
      </c>
      <c r="AP641">
        <v>0</v>
      </c>
      <c r="AQ641">
        <v>0</v>
      </c>
      <c r="AR641">
        <v>0</v>
      </c>
      <c r="AS641">
        <v>0</v>
      </c>
      <c r="AT641">
        <v>0</v>
      </c>
      <c r="AU641">
        <v>0</v>
      </c>
      <c r="AV641">
        <v>0</v>
      </c>
      <c r="AW641">
        <v>0</v>
      </c>
      <c r="AX641" s="24" t="str">
        <f t="shared" si="66"/>
        <v/>
      </c>
      <c r="AY641" s="24">
        <f t="shared" si="66"/>
        <v>1</v>
      </c>
      <c r="AZ641" s="24" t="str">
        <f t="shared" si="67"/>
        <v/>
      </c>
      <c r="BA641" s="24" t="str">
        <f t="shared" si="67"/>
        <v/>
      </c>
      <c r="BB641" s="24" t="str">
        <f t="shared" si="67"/>
        <v/>
      </c>
      <c r="BC641" s="24" t="str">
        <f t="shared" si="67"/>
        <v/>
      </c>
      <c r="BD641" s="24" t="str">
        <f t="shared" si="67"/>
        <v/>
      </c>
      <c r="BE641" s="24" t="str">
        <f t="shared" si="67"/>
        <v/>
      </c>
      <c r="BF641" s="24" t="str">
        <f t="shared" si="67"/>
        <v/>
      </c>
      <c r="BG641" s="24" t="str">
        <f t="shared" si="67"/>
        <v/>
      </c>
      <c r="BH641" s="24" t="str">
        <f t="shared" si="63"/>
        <v/>
      </c>
      <c r="BI641" s="24" t="str">
        <f t="shared" si="67"/>
        <v/>
      </c>
      <c r="BJ641" s="24" t="str">
        <f t="shared" si="64"/>
        <v/>
      </c>
    </row>
    <row r="642" spans="1:62" ht="15" customHeight="1" x14ac:dyDescent="0.25">
      <c r="A642" t="str">
        <f>"1962404871"</f>
        <v>1962404871</v>
      </c>
      <c r="B642" t="str">
        <f>"02651343"</f>
        <v>02651343</v>
      </c>
      <c r="C642" t="s">
        <v>6069</v>
      </c>
      <c r="D642" t="s">
        <v>6070</v>
      </c>
      <c r="E642" t="s">
        <v>6071</v>
      </c>
      <c r="G642" t="s">
        <v>815</v>
      </c>
      <c r="H642" t="s">
        <v>816</v>
      </c>
      <c r="J642" t="s">
        <v>817</v>
      </c>
      <c r="L642" t="s">
        <v>138</v>
      </c>
      <c r="M642" t="s">
        <v>108</v>
      </c>
      <c r="R642" t="s">
        <v>6072</v>
      </c>
      <c r="W642" t="s">
        <v>6071</v>
      </c>
      <c r="X642" t="s">
        <v>6073</v>
      </c>
      <c r="Y642" t="s">
        <v>2831</v>
      </c>
      <c r="Z642" t="s">
        <v>111</v>
      </c>
      <c r="AA642" t="str">
        <f>"12208-1707"</f>
        <v>12208-1707</v>
      </c>
      <c r="AB642" t="s">
        <v>123</v>
      </c>
      <c r="AC642" t="s">
        <v>113</v>
      </c>
      <c r="AD642" t="s">
        <v>108</v>
      </c>
      <c r="AE642" t="s">
        <v>114</v>
      </c>
      <c r="AF642" t="s">
        <v>115</v>
      </c>
      <c r="AG642" t="s">
        <v>116</v>
      </c>
      <c r="AK642" t="str">
        <f t="shared" ref="AK642:AK705" si="68">IF(AM642="No",C642,"")</f>
        <v>Jamie Masson, MD</v>
      </c>
      <c r="AL642" t="s">
        <v>6070</v>
      </c>
      <c r="AM642" t="s">
        <v>108</v>
      </c>
      <c r="AN642" t="s">
        <v>108</v>
      </c>
      <c r="AO642" t="s">
        <v>108</v>
      </c>
      <c r="AP642" t="s">
        <v>108</v>
      </c>
      <c r="AQ642" t="s">
        <v>108</v>
      </c>
      <c r="AR642" t="s">
        <v>108</v>
      </c>
      <c r="AS642" t="s">
        <v>108</v>
      </c>
      <c r="AT642" t="s">
        <v>108</v>
      </c>
      <c r="AU642">
        <v>0</v>
      </c>
      <c r="AV642" t="s">
        <v>108</v>
      </c>
      <c r="AW642" t="s">
        <v>108</v>
      </c>
      <c r="AX642" s="24" t="str">
        <f t="shared" si="66"/>
        <v/>
      </c>
      <c r="AY642" s="24">
        <f t="shared" si="66"/>
        <v>1</v>
      </c>
      <c r="AZ642" s="24" t="str">
        <f t="shared" si="67"/>
        <v/>
      </c>
      <c r="BA642" s="24" t="str">
        <f t="shared" si="67"/>
        <v/>
      </c>
      <c r="BB642" s="24" t="str">
        <f t="shared" si="67"/>
        <v/>
      </c>
      <c r="BC642" s="24" t="str">
        <f t="shared" si="67"/>
        <v/>
      </c>
      <c r="BD642" s="24" t="str">
        <f t="shared" si="67"/>
        <v/>
      </c>
      <c r="BE642" s="24" t="str">
        <f t="shared" si="67"/>
        <v/>
      </c>
      <c r="BF642" s="24" t="str">
        <f t="shared" si="67"/>
        <v/>
      </c>
      <c r="BG642" s="24" t="str">
        <f t="shared" si="67"/>
        <v/>
      </c>
      <c r="BH642" s="24" t="str">
        <f t="shared" si="63"/>
        <v/>
      </c>
      <c r="BI642" s="24">
        <f t="shared" si="67"/>
        <v>1</v>
      </c>
      <c r="BJ642" s="24" t="str">
        <f t="shared" si="64"/>
        <v/>
      </c>
    </row>
    <row r="643" spans="1:62" ht="15" customHeight="1" x14ac:dyDescent="0.25">
      <c r="A643" t="str">
        <f>"1952490252"</f>
        <v>1952490252</v>
      </c>
      <c r="B643" t="str">
        <f>"01489270"</f>
        <v>01489270</v>
      </c>
      <c r="C643" t="s">
        <v>3083</v>
      </c>
      <c r="D643" t="s">
        <v>3084</v>
      </c>
      <c r="E643" t="s">
        <v>3085</v>
      </c>
      <c r="G643" t="s">
        <v>3071</v>
      </c>
      <c r="H643" t="s">
        <v>3072</v>
      </c>
      <c r="J643" t="s">
        <v>3086</v>
      </c>
      <c r="L643" t="s">
        <v>120</v>
      </c>
      <c r="M643" t="s">
        <v>139</v>
      </c>
      <c r="R643" t="s">
        <v>3087</v>
      </c>
      <c r="W643" t="s">
        <v>3085</v>
      </c>
      <c r="X643" t="s">
        <v>3088</v>
      </c>
      <c r="Y643" t="s">
        <v>293</v>
      </c>
      <c r="Z643" t="s">
        <v>111</v>
      </c>
      <c r="AA643" t="str">
        <f>"14850-1397"</f>
        <v>14850-1397</v>
      </c>
      <c r="AB643" t="s">
        <v>123</v>
      </c>
      <c r="AC643" t="s">
        <v>113</v>
      </c>
      <c r="AD643" t="s">
        <v>108</v>
      </c>
      <c r="AE643" t="s">
        <v>114</v>
      </c>
      <c r="AF643" t="s">
        <v>142</v>
      </c>
      <c r="AG643" t="s">
        <v>116</v>
      </c>
      <c r="AK643" t="str">
        <f t="shared" si="68"/>
        <v/>
      </c>
      <c r="AL643" t="s">
        <v>3084</v>
      </c>
      <c r="AM643">
        <v>1</v>
      </c>
      <c r="AN643">
        <v>1</v>
      </c>
      <c r="AO643">
        <v>0</v>
      </c>
      <c r="AP643">
        <v>0</v>
      </c>
      <c r="AQ643">
        <v>0</v>
      </c>
      <c r="AR643">
        <v>0</v>
      </c>
      <c r="AS643">
        <v>0</v>
      </c>
      <c r="AT643">
        <v>0</v>
      </c>
      <c r="AU643">
        <v>0</v>
      </c>
      <c r="AV643">
        <v>0</v>
      </c>
      <c r="AW643">
        <v>0</v>
      </c>
      <c r="AX643" s="24">
        <f t="shared" si="66"/>
        <v>1</v>
      </c>
      <c r="AY643" s="24" t="str">
        <f t="shared" si="66"/>
        <v/>
      </c>
      <c r="AZ643" s="24" t="str">
        <f t="shared" si="67"/>
        <v/>
      </c>
      <c r="BA643" s="24" t="str">
        <f t="shared" si="67"/>
        <v/>
      </c>
      <c r="BB643" s="24" t="str">
        <f t="shared" si="67"/>
        <v/>
      </c>
      <c r="BC643" s="24" t="str">
        <f t="shared" si="67"/>
        <v/>
      </c>
      <c r="BD643" s="24" t="str">
        <f t="shared" si="67"/>
        <v/>
      </c>
      <c r="BE643" s="24" t="str">
        <f t="shared" si="67"/>
        <v/>
      </c>
      <c r="BF643" s="24" t="str">
        <f t="shared" si="67"/>
        <v/>
      </c>
      <c r="BG643" s="24" t="str">
        <f t="shared" si="67"/>
        <v/>
      </c>
      <c r="BH643" s="24" t="str">
        <f t="shared" ref="BH643:BH706" si="69">IF(ISERROR(FIND("CBO",$L643,1)),"",1)</f>
        <v/>
      </c>
      <c r="BI643" s="24">
        <f t="shared" si="67"/>
        <v>1</v>
      </c>
      <c r="BJ643" s="24" t="str">
        <f t="shared" si="64"/>
        <v/>
      </c>
    </row>
    <row r="644" spans="1:62" ht="15" customHeight="1" x14ac:dyDescent="0.25">
      <c r="A644" t="str">
        <f>"1417323999"</f>
        <v>1417323999</v>
      </c>
      <c r="B644" t="str">
        <f>"04335631"</f>
        <v>04335631</v>
      </c>
      <c r="C644" t="s">
        <v>6037</v>
      </c>
      <c r="D644" t="s">
        <v>6038</v>
      </c>
      <c r="E644" t="s">
        <v>6039</v>
      </c>
      <c r="G644" t="s">
        <v>815</v>
      </c>
      <c r="H644" t="s">
        <v>816</v>
      </c>
      <c r="J644" t="s">
        <v>817</v>
      </c>
      <c r="L644" t="s">
        <v>247</v>
      </c>
      <c r="M644" t="s">
        <v>108</v>
      </c>
      <c r="R644" t="s">
        <v>6040</v>
      </c>
      <c r="W644" t="s">
        <v>6039</v>
      </c>
      <c r="X644" t="s">
        <v>6041</v>
      </c>
      <c r="Y644" t="s">
        <v>129</v>
      </c>
      <c r="Z644" t="s">
        <v>111</v>
      </c>
      <c r="AA644" t="str">
        <f>"13790-2120"</f>
        <v>13790-2120</v>
      </c>
      <c r="AB644" t="s">
        <v>123</v>
      </c>
      <c r="AC644" t="s">
        <v>113</v>
      </c>
      <c r="AD644" t="s">
        <v>108</v>
      </c>
      <c r="AE644" t="s">
        <v>114</v>
      </c>
      <c r="AF644" t="s">
        <v>115</v>
      </c>
      <c r="AG644" t="s">
        <v>116</v>
      </c>
      <c r="AK644" t="str">
        <f t="shared" si="68"/>
        <v>Jared Pado, NP</v>
      </c>
      <c r="AL644" t="s">
        <v>6038</v>
      </c>
      <c r="AM644" t="s">
        <v>108</v>
      </c>
      <c r="AN644" t="s">
        <v>108</v>
      </c>
      <c r="AO644" t="s">
        <v>108</v>
      </c>
      <c r="AP644" t="s">
        <v>108</v>
      </c>
      <c r="AQ644" t="s">
        <v>108</v>
      </c>
      <c r="AR644" t="s">
        <v>108</v>
      </c>
      <c r="AS644" t="s">
        <v>108</v>
      </c>
      <c r="AT644" t="s">
        <v>108</v>
      </c>
      <c r="AU644">
        <v>0</v>
      </c>
      <c r="AV644" t="s">
        <v>108</v>
      </c>
      <c r="AW644" t="s">
        <v>108</v>
      </c>
      <c r="AX644" s="24" t="str">
        <f t="shared" si="66"/>
        <v/>
      </c>
      <c r="AY644" s="24">
        <f t="shared" si="66"/>
        <v>1</v>
      </c>
      <c r="AZ644" s="24" t="str">
        <f t="shared" si="67"/>
        <v/>
      </c>
      <c r="BA644" s="24" t="str">
        <f t="shared" si="67"/>
        <v/>
      </c>
      <c r="BB644" s="24" t="str">
        <f t="shared" si="67"/>
        <v/>
      </c>
      <c r="BC644" s="24" t="str">
        <f t="shared" si="67"/>
        <v/>
      </c>
      <c r="BD644" s="24" t="str">
        <f t="shared" si="67"/>
        <v/>
      </c>
      <c r="BE644" s="24" t="str">
        <f t="shared" si="67"/>
        <v/>
      </c>
      <c r="BF644" s="24" t="str">
        <f t="shared" si="67"/>
        <v/>
      </c>
      <c r="BG644" s="24" t="str">
        <f t="shared" si="67"/>
        <v/>
      </c>
      <c r="BH644" s="24" t="str">
        <f t="shared" si="69"/>
        <v/>
      </c>
      <c r="BI644" s="24" t="str">
        <f t="shared" si="67"/>
        <v/>
      </c>
      <c r="BJ644" s="24" t="str">
        <f t="shared" si="64"/>
        <v/>
      </c>
    </row>
    <row r="645" spans="1:62" ht="15" customHeight="1" x14ac:dyDescent="0.25">
      <c r="A645" t="str">
        <f>"1255731188"</f>
        <v>1255731188</v>
      </c>
      <c r="B645" t="str">
        <f>"04012626"</f>
        <v>04012626</v>
      </c>
      <c r="C645" t="s">
        <v>6079</v>
      </c>
      <c r="D645" t="s">
        <v>6080</v>
      </c>
      <c r="E645" t="s">
        <v>6081</v>
      </c>
      <c r="G645" t="s">
        <v>815</v>
      </c>
      <c r="H645" t="s">
        <v>816</v>
      </c>
      <c r="J645" t="s">
        <v>817</v>
      </c>
      <c r="L645" t="s">
        <v>247</v>
      </c>
      <c r="M645" t="s">
        <v>108</v>
      </c>
      <c r="R645" t="s">
        <v>6082</v>
      </c>
      <c r="W645" t="s">
        <v>6081</v>
      </c>
      <c r="X645" t="s">
        <v>204</v>
      </c>
      <c r="Y645" t="s">
        <v>110</v>
      </c>
      <c r="Z645" t="s">
        <v>111</v>
      </c>
      <c r="AA645" t="str">
        <f>"13905-4246"</f>
        <v>13905-4246</v>
      </c>
      <c r="AB645" t="s">
        <v>123</v>
      </c>
      <c r="AC645" t="s">
        <v>113</v>
      </c>
      <c r="AD645" t="s">
        <v>108</v>
      </c>
      <c r="AE645" t="s">
        <v>114</v>
      </c>
      <c r="AF645" t="s">
        <v>115</v>
      </c>
      <c r="AG645" t="s">
        <v>116</v>
      </c>
      <c r="AK645" t="str">
        <f t="shared" si="68"/>
        <v>Jason Mahler, FNP</v>
      </c>
      <c r="AL645" t="s">
        <v>6080</v>
      </c>
      <c r="AM645" t="s">
        <v>108</v>
      </c>
      <c r="AN645" t="s">
        <v>108</v>
      </c>
      <c r="AO645" t="s">
        <v>108</v>
      </c>
      <c r="AP645" t="s">
        <v>108</v>
      </c>
      <c r="AQ645" t="s">
        <v>108</v>
      </c>
      <c r="AR645" t="s">
        <v>108</v>
      </c>
      <c r="AS645" t="s">
        <v>108</v>
      </c>
      <c r="AT645" t="s">
        <v>108</v>
      </c>
      <c r="AU645">
        <v>0</v>
      </c>
      <c r="AV645" t="s">
        <v>108</v>
      </c>
      <c r="AW645" t="s">
        <v>108</v>
      </c>
      <c r="AX645" s="24" t="str">
        <f t="shared" si="66"/>
        <v/>
      </c>
      <c r="AY645" s="24">
        <f t="shared" si="66"/>
        <v>1</v>
      </c>
      <c r="AZ645" s="24" t="str">
        <f t="shared" si="67"/>
        <v/>
      </c>
      <c r="BA645" s="24" t="str">
        <f t="shared" si="67"/>
        <v/>
      </c>
      <c r="BB645" s="24" t="str">
        <f t="shared" si="67"/>
        <v/>
      </c>
      <c r="BC645" s="24" t="str">
        <f t="shared" si="67"/>
        <v/>
      </c>
      <c r="BD645" s="24" t="str">
        <f t="shared" si="67"/>
        <v/>
      </c>
      <c r="BE645" s="24" t="str">
        <f t="shared" si="67"/>
        <v/>
      </c>
      <c r="BF645" s="24" t="str">
        <f t="shared" si="67"/>
        <v/>
      </c>
      <c r="BG645" s="24" t="str">
        <f t="shared" si="67"/>
        <v/>
      </c>
      <c r="BH645" s="24" t="str">
        <f t="shared" si="69"/>
        <v/>
      </c>
      <c r="BI645" s="24" t="str">
        <f t="shared" si="67"/>
        <v/>
      </c>
      <c r="BJ645" s="24" t="str">
        <f t="shared" si="64"/>
        <v/>
      </c>
    </row>
    <row r="646" spans="1:62" ht="15" customHeight="1" x14ac:dyDescent="0.25">
      <c r="A646" t="str">
        <f>"1205832151"</f>
        <v>1205832151</v>
      </c>
      <c r="B646" t="str">
        <f>"01669089"</f>
        <v>01669089</v>
      </c>
      <c r="C646" t="s">
        <v>4197</v>
      </c>
      <c r="D646" t="s">
        <v>4198</v>
      </c>
      <c r="E646" t="s">
        <v>4197</v>
      </c>
      <c r="G646" t="s">
        <v>1488</v>
      </c>
      <c r="H646" t="s">
        <v>787</v>
      </c>
      <c r="J646" t="s">
        <v>1489</v>
      </c>
      <c r="L646" t="s">
        <v>120</v>
      </c>
      <c r="M646" t="s">
        <v>139</v>
      </c>
      <c r="R646" t="s">
        <v>4197</v>
      </c>
      <c r="W646" t="s">
        <v>4197</v>
      </c>
      <c r="X646" t="s">
        <v>3317</v>
      </c>
      <c r="Y646" t="s">
        <v>239</v>
      </c>
      <c r="Z646" t="s">
        <v>111</v>
      </c>
      <c r="AA646" t="str">
        <f>"13045-1150"</f>
        <v>13045-1150</v>
      </c>
      <c r="AB646" t="s">
        <v>123</v>
      </c>
      <c r="AC646" t="s">
        <v>113</v>
      </c>
      <c r="AD646" t="s">
        <v>108</v>
      </c>
      <c r="AE646" t="s">
        <v>114</v>
      </c>
      <c r="AF646" t="s">
        <v>142</v>
      </c>
      <c r="AG646" t="s">
        <v>116</v>
      </c>
      <c r="AK646" t="str">
        <f t="shared" si="68"/>
        <v/>
      </c>
      <c r="AL646" t="s">
        <v>4198</v>
      </c>
      <c r="AM646">
        <v>1</v>
      </c>
      <c r="AN646">
        <v>1</v>
      </c>
      <c r="AO646">
        <v>0</v>
      </c>
      <c r="AP646">
        <v>0</v>
      </c>
      <c r="AQ646">
        <v>1</v>
      </c>
      <c r="AR646">
        <v>1</v>
      </c>
      <c r="AS646">
        <v>0</v>
      </c>
      <c r="AT646">
        <v>0</v>
      </c>
      <c r="AU646">
        <v>0</v>
      </c>
      <c r="AV646">
        <v>0</v>
      </c>
      <c r="AW646">
        <v>0</v>
      </c>
      <c r="AX646" s="24">
        <f t="shared" si="66"/>
        <v>1</v>
      </c>
      <c r="AY646" s="24" t="str">
        <f t="shared" si="66"/>
        <v/>
      </c>
      <c r="AZ646" s="24" t="str">
        <f t="shared" si="67"/>
        <v/>
      </c>
      <c r="BA646" s="24" t="str">
        <f t="shared" si="67"/>
        <v/>
      </c>
      <c r="BB646" s="24" t="str">
        <f t="shared" si="67"/>
        <v/>
      </c>
      <c r="BC646" s="24" t="str">
        <f t="shared" si="67"/>
        <v/>
      </c>
      <c r="BD646" s="24" t="str">
        <f t="shared" si="67"/>
        <v/>
      </c>
      <c r="BE646" s="24" t="str">
        <f t="shared" si="67"/>
        <v/>
      </c>
      <c r="BF646" s="24" t="str">
        <f t="shared" si="67"/>
        <v/>
      </c>
      <c r="BG646" s="24" t="str">
        <f t="shared" si="67"/>
        <v/>
      </c>
      <c r="BH646" s="24" t="str">
        <f t="shared" si="69"/>
        <v/>
      </c>
      <c r="BI646" s="24">
        <f t="shared" si="67"/>
        <v>1</v>
      </c>
      <c r="BJ646" s="24" t="str">
        <f t="shared" si="64"/>
        <v/>
      </c>
    </row>
    <row r="647" spans="1:62" ht="15" customHeight="1" x14ac:dyDescent="0.25">
      <c r="A647" t="str">
        <f>"1083726731"</f>
        <v>1083726731</v>
      </c>
      <c r="B647" t="str">
        <f>"02166609"</f>
        <v>02166609</v>
      </c>
      <c r="C647" t="s">
        <v>2897</v>
      </c>
      <c r="D647" t="s">
        <v>2898</v>
      </c>
      <c r="E647" t="s">
        <v>2899</v>
      </c>
      <c r="L647" t="s">
        <v>120</v>
      </c>
      <c r="M647" t="s">
        <v>139</v>
      </c>
      <c r="R647" t="s">
        <v>2897</v>
      </c>
      <c r="W647" t="s">
        <v>2900</v>
      </c>
      <c r="Y647" t="s">
        <v>991</v>
      </c>
      <c r="Z647" t="s">
        <v>111</v>
      </c>
      <c r="AA647" t="str">
        <f>"13838-1300"</f>
        <v>13838-1300</v>
      </c>
      <c r="AB647" t="s">
        <v>123</v>
      </c>
      <c r="AC647" t="s">
        <v>113</v>
      </c>
      <c r="AD647" t="s">
        <v>108</v>
      </c>
      <c r="AE647" t="s">
        <v>114</v>
      </c>
      <c r="AF647" t="s">
        <v>124</v>
      </c>
      <c r="AG647" t="s">
        <v>116</v>
      </c>
      <c r="AK647" t="str">
        <f t="shared" si="68"/>
        <v/>
      </c>
      <c r="AL647" t="s">
        <v>2898</v>
      </c>
      <c r="AM647">
        <v>1</v>
      </c>
      <c r="AN647">
        <v>1</v>
      </c>
      <c r="AO647">
        <v>0</v>
      </c>
      <c r="AP647">
        <v>1</v>
      </c>
      <c r="AQ647">
        <v>1</v>
      </c>
      <c r="AR647">
        <v>0</v>
      </c>
      <c r="AS647">
        <v>0</v>
      </c>
      <c r="AT647">
        <v>0</v>
      </c>
      <c r="AU647">
        <v>0</v>
      </c>
      <c r="AV647">
        <v>0</v>
      </c>
      <c r="AW647">
        <v>0</v>
      </c>
      <c r="AX647" s="24">
        <f t="shared" si="66"/>
        <v>1</v>
      </c>
      <c r="AY647" s="24" t="str">
        <f t="shared" si="66"/>
        <v/>
      </c>
      <c r="AZ647" s="24" t="str">
        <f t="shared" si="67"/>
        <v/>
      </c>
      <c r="BA647" s="24" t="str">
        <f t="shared" si="67"/>
        <v/>
      </c>
      <c r="BB647" s="24" t="str">
        <f t="shared" si="67"/>
        <v/>
      </c>
      <c r="BC647" s="24" t="str">
        <f t="shared" si="67"/>
        <v/>
      </c>
      <c r="BD647" s="24" t="str">
        <f t="shared" si="67"/>
        <v/>
      </c>
      <c r="BE647" s="24" t="str">
        <f t="shared" si="67"/>
        <v/>
      </c>
      <c r="BF647" s="24" t="str">
        <f t="shared" si="67"/>
        <v/>
      </c>
      <c r="BG647" s="24" t="str">
        <f t="shared" si="67"/>
        <v/>
      </c>
      <c r="BH647" s="24" t="str">
        <f t="shared" si="69"/>
        <v/>
      </c>
      <c r="BI647" s="24">
        <f t="shared" si="67"/>
        <v>1</v>
      </c>
      <c r="BJ647" s="24" t="str">
        <f t="shared" si="64"/>
        <v/>
      </c>
    </row>
    <row r="648" spans="1:62" ht="15" customHeight="1" x14ac:dyDescent="0.25">
      <c r="A648" t="str">
        <f>"1952382566"</f>
        <v>1952382566</v>
      </c>
      <c r="B648" t="str">
        <f>"01857414"</f>
        <v>01857414</v>
      </c>
      <c r="C648" t="s">
        <v>322</v>
      </c>
      <c r="D648" t="s">
        <v>323</v>
      </c>
      <c r="E648" t="s">
        <v>324</v>
      </c>
      <c r="G648" t="s">
        <v>322</v>
      </c>
      <c r="H648" t="s">
        <v>316</v>
      </c>
      <c r="J648" t="s">
        <v>325</v>
      </c>
      <c r="L648" t="s">
        <v>120</v>
      </c>
      <c r="M648" t="s">
        <v>108</v>
      </c>
      <c r="R648" t="s">
        <v>326</v>
      </c>
      <c r="W648" t="s">
        <v>324</v>
      </c>
      <c r="X648" t="s">
        <v>327</v>
      </c>
      <c r="Y648" t="s">
        <v>122</v>
      </c>
      <c r="Z648" t="s">
        <v>111</v>
      </c>
      <c r="AA648" t="str">
        <f>"13815-1097"</f>
        <v>13815-1097</v>
      </c>
      <c r="AB648" t="s">
        <v>123</v>
      </c>
      <c r="AC648" t="s">
        <v>113</v>
      </c>
      <c r="AD648" t="s">
        <v>108</v>
      </c>
      <c r="AE648" t="s">
        <v>114</v>
      </c>
      <c r="AF648" t="s">
        <v>124</v>
      </c>
      <c r="AG648" t="s">
        <v>116</v>
      </c>
      <c r="AK648" t="str">
        <f t="shared" si="68"/>
        <v/>
      </c>
      <c r="AL648" t="s">
        <v>323</v>
      </c>
      <c r="AM648">
        <v>1</v>
      </c>
      <c r="AN648">
        <v>1</v>
      </c>
      <c r="AO648">
        <v>0</v>
      </c>
      <c r="AP648">
        <v>1</v>
      </c>
      <c r="AQ648">
        <v>1</v>
      </c>
      <c r="AR648">
        <v>0</v>
      </c>
      <c r="AS648">
        <v>0</v>
      </c>
      <c r="AT648">
        <v>1</v>
      </c>
      <c r="AU648">
        <v>0</v>
      </c>
      <c r="AV648">
        <v>0</v>
      </c>
      <c r="AW648">
        <v>1</v>
      </c>
      <c r="AX648" s="24">
        <f t="shared" si="66"/>
        <v>1</v>
      </c>
      <c r="AY648" s="24" t="str">
        <f t="shared" si="66"/>
        <v/>
      </c>
      <c r="AZ648" s="24" t="str">
        <f t="shared" si="67"/>
        <v/>
      </c>
      <c r="BA648" s="24" t="str">
        <f t="shared" si="67"/>
        <v/>
      </c>
      <c r="BB648" s="24" t="str">
        <f t="shared" si="67"/>
        <v/>
      </c>
      <c r="BC648" s="24" t="str">
        <f t="shared" si="67"/>
        <v/>
      </c>
      <c r="BD648" s="24" t="str">
        <f t="shared" si="67"/>
        <v/>
      </c>
      <c r="BE648" s="24" t="str">
        <f t="shared" si="67"/>
        <v/>
      </c>
      <c r="BF648" s="24" t="str">
        <f t="shared" si="67"/>
        <v/>
      </c>
      <c r="BG648" s="24" t="str">
        <f t="shared" si="67"/>
        <v/>
      </c>
      <c r="BH648" s="24" t="str">
        <f t="shared" si="69"/>
        <v/>
      </c>
      <c r="BI648" s="24">
        <f t="shared" si="67"/>
        <v>1</v>
      </c>
      <c r="BJ648" s="24" t="str">
        <f t="shared" si="64"/>
        <v/>
      </c>
    </row>
    <row r="649" spans="1:62" ht="15" customHeight="1" x14ac:dyDescent="0.25">
      <c r="A649" t="str">
        <f>"1912948753"</f>
        <v>1912948753</v>
      </c>
      <c r="B649" t="str">
        <f>"03702238"</f>
        <v>03702238</v>
      </c>
      <c r="C649" t="s">
        <v>6111</v>
      </c>
      <c r="D649" t="s">
        <v>6112</v>
      </c>
      <c r="E649" t="s">
        <v>6113</v>
      </c>
      <c r="G649" t="s">
        <v>815</v>
      </c>
      <c r="H649" t="s">
        <v>816</v>
      </c>
      <c r="J649" t="s">
        <v>817</v>
      </c>
      <c r="L649" t="s">
        <v>247</v>
      </c>
      <c r="M649" t="s">
        <v>108</v>
      </c>
      <c r="R649" t="s">
        <v>6114</v>
      </c>
      <c r="W649" t="s">
        <v>6113</v>
      </c>
      <c r="X649" t="s">
        <v>6115</v>
      </c>
      <c r="Y649" t="s">
        <v>110</v>
      </c>
      <c r="Z649" t="s">
        <v>111</v>
      </c>
      <c r="AA649" t="str">
        <f>"13901-2756"</f>
        <v>13901-2756</v>
      </c>
      <c r="AB649" t="s">
        <v>123</v>
      </c>
      <c r="AC649" t="s">
        <v>113</v>
      </c>
      <c r="AD649" t="s">
        <v>108</v>
      </c>
      <c r="AE649" t="s">
        <v>114</v>
      </c>
      <c r="AF649" t="s">
        <v>115</v>
      </c>
      <c r="AG649" t="s">
        <v>116</v>
      </c>
      <c r="AK649" t="str">
        <f t="shared" si="68"/>
        <v>Jeanette Lee, NPP</v>
      </c>
      <c r="AL649" t="s">
        <v>6112</v>
      </c>
      <c r="AM649" t="s">
        <v>108</v>
      </c>
      <c r="AN649" t="s">
        <v>108</v>
      </c>
      <c r="AO649" t="s">
        <v>108</v>
      </c>
      <c r="AP649" t="s">
        <v>108</v>
      </c>
      <c r="AQ649" t="s">
        <v>108</v>
      </c>
      <c r="AR649" t="s">
        <v>108</v>
      </c>
      <c r="AS649" t="s">
        <v>108</v>
      </c>
      <c r="AT649" t="s">
        <v>108</v>
      </c>
      <c r="AU649">
        <v>0</v>
      </c>
      <c r="AV649" t="s">
        <v>108</v>
      </c>
      <c r="AW649" t="s">
        <v>108</v>
      </c>
      <c r="AX649" s="24" t="str">
        <f t="shared" si="66"/>
        <v/>
      </c>
      <c r="AY649" s="24">
        <f t="shared" si="66"/>
        <v>1</v>
      </c>
      <c r="AZ649" s="24" t="str">
        <f t="shared" si="67"/>
        <v/>
      </c>
      <c r="BA649" s="24" t="str">
        <f t="shared" si="67"/>
        <v/>
      </c>
      <c r="BB649" s="24" t="str">
        <f t="shared" si="67"/>
        <v/>
      </c>
      <c r="BC649" s="24" t="str">
        <f t="shared" si="67"/>
        <v/>
      </c>
      <c r="BD649" s="24" t="str">
        <f t="shared" si="67"/>
        <v/>
      </c>
      <c r="BE649" s="24" t="str">
        <f t="shared" si="67"/>
        <v/>
      </c>
      <c r="BF649" s="24" t="str">
        <f t="shared" si="67"/>
        <v/>
      </c>
      <c r="BG649" s="24" t="str">
        <f t="shared" si="67"/>
        <v/>
      </c>
      <c r="BH649" s="24" t="str">
        <f t="shared" si="69"/>
        <v/>
      </c>
      <c r="BI649" s="24" t="str">
        <f t="shared" si="67"/>
        <v/>
      </c>
      <c r="BJ649" s="24" t="str">
        <f t="shared" si="64"/>
        <v/>
      </c>
    </row>
    <row r="650" spans="1:62" ht="15" customHeight="1" x14ac:dyDescent="0.25">
      <c r="A650" t="str">
        <f>"1730172792"</f>
        <v>1730172792</v>
      </c>
      <c r="B650" t="str">
        <f>"02605778"</f>
        <v>02605778</v>
      </c>
      <c r="C650" t="s">
        <v>2170</v>
      </c>
      <c r="D650" t="s">
        <v>2171</v>
      </c>
      <c r="E650" t="s">
        <v>2172</v>
      </c>
      <c r="G650" t="s">
        <v>2170</v>
      </c>
      <c r="H650" t="s">
        <v>440</v>
      </c>
      <c r="J650" t="s">
        <v>2173</v>
      </c>
      <c r="L650" t="s">
        <v>120</v>
      </c>
      <c r="M650" t="s">
        <v>108</v>
      </c>
      <c r="R650" t="s">
        <v>2174</v>
      </c>
      <c r="W650" t="s">
        <v>2172</v>
      </c>
      <c r="X650" t="s">
        <v>2175</v>
      </c>
      <c r="Y650" t="s">
        <v>2176</v>
      </c>
      <c r="Z650" t="s">
        <v>111</v>
      </c>
      <c r="AA650" t="str">
        <f>"10941-4057"</f>
        <v>10941-4057</v>
      </c>
      <c r="AB650" t="s">
        <v>123</v>
      </c>
      <c r="AC650" t="s">
        <v>113</v>
      </c>
      <c r="AD650" t="s">
        <v>108</v>
      </c>
      <c r="AE650" t="s">
        <v>114</v>
      </c>
      <c r="AF650" t="s">
        <v>115</v>
      </c>
      <c r="AG650" t="s">
        <v>116</v>
      </c>
      <c r="AK650" t="str">
        <f t="shared" si="68"/>
        <v/>
      </c>
      <c r="AL650" t="s">
        <v>2171</v>
      </c>
      <c r="AM650">
        <v>1</v>
      </c>
      <c r="AN650">
        <v>1</v>
      </c>
      <c r="AO650">
        <v>0</v>
      </c>
      <c r="AP650">
        <v>1</v>
      </c>
      <c r="AQ650">
        <v>1</v>
      </c>
      <c r="AR650">
        <v>0</v>
      </c>
      <c r="AS650">
        <v>0</v>
      </c>
      <c r="AT650">
        <v>0</v>
      </c>
      <c r="AU650">
        <v>0</v>
      </c>
      <c r="AV650">
        <v>0</v>
      </c>
      <c r="AW650">
        <v>0</v>
      </c>
      <c r="AX650" s="24">
        <f t="shared" si="66"/>
        <v>1</v>
      </c>
      <c r="AY650" s="24" t="str">
        <f t="shared" si="66"/>
        <v/>
      </c>
      <c r="AZ650" s="24" t="str">
        <f t="shared" si="67"/>
        <v/>
      </c>
      <c r="BA650" s="24" t="str">
        <f t="shared" si="67"/>
        <v/>
      </c>
      <c r="BB650" s="24" t="str">
        <f t="shared" si="67"/>
        <v/>
      </c>
      <c r="BC650" s="24" t="str">
        <f t="shared" si="67"/>
        <v/>
      </c>
      <c r="BD650" s="24" t="str">
        <f t="shared" si="67"/>
        <v/>
      </c>
      <c r="BE650" s="24" t="str">
        <f t="shared" si="67"/>
        <v/>
      </c>
      <c r="BF650" s="24" t="str">
        <f t="shared" si="67"/>
        <v/>
      </c>
      <c r="BG650" s="24" t="str">
        <f t="shared" si="67"/>
        <v/>
      </c>
      <c r="BH650" s="24" t="str">
        <f t="shared" si="69"/>
        <v/>
      </c>
      <c r="BI650" s="24">
        <f t="shared" si="67"/>
        <v>1</v>
      </c>
      <c r="BJ650" s="24" t="str">
        <f t="shared" si="64"/>
        <v/>
      </c>
    </row>
    <row r="651" spans="1:62" ht="15" customHeight="1" x14ac:dyDescent="0.25">
      <c r="A651" t="str">
        <f>"1790770048"</f>
        <v>1790770048</v>
      </c>
      <c r="B651" t="str">
        <f>"01485294"</f>
        <v>01485294</v>
      </c>
      <c r="C651" t="s">
        <v>6164</v>
      </c>
      <c r="D651" t="s">
        <v>6165</v>
      </c>
      <c r="E651" t="s">
        <v>6166</v>
      </c>
      <c r="G651" t="s">
        <v>815</v>
      </c>
      <c r="H651" t="s">
        <v>816</v>
      </c>
      <c r="J651" t="s">
        <v>817</v>
      </c>
      <c r="L651" t="s">
        <v>138</v>
      </c>
      <c r="M651" t="s">
        <v>108</v>
      </c>
      <c r="R651" t="s">
        <v>6167</v>
      </c>
      <c r="W651" t="s">
        <v>6166</v>
      </c>
      <c r="Y651" t="s">
        <v>2840</v>
      </c>
      <c r="Z651" t="s">
        <v>111</v>
      </c>
      <c r="AA651" t="str">
        <f>"12308-2489"</f>
        <v>12308-2489</v>
      </c>
      <c r="AB651" t="s">
        <v>123</v>
      </c>
      <c r="AC651" t="s">
        <v>113</v>
      </c>
      <c r="AD651" t="s">
        <v>108</v>
      </c>
      <c r="AE651" t="s">
        <v>114</v>
      </c>
      <c r="AF651" t="s">
        <v>115</v>
      </c>
      <c r="AG651" t="s">
        <v>116</v>
      </c>
      <c r="AK651" t="str">
        <f t="shared" si="68"/>
        <v>Jeffrey Greenhouse, MD</v>
      </c>
      <c r="AL651" t="s">
        <v>6165</v>
      </c>
      <c r="AM651" t="s">
        <v>108</v>
      </c>
      <c r="AN651" t="s">
        <v>108</v>
      </c>
      <c r="AO651" t="s">
        <v>108</v>
      </c>
      <c r="AP651" t="s">
        <v>108</v>
      </c>
      <c r="AQ651" t="s">
        <v>108</v>
      </c>
      <c r="AR651" t="s">
        <v>108</v>
      </c>
      <c r="AS651" t="s">
        <v>108</v>
      </c>
      <c r="AT651" t="s">
        <v>108</v>
      </c>
      <c r="AU651">
        <v>0</v>
      </c>
      <c r="AV651" t="s">
        <v>108</v>
      </c>
      <c r="AW651" t="s">
        <v>108</v>
      </c>
      <c r="AX651" s="24" t="str">
        <f t="shared" si="66"/>
        <v/>
      </c>
      <c r="AY651" s="24">
        <f t="shared" si="66"/>
        <v>1</v>
      </c>
      <c r="AZ651" s="24" t="str">
        <f t="shared" si="67"/>
        <v/>
      </c>
      <c r="BA651" s="24" t="str">
        <f t="shared" ref="AZ651:BI676" si="70">IF(ISERROR(FIND(BA$1,$L651,1)),"",1)</f>
        <v/>
      </c>
      <c r="BB651" s="24" t="str">
        <f t="shared" si="70"/>
        <v/>
      </c>
      <c r="BC651" s="24" t="str">
        <f t="shared" si="70"/>
        <v/>
      </c>
      <c r="BD651" s="24" t="str">
        <f t="shared" si="70"/>
        <v/>
      </c>
      <c r="BE651" s="24" t="str">
        <f t="shared" si="70"/>
        <v/>
      </c>
      <c r="BF651" s="24" t="str">
        <f t="shared" si="70"/>
        <v/>
      </c>
      <c r="BG651" s="24" t="str">
        <f t="shared" si="70"/>
        <v/>
      </c>
      <c r="BH651" s="24" t="str">
        <f t="shared" si="69"/>
        <v/>
      </c>
      <c r="BI651" s="24">
        <f t="shared" si="70"/>
        <v>1</v>
      </c>
      <c r="BJ651" s="24" t="str">
        <f t="shared" si="64"/>
        <v/>
      </c>
    </row>
    <row r="652" spans="1:62" ht="15" customHeight="1" x14ac:dyDescent="0.25">
      <c r="A652" t="str">
        <f>"1235224494"</f>
        <v>1235224494</v>
      </c>
      <c r="B652" t="str">
        <f>"02195908"</f>
        <v>02195908</v>
      </c>
      <c r="C652" t="s">
        <v>5606</v>
      </c>
      <c r="D652" t="s">
        <v>5607</v>
      </c>
      <c r="E652" t="s">
        <v>5608</v>
      </c>
      <c r="G652" t="s">
        <v>5609</v>
      </c>
      <c r="H652" t="s">
        <v>5610</v>
      </c>
      <c r="J652" t="s">
        <v>5611</v>
      </c>
      <c r="L652" t="s">
        <v>138</v>
      </c>
      <c r="M652" t="s">
        <v>108</v>
      </c>
      <c r="R652" t="s">
        <v>5612</v>
      </c>
      <c r="W652" t="s">
        <v>5608</v>
      </c>
      <c r="X652" t="s">
        <v>5257</v>
      </c>
      <c r="Y652" t="s">
        <v>293</v>
      </c>
      <c r="Z652" t="s">
        <v>111</v>
      </c>
      <c r="AA652" t="str">
        <f>"14850-1075"</f>
        <v>14850-1075</v>
      </c>
      <c r="AB652" t="s">
        <v>609</v>
      </c>
      <c r="AC652" t="s">
        <v>113</v>
      </c>
      <c r="AD652" t="s">
        <v>108</v>
      </c>
      <c r="AE652" t="s">
        <v>114</v>
      </c>
      <c r="AF652" t="s">
        <v>142</v>
      </c>
      <c r="AG652" t="s">
        <v>116</v>
      </c>
      <c r="AK652" t="str">
        <f t="shared" si="68"/>
        <v/>
      </c>
      <c r="AL652" t="s">
        <v>5607</v>
      </c>
      <c r="AM652">
        <v>1</v>
      </c>
      <c r="AN652">
        <v>1</v>
      </c>
      <c r="AO652">
        <v>0</v>
      </c>
      <c r="AP652">
        <v>0</v>
      </c>
      <c r="AQ652">
        <v>0</v>
      </c>
      <c r="AR652">
        <v>0</v>
      </c>
      <c r="AS652">
        <v>0</v>
      </c>
      <c r="AT652">
        <v>0</v>
      </c>
      <c r="AU652">
        <v>0</v>
      </c>
      <c r="AV652">
        <v>0</v>
      </c>
      <c r="AW652">
        <v>0</v>
      </c>
      <c r="AX652" s="24" t="str">
        <f t="shared" si="66"/>
        <v/>
      </c>
      <c r="AY652" s="24">
        <f t="shared" si="66"/>
        <v>1</v>
      </c>
      <c r="AZ652" s="24" t="str">
        <f t="shared" si="70"/>
        <v/>
      </c>
      <c r="BA652" s="24" t="str">
        <f t="shared" si="70"/>
        <v/>
      </c>
      <c r="BB652" s="24" t="str">
        <f t="shared" si="70"/>
        <v/>
      </c>
      <c r="BC652" s="24" t="str">
        <f t="shared" si="70"/>
        <v/>
      </c>
      <c r="BD652" s="24" t="str">
        <f t="shared" si="70"/>
        <v/>
      </c>
      <c r="BE652" s="24" t="str">
        <f t="shared" si="70"/>
        <v/>
      </c>
      <c r="BF652" s="24" t="str">
        <f t="shared" si="70"/>
        <v/>
      </c>
      <c r="BG652" s="24" t="str">
        <f t="shared" si="70"/>
        <v/>
      </c>
      <c r="BH652" s="24" t="str">
        <f t="shared" si="69"/>
        <v/>
      </c>
      <c r="BI652" s="24">
        <f t="shared" si="70"/>
        <v>1</v>
      </c>
      <c r="BJ652" s="24" t="str">
        <f t="shared" si="64"/>
        <v/>
      </c>
    </row>
    <row r="653" spans="1:62" ht="15" customHeight="1" x14ac:dyDescent="0.25">
      <c r="A653" t="str">
        <f>"1619959582"</f>
        <v>1619959582</v>
      </c>
      <c r="B653" t="str">
        <f>"01545582"</f>
        <v>01545582</v>
      </c>
      <c r="C653" t="s">
        <v>3151</v>
      </c>
      <c r="D653" t="s">
        <v>3152</v>
      </c>
      <c r="E653" t="s">
        <v>3153</v>
      </c>
      <c r="G653" t="s">
        <v>3154</v>
      </c>
      <c r="H653" t="s">
        <v>3155</v>
      </c>
      <c r="J653" t="s">
        <v>3156</v>
      </c>
      <c r="L653" t="s">
        <v>120</v>
      </c>
      <c r="M653" t="s">
        <v>108</v>
      </c>
      <c r="R653" t="s">
        <v>3157</v>
      </c>
      <c r="W653" t="s">
        <v>3153</v>
      </c>
      <c r="X653" t="s">
        <v>3158</v>
      </c>
      <c r="Y653" t="s">
        <v>293</v>
      </c>
      <c r="Z653" t="s">
        <v>111</v>
      </c>
      <c r="AA653" t="str">
        <f>"14850-1055"</f>
        <v>14850-1055</v>
      </c>
      <c r="AB653" t="s">
        <v>123</v>
      </c>
      <c r="AC653" t="s">
        <v>113</v>
      </c>
      <c r="AD653" t="s">
        <v>108</v>
      </c>
      <c r="AE653" t="s">
        <v>114</v>
      </c>
      <c r="AF653" t="s">
        <v>142</v>
      </c>
      <c r="AG653" t="s">
        <v>116</v>
      </c>
      <c r="AK653" t="str">
        <f t="shared" si="68"/>
        <v/>
      </c>
      <c r="AL653" t="s">
        <v>3152</v>
      </c>
      <c r="AM653">
        <v>1</v>
      </c>
      <c r="AN653">
        <v>1</v>
      </c>
      <c r="AO653">
        <v>0</v>
      </c>
      <c r="AP653">
        <v>0</v>
      </c>
      <c r="AQ653">
        <v>0</v>
      </c>
      <c r="AR653">
        <v>0</v>
      </c>
      <c r="AS653">
        <v>0</v>
      </c>
      <c r="AT653">
        <v>0</v>
      </c>
      <c r="AU653">
        <v>0</v>
      </c>
      <c r="AV653">
        <v>0</v>
      </c>
      <c r="AW653">
        <v>0</v>
      </c>
      <c r="AX653" s="24">
        <f t="shared" si="66"/>
        <v>1</v>
      </c>
      <c r="AY653" s="24" t="str">
        <f t="shared" si="66"/>
        <v/>
      </c>
      <c r="AZ653" s="24" t="str">
        <f t="shared" si="70"/>
        <v/>
      </c>
      <c r="BA653" s="24" t="str">
        <f t="shared" si="70"/>
        <v/>
      </c>
      <c r="BB653" s="24" t="str">
        <f t="shared" si="70"/>
        <v/>
      </c>
      <c r="BC653" s="24" t="str">
        <f t="shared" si="70"/>
        <v/>
      </c>
      <c r="BD653" s="24" t="str">
        <f t="shared" si="70"/>
        <v/>
      </c>
      <c r="BE653" s="24" t="str">
        <f t="shared" si="70"/>
        <v/>
      </c>
      <c r="BF653" s="24" t="str">
        <f t="shared" si="70"/>
        <v/>
      </c>
      <c r="BG653" s="24" t="str">
        <f t="shared" si="70"/>
        <v/>
      </c>
      <c r="BH653" s="24" t="str">
        <f t="shared" si="69"/>
        <v/>
      </c>
      <c r="BI653" s="24">
        <f t="shared" si="70"/>
        <v>1</v>
      </c>
      <c r="BJ653" s="24" t="str">
        <f t="shared" si="64"/>
        <v/>
      </c>
    </row>
    <row r="654" spans="1:62" ht="15" customHeight="1" x14ac:dyDescent="0.25">
      <c r="A654" t="str">
        <f>"1235567736"</f>
        <v>1235567736</v>
      </c>
      <c r="B654" t="str">
        <f>"03808431"</f>
        <v>03808431</v>
      </c>
      <c r="C654" t="s">
        <v>5997</v>
      </c>
      <c r="D654" t="s">
        <v>5998</v>
      </c>
      <c r="E654" t="s">
        <v>5999</v>
      </c>
      <c r="G654" t="s">
        <v>815</v>
      </c>
      <c r="H654" t="s">
        <v>816</v>
      </c>
      <c r="J654" t="s">
        <v>817</v>
      </c>
      <c r="L654" t="s">
        <v>247</v>
      </c>
      <c r="M654" t="s">
        <v>108</v>
      </c>
      <c r="R654" t="s">
        <v>6000</v>
      </c>
      <c r="W654" t="s">
        <v>5999</v>
      </c>
      <c r="X654" t="s">
        <v>204</v>
      </c>
      <c r="Y654" t="s">
        <v>110</v>
      </c>
      <c r="Z654" t="s">
        <v>111</v>
      </c>
      <c r="AA654" t="str">
        <f>"13905-4246"</f>
        <v>13905-4246</v>
      </c>
      <c r="AB654" t="s">
        <v>123</v>
      </c>
      <c r="AC654" t="s">
        <v>113</v>
      </c>
      <c r="AD654" t="s">
        <v>108</v>
      </c>
      <c r="AE654" t="s">
        <v>114</v>
      </c>
      <c r="AF654" t="s">
        <v>115</v>
      </c>
      <c r="AG654" t="s">
        <v>116</v>
      </c>
      <c r="AK654" t="str">
        <f t="shared" si="68"/>
        <v>Jengi M. Reilly, FNP</v>
      </c>
      <c r="AL654" t="s">
        <v>5998</v>
      </c>
      <c r="AM654" t="s">
        <v>108</v>
      </c>
      <c r="AN654" t="s">
        <v>108</v>
      </c>
      <c r="AO654" t="s">
        <v>108</v>
      </c>
      <c r="AP654" t="s">
        <v>108</v>
      </c>
      <c r="AQ654" t="s">
        <v>108</v>
      </c>
      <c r="AR654" t="s">
        <v>108</v>
      </c>
      <c r="AS654" t="s">
        <v>108</v>
      </c>
      <c r="AT654" t="s">
        <v>108</v>
      </c>
      <c r="AU654">
        <v>0</v>
      </c>
      <c r="AV654" t="s">
        <v>108</v>
      </c>
      <c r="AW654" t="s">
        <v>108</v>
      </c>
      <c r="AX654" s="24" t="str">
        <f t="shared" si="66"/>
        <v/>
      </c>
      <c r="AY654" s="24">
        <f t="shared" si="66"/>
        <v>1</v>
      </c>
      <c r="AZ654" s="24" t="str">
        <f t="shared" si="70"/>
        <v/>
      </c>
      <c r="BA654" s="24" t="str">
        <f t="shared" si="70"/>
        <v/>
      </c>
      <c r="BB654" s="24" t="str">
        <f t="shared" si="70"/>
        <v/>
      </c>
      <c r="BC654" s="24" t="str">
        <f t="shared" si="70"/>
        <v/>
      </c>
      <c r="BD654" s="24" t="str">
        <f t="shared" si="70"/>
        <v/>
      </c>
      <c r="BE654" s="24" t="str">
        <f t="shared" si="70"/>
        <v/>
      </c>
      <c r="BF654" s="24" t="str">
        <f t="shared" si="70"/>
        <v/>
      </c>
      <c r="BG654" s="24" t="str">
        <f t="shared" si="70"/>
        <v/>
      </c>
      <c r="BH654" s="24" t="str">
        <f t="shared" si="69"/>
        <v/>
      </c>
      <c r="BI654" s="24" t="str">
        <f t="shared" si="70"/>
        <v/>
      </c>
      <c r="BJ654" s="24" t="str">
        <f t="shared" si="64"/>
        <v/>
      </c>
    </row>
    <row r="655" spans="1:62" ht="15" customHeight="1" x14ac:dyDescent="0.25">
      <c r="A655" t="str">
        <f>"1003903550"</f>
        <v>1003903550</v>
      </c>
      <c r="B655" t="str">
        <f>"02415543"</f>
        <v>02415543</v>
      </c>
      <c r="C655" t="s">
        <v>6074</v>
      </c>
      <c r="D655" t="s">
        <v>6075</v>
      </c>
      <c r="E655" t="s">
        <v>6076</v>
      </c>
      <c r="G655" t="s">
        <v>815</v>
      </c>
      <c r="H655" t="s">
        <v>816</v>
      </c>
      <c r="J655" t="s">
        <v>817</v>
      </c>
      <c r="L655" t="s">
        <v>138</v>
      </c>
      <c r="M655" t="s">
        <v>108</v>
      </c>
      <c r="R655" t="s">
        <v>6077</v>
      </c>
      <c r="W655" t="s">
        <v>6076</v>
      </c>
      <c r="X655" t="s">
        <v>6078</v>
      </c>
      <c r="Y655" t="s">
        <v>110</v>
      </c>
      <c r="Z655" t="s">
        <v>111</v>
      </c>
      <c r="AA655" t="str">
        <f>"13905-4246"</f>
        <v>13905-4246</v>
      </c>
      <c r="AB655" t="s">
        <v>123</v>
      </c>
      <c r="AC655" t="s">
        <v>113</v>
      </c>
      <c r="AD655" t="s">
        <v>108</v>
      </c>
      <c r="AE655" t="s">
        <v>114</v>
      </c>
      <c r="AF655" t="s">
        <v>115</v>
      </c>
      <c r="AG655" t="s">
        <v>116</v>
      </c>
      <c r="AK655" t="str">
        <f t="shared" si="68"/>
        <v>Jennifer A. MaLossi, MD</v>
      </c>
      <c r="AL655" t="s">
        <v>6075</v>
      </c>
      <c r="AM655" t="s">
        <v>108</v>
      </c>
      <c r="AN655" t="s">
        <v>108</v>
      </c>
      <c r="AO655" t="s">
        <v>108</v>
      </c>
      <c r="AP655" t="s">
        <v>108</v>
      </c>
      <c r="AQ655" t="s">
        <v>108</v>
      </c>
      <c r="AR655" t="s">
        <v>108</v>
      </c>
      <c r="AS655" t="s">
        <v>108</v>
      </c>
      <c r="AT655" t="s">
        <v>108</v>
      </c>
      <c r="AU655">
        <v>0</v>
      </c>
      <c r="AV655" t="s">
        <v>108</v>
      </c>
      <c r="AW655" t="s">
        <v>108</v>
      </c>
      <c r="AX655" s="24" t="str">
        <f t="shared" si="66"/>
        <v/>
      </c>
      <c r="AY655" s="24">
        <f t="shared" si="66"/>
        <v>1</v>
      </c>
      <c r="AZ655" s="24" t="str">
        <f t="shared" si="70"/>
        <v/>
      </c>
      <c r="BA655" s="24" t="str">
        <f t="shared" si="70"/>
        <v/>
      </c>
      <c r="BB655" s="24" t="str">
        <f t="shared" si="70"/>
        <v/>
      </c>
      <c r="BC655" s="24" t="str">
        <f t="shared" si="70"/>
        <v/>
      </c>
      <c r="BD655" s="24" t="str">
        <f t="shared" si="70"/>
        <v/>
      </c>
      <c r="BE655" s="24" t="str">
        <f t="shared" si="70"/>
        <v/>
      </c>
      <c r="BF655" s="24" t="str">
        <f t="shared" si="70"/>
        <v/>
      </c>
      <c r="BG655" s="24" t="str">
        <f t="shared" si="70"/>
        <v/>
      </c>
      <c r="BH655" s="24" t="str">
        <f t="shared" si="69"/>
        <v/>
      </c>
      <c r="BI655" s="24">
        <f t="shared" si="70"/>
        <v>1</v>
      </c>
      <c r="BJ655" s="24" t="str">
        <f t="shared" si="64"/>
        <v/>
      </c>
    </row>
    <row r="656" spans="1:62" ht="15" customHeight="1" x14ac:dyDescent="0.25">
      <c r="A656" t="str">
        <f>"1891000329"</f>
        <v>1891000329</v>
      </c>
      <c r="B656" t="str">
        <f>"03805236"</f>
        <v>03805236</v>
      </c>
      <c r="C656" t="s">
        <v>6116</v>
      </c>
      <c r="D656" t="s">
        <v>6117</v>
      </c>
      <c r="E656" t="s">
        <v>6118</v>
      </c>
      <c r="G656" t="s">
        <v>815</v>
      </c>
      <c r="H656" t="s">
        <v>816</v>
      </c>
      <c r="J656" t="s">
        <v>817</v>
      </c>
      <c r="L656" t="s">
        <v>138</v>
      </c>
      <c r="M656" t="s">
        <v>108</v>
      </c>
      <c r="R656" t="s">
        <v>6119</v>
      </c>
      <c r="W656" t="s">
        <v>6118</v>
      </c>
      <c r="X656" t="s">
        <v>334</v>
      </c>
      <c r="Y656" t="s">
        <v>335</v>
      </c>
      <c r="Z656" t="s">
        <v>111</v>
      </c>
      <c r="AA656" t="str">
        <f>"13820-2099"</f>
        <v>13820-2099</v>
      </c>
      <c r="AB656" t="s">
        <v>123</v>
      </c>
      <c r="AC656" t="s">
        <v>113</v>
      </c>
      <c r="AD656" t="s">
        <v>108</v>
      </c>
      <c r="AE656" t="s">
        <v>114</v>
      </c>
      <c r="AF656" t="s">
        <v>115</v>
      </c>
      <c r="AG656" t="s">
        <v>116</v>
      </c>
      <c r="AK656" t="str">
        <f t="shared" si="68"/>
        <v>Jennifer M. LaVare, PCNP</v>
      </c>
      <c r="AL656" t="s">
        <v>6117</v>
      </c>
      <c r="AM656" t="s">
        <v>108</v>
      </c>
      <c r="AN656" t="s">
        <v>108</v>
      </c>
      <c r="AO656" t="s">
        <v>108</v>
      </c>
      <c r="AP656" t="s">
        <v>108</v>
      </c>
      <c r="AQ656" t="s">
        <v>108</v>
      </c>
      <c r="AR656" t="s">
        <v>108</v>
      </c>
      <c r="AS656" t="s">
        <v>108</v>
      </c>
      <c r="AT656" t="s">
        <v>108</v>
      </c>
      <c r="AU656">
        <v>0</v>
      </c>
      <c r="AV656" t="s">
        <v>108</v>
      </c>
      <c r="AW656" t="s">
        <v>108</v>
      </c>
      <c r="AX656" s="24" t="str">
        <f t="shared" si="66"/>
        <v/>
      </c>
      <c r="AY656" s="24">
        <f t="shared" si="66"/>
        <v>1</v>
      </c>
      <c r="AZ656" s="24" t="str">
        <f t="shared" si="70"/>
        <v/>
      </c>
      <c r="BA656" s="24" t="str">
        <f t="shared" si="70"/>
        <v/>
      </c>
      <c r="BB656" s="24" t="str">
        <f t="shared" si="70"/>
        <v/>
      </c>
      <c r="BC656" s="24" t="str">
        <f t="shared" si="70"/>
        <v/>
      </c>
      <c r="BD656" s="24" t="str">
        <f t="shared" si="70"/>
        <v/>
      </c>
      <c r="BE656" s="24" t="str">
        <f t="shared" si="70"/>
        <v/>
      </c>
      <c r="BF656" s="24" t="str">
        <f t="shared" si="70"/>
        <v/>
      </c>
      <c r="BG656" s="24" t="str">
        <f t="shared" si="70"/>
        <v/>
      </c>
      <c r="BH656" s="24" t="str">
        <f t="shared" si="69"/>
        <v/>
      </c>
      <c r="BI656" s="24">
        <f t="shared" si="70"/>
        <v>1</v>
      </c>
      <c r="BJ656" s="24" t="str">
        <f t="shared" si="64"/>
        <v/>
      </c>
    </row>
    <row r="657" spans="1:62" ht="15" customHeight="1" x14ac:dyDescent="0.25">
      <c r="A657" t="str">
        <f>"1699941948"</f>
        <v>1699941948</v>
      </c>
      <c r="B657" t="str">
        <f>"03057247"</f>
        <v>03057247</v>
      </c>
      <c r="C657" t="s">
        <v>2369</v>
      </c>
      <c r="D657" t="s">
        <v>2370</v>
      </c>
      <c r="E657" t="s">
        <v>2371</v>
      </c>
      <c r="G657" t="s">
        <v>2369</v>
      </c>
      <c r="H657" t="s">
        <v>1479</v>
      </c>
      <c r="J657" t="s">
        <v>2372</v>
      </c>
      <c r="L657" t="s">
        <v>138</v>
      </c>
      <c r="M657" t="s">
        <v>108</v>
      </c>
      <c r="R657" t="s">
        <v>2373</v>
      </c>
      <c r="W657" t="s">
        <v>2374</v>
      </c>
      <c r="X657" t="s">
        <v>798</v>
      </c>
      <c r="Y657" t="s">
        <v>110</v>
      </c>
      <c r="Z657" t="s">
        <v>111</v>
      </c>
      <c r="AA657" t="str">
        <f>"13901-1293"</f>
        <v>13901-1293</v>
      </c>
      <c r="AB657" t="s">
        <v>609</v>
      </c>
      <c r="AC657" t="s">
        <v>113</v>
      </c>
      <c r="AD657" t="s">
        <v>108</v>
      </c>
      <c r="AE657" t="s">
        <v>114</v>
      </c>
      <c r="AF657" t="s">
        <v>115</v>
      </c>
      <c r="AG657" t="s">
        <v>116</v>
      </c>
      <c r="AK657" t="str">
        <f t="shared" si="68"/>
        <v/>
      </c>
      <c r="AL657" t="s">
        <v>2370</v>
      </c>
      <c r="AM657">
        <v>1</v>
      </c>
      <c r="AN657">
        <v>1</v>
      </c>
      <c r="AO657">
        <v>0</v>
      </c>
      <c r="AP657">
        <v>1</v>
      </c>
      <c r="AQ657">
        <v>1</v>
      </c>
      <c r="AR657">
        <v>0</v>
      </c>
      <c r="AS657">
        <v>0</v>
      </c>
      <c r="AT657">
        <v>0</v>
      </c>
      <c r="AU657">
        <v>0</v>
      </c>
      <c r="AV657">
        <v>0</v>
      </c>
      <c r="AW657">
        <v>0</v>
      </c>
      <c r="AX657" s="24" t="str">
        <f t="shared" si="66"/>
        <v/>
      </c>
      <c r="AY657" s="24">
        <f t="shared" si="66"/>
        <v>1</v>
      </c>
      <c r="AZ657" s="24" t="str">
        <f t="shared" si="70"/>
        <v/>
      </c>
      <c r="BA657" s="24" t="str">
        <f t="shared" si="70"/>
        <v/>
      </c>
      <c r="BB657" s="24" t="str">
        <f t="shared" si="70"/>
        <v/>
      </c>
      <c r="BC657" s="24" t="str">
        <f t="shared" si="70"/>
        <v/>
      </c>
      <c r="BD657" s="24" t="str">
        <f t="shared" si="70"/>
        <v/>
      </c>
      <c r="BE657" s="24" t="str">
        <f t="shared" si="70"/>
        <v/>
      </c>
      <c r="BF657" s="24" t="str">
        <f t="shared" si="70"/>
        <v/>
      </c>
      <c r="BG657" s="24" t="str">
        <f t="shared" si="70"/>
        <v/>
      </c>
      <c r="BH657" s="24" t="str">
        <f t="shared" si="69"/>
        <v/>
      </c>
      <c r="BI657" s="24">
        <f t="shared" si="70"/>
        <v>1</v>
      </c>
      <c r="BJ657" s="24" t="str">
        <f t="shared" si="64"/>
        <v/>
      </c>
    </row>
    <row r="658" spans="1:62" ht="15" customHeight="1" x14ac:dyDescent="0.25">
      <c r="A658" t="str">
        <f>"1902807407"</f>
        <v>1902807407</v>
      </c>
      <c r="B658" t="str">
        <f>"01831149"</f>
        <v>01831149</v>
      </c>
      <c r="C658" t="s">
        <v>2615</v>
      </c>
      <c r="D658" t="s">
        <v>2616</v>
      </c>
      <c r="E658" t="s">
        <v>2617</v>
      </c>
      <c r="G658" t="s">
        <v>2615</v>
      </c>
      <c r="H658" t="s">
        <v>2618</v>
      </c>
      <c r="J658" t="s">
        <v>2619</v>
      </c>
      <c r="L658" t="s">
        <v>138</v>
      </c>
      <c r="M658" t="s">
        <v>108</v>
      </c>
      <c r="R658" t="s">
        <v>2620</v>
      </c>
      <c r="W658" t="s">
        <v>2617</v>
      </c>
      <c r="X658" t="s">
        <v>2621</v>
      </c>
      <c r="Y658" t="s">
        <v>293</v>
      </c>
      <c r="Z658" t="s">
        <v>111</v>
      </c>
      <c r="AA658" t="str">
        <f>"14850-5406"</f>
        <v>14850-5406</v>
      </c>
      <c r="AB658" t="s">
        <v>123</v>
      </c>
      <c r="AC658" t="s">
        <v>113</v>
      </c>
      <c r="AD658" t="s">
        <v>108</v>
      </c>
      <c r="AE658" t="s">
        <v>114</v>
      </c>
      <c r="AF658" t="s">
        <v>142</v>
      </c>
      <c r="AG658" t="s">
        <v>116</v>
      </c>
      <c r="AK658" t="str">
        <f t="shared" si="68"/>
        <v/>
      </c>
      <c r="AL658" t="s">
        <v>2616</v>
      </c>
      <c r="AM658">
        <v>0</v>
      </c>
      <c r="AN658">
        <v>0</v>
      </c>
      <c r="AO658">
        <v>0</v>
      </c>
      <c r="AP658">
        <v>0</v>
      </c>
      <c r="AQ658">
        <v>0</v>
      </c>
      <c r="AR658">
        <v>0</v>
      </c>
      <c r="AS658">
        <v>0</v>
      </c>
      <c r="AT658">
        <v>0</v>
      </c>
      <c r="AU658">
        <v>0</v>
      </c>
      <c r="AV658">
        <v>0</v>
      </c>
      <c r="AW658">
        <v>0</v>
      </c>
      <c r="AX658" s="24" t="str">
        <f t="shared" si="66"/>
        <v/>
      </c>
      <c r="AY658" s="24">
        <f t="shared" si="66"/>
        <v>1</v>
      </c>
      <c r="AZ658" s="24" t="str">
        <f t="shared" si="70"/>
        <v/>
      </c>
      <c r="BA658" s="24" t="str">
        <f t="shared" si="70"/>
        <v/>
      </c>
      <c r="BB658" s="24" t="str">
        <f t="shared" si="70"/>
        <v/>
      </c>
      <c r="BC658" s="24" t="str">
        <f t="shared" si="70"/>
        <v/>
      </c>
      <c r="BD658" s="24" t="str">
        <f t="shared" si="70"/>
        <v/>
      </c>
      <c r="BE658" s="24" t="str">
        <f t="shared" si="70"/>
        <v/>
      </c>
      <c r="BF658" s="24" t="str">
        <f t="shared" si="70"/>
        <v/>
      </c>
      <c r="BG658" s="24" t="str">
        <f t="shared" si="70"/>
        <v/>
      </c>
      <c r="BH658" s="24" t="str">
        <f t="shared" si="69"/>
        <v/>
      </c>
      <c r="BI658" s="24">
        <f t="shared" si="70"/>
        <v>1</v>
      </c>
      <c r="BJ658" s="24" t="str">
        <f t="shared" ref="BJ658:BJ721" si="71">IF(ISERROR(FIND(BJ$1,$L658,1)),"",1)</f>
        <v/>
      </c>
    </row>
    <row r="659" spans="1:62" ht="15" customHeight="1" x14ac:dyDescent="0.25">
      <c r="A659" t="str">
        <f>"1205837515"</f>
        <v>1205837515</v>
      </c>
      <c r="B659" t="str">
        <f>"01832333"</f>
        <v>01832333</v>
      </c>
      <c r="C659" t="s">
        <v>386</v>
      </c>
      <c r="D659" t="s">
        <v>387</v>
      </c>
      <c r="E659" t="s">
        <v>388</v>
      </c>
      <c r="G659" t="s">
        <v>386</v>
      </c>
      <c r="H659" t="s">
        <v>331</v>
      </c>
      <c r="J659" t="s">
        <v>389</v>
      </c>
      <c r="L659" t="s">
        <v>120</v>
      </c>
      <c r="M659" t="s">
        <v>108</v>
      </c>
      <c r="R659" t="s">
        <v>390</v>
      </c>
      <c r="W659" t="s">
        <v>391</v>
      </c>
      <c r="X659" t="s">
        <v>334</v>
      </c>
      <c r="Y659" t="s">
        <v>335</v>
      </c>
      <c r="Z659" t="s">
        <v>111</v>
      </c>
      <c r="AA659" t="str">
        <f>"13820-2099"</f>
        <v>13820-2099</v>
      </c>
      <c r="AB659" t="s">
        <v>123</v>
      </c>
      <c r="AC659" t="s">
        <v>113</v>
      </c>
      <c r="AD659" t="s">
        <v>108</v>
      </c>
      <c r="AE659" t="s">
        <v>114</v>
      </c>
      <c r="AF659" t="s">
        <v>124</v>
      </c>
      <c r="AG659" t="s">
        <v>116</v>
      </c>
      <c r="AK659" t="str">
        <f t="shared" si="68"/>
        <v/>
      </c>
      <c r="AL659" t="s">
        <v>387</v>
      </c>
      <c r="AM659">
        <v>0</v>
      </c>
      <c r="AN659">
        <v>0</v>
      </c>
      <c r="AO659">
        <v>0</v>
      </c>
      <c r="AP659">
        <v>0</v>
      </c>
      <c r="AQ659">
        <v>0</v>
      </c>
      <c r="AR659">
        <v>0</v>
      </c>
      <c r="AS659">
        <v>0</v>
      </c>
      <c r="AT659">
        <v>0</v>
      </c>
      <c r="AU659">
        <v>0</v>
      </c>
      <c r="AV659">
        <v>0</v>
      </c>
      <c r="AW659">
        <v>0</v>
      </c>
      <c r="AX659" s="24">
        <f t="shared" si="66"/>
        <v>1</v>
      </c>
      <c r="AY659" s="24" t="str">
        <f t="shared" si="66"/>
        <v/>
      </c>
      <c r="AZ659" s="24" t="str">
        <f t="shared" si="70"/>
        <v/>
      </c>
      <c r="BA659" s="24" t="str">
        <f t="shared" si="70"/>
        <v/>
      </c>
      <c r="BB659" s="24" t="str">
        <f t="shared" si="70"/>
        <v/>
      </c>
      <c r="BC659" s="24" t="str">
        <f t="shared" si="70"/>
        <v/>
      </c>
      <c r="BD659" s="24" t="str">
        <f t="shared" si="70"/>
        <v/>
      </c>
      <c r="BE659" s="24" t="str">
        <f t="shared" si="70"/>
        <v/>
      </c>
      <c r="BF659" s="24" t="str">
        <f t="shared" si="70"/>
        <v/>
      </c>
      <c r="BG659" s="24" t="str">
        <f t="shared" si="70"/>
        <v/>
      </c>
      <c r="BH659" s="24" t="str">
        <f t="shared" si="69"/>
        <v/>
      </c>
      <c r="BI659" s="24">
        <f t="shared" si="70"/>
        <v>1</v>
      </c>
      <c r="BJ659" s="24" t="str">
        <f t="shared" si="71"/>
        <v/>
      </c>
    </row>
    <row r="660" spans="1:62" ht="15" customHeight="1" x14ac:dyDescent="0.25">
      <c r="A660" t="str">
        <f>"1720366982"</f>
        <v>1720366982</v>
      </c>
      <c r="B660" t="str">
        <f>"03447481"</f>
        <v>03447481</v>
      </c>
      <c r="C660" t="s">
        <v>1334</v>
      </c>
      <c r="D660" t="s">
        <v>1335</v>
      </c>
      <c r="E660" t="s">
        <v>1336</v>
      </c>
      <c r="G660" t="s">
        <v>1334</v>
      </c>
      <c r="H660" t="s">
        <v>395</v>
      </c>
      <c r="J660" t="s">
        <v>1337</v>
      </c>
      <c r="L660" t="s">
        <v>120</v>
      </c>
      <c r="M660" t="s">
        <v>139</v>
      </c>
      <c r="R660" t="s">
        <v>1338</v>
      </c>
      <c r="W660" t="s">
        <v>1339</v>
      </c>
      <c r="X660" t="s">
        <v>798</v>
      </c>
      <c r="Y660" t="s">
        <v>110</v>
      </c>
      <c r="Z660" t="s">
        <v>111</v>
      </c>
      <c r="AA660" t="str">
        <f>"13901-1293"</f>
        <v>13901-1293</v>
      </c>
      <c r="AB660" t="s">
        <v>123</v>
      </c>
      <c r="AC660" t="s">
        <v>113</v>
      </c>
      <c r="AD660" t="s">
        <v>108</v>
      </c>
      <c r="AE660" t="s">
        <v>114</v>
      </c>
      <c r="AF660" t="s">
        <v>115</v>
      </c>
      <c r="AG660" t="s">
        <v>116</v>
      </c>
      <c r="AK660" t="str">
        <f t="shared" si="68"/>
        <v/>
      </c>
      <c r="AL660" t="s">
        <v>1335</v>
      </c>
      <c r="AM660">
        <v>0</v>
      </c>
      <c r="AN660">
        <v>0</v>
      </c>
      <c r="AO660">
        <v>0</v>
      </c>
      <c r="AP660">
        <v>0</v>
      </c>
      <c r="AQ660">
        <v>0</v>
      </c>
      <c r="AR660">
        <v>0</v>
      </c>
      <c r="AS660">
        <v>0</v>
      </c>
      <c r="AT660">
        <v>0</v>
      </c>
      <c r="AU660">
        <v>1</v>
      </c>
      <c r="AV660">
        <v>0</v>
      </c>
      <c r="AW660">
        <v>0</v>
      </c>
      <c r="AX660" s="24">
        <f t="shared" si="66"/>
        <v>1</v>
      </c>
      <c r="AY660" s="24" t="str">
        <f t="shared" si="66"/>
        <v/>
      </c>
      <c r="AZ660" s="24" t="str">
        <f t="shared" si="70"/>
        <v/>
      </c>
      <c r="BA660" s="24" t="str">
        <f t="shared" si="70"/>
        <v/>
      </c>
      <c r="BB660" s="24" t="str">
        <f t="shared" si="70"/>
        <v/>
      </c>
      <c r="BC660" s="24" t="str">
        <f t="shared" si="70"/>
        <v/>
      </c>
      <c r="BD660" s="24" t="str">
        <f t="shared" si="70"/>
        <v/>
      </c>
      <c r="BE660" s="24" t="str">
        <f t="shared" si="70"/>
        <v/>
      </c>
      <c r="BF660" s="24" t="str">
        <f t="shared" si="70"/>
        <v/>
      </c>
      <c r="BG660" s="24" t="str">
        <f t="shared" si="70"/>
        <v/>
      </c>
      <c r="BH660" s="24" t="str">
        <f t="shared" si="69"/>
        <v/>
      </c>
      <c r="BI660" s="24">
        <f t="shared" si="70"/>
        <v>1</v>
      </c>
      <c r="BJ660" s="24" t="str">
        <f t="shared" si="71"/>
        <v/>
      </c>
    </row>
    <row r="661" spans="1:62" ht="15" customHeight="1" x14ac:dyDescent="0.25">
      <c r="A661" t="str">
        <f>"1205881166"</f>
        <v>1205881166</v>
      </c>
      <c r="B661" t="str">
        <f>"03121973"</f>
        <v>03121973</v>
      </c>
      <c r="C661" t="s">
        <v>3767</v>
      </c>
      <c r="D661" t="s">
        <v>3768</v>
      </c>
      <c r="E661" t="s">
        <v>3769</v>
      </c>
      <c r="G661" t="s">
        <v>3749</v>
      </c>
      <c r="H661" t="s">
        <v>3750</v>
      </c>
      <c r="J661" t="s">
        <v>3751</v>
      </c>
      <c r="L661" t="s">
        <v>6868</v>
      </c>
      <c r="M661" t="s">
        <v>139</v>
      </c>
      <c r="R661" t="s">
        <v>3770</v>
      </c>
      <c r="W661" t="s">
        <v>3769</v>
      </c>
      <c r="X661" t="s">
        <v>3771</v>
      </c>
      <c r="Y661" t="s">
        <v>1053</v>
      </c>
      <c r="Z661" t="s">
        <v>111</v>
      </c>
      <c r="AA661" t="str">
        <f>"14611-3702"</f>
        <v>14611-3702</v>
      </c>
      <c r="AB661" t="s">
        <v>123</v>
      </c>
      <c r="AC661" t="s">
        <v>113</v>
      </c>
      <c r="AD661" t="s">
        <v>108</v>
      </c>
      <c r="AE661" t="s">
        <v>114</v>
      </c>
      <c r="AF661" t="s">
        <v>142</v>
      </c>
      <c r="AG661" t="s">
        <v>116</v>
      </c>
      <c r="AK661" t="str">
        <f t="shared" si="68"/>
        <v/>
      </c>
      <c r="AL661" t="s">
        <v>3768</v>
      </c>
      <c r="AM661">
        <v>1</v>
      </c>
      <c r="AN661">
        <v>1</v>
      </c>
      <c r="AO661">
        <v>0</v>
      </c>
      <c r="AP661">
        <v>0</v>
      </c>
      <c r="AQ661">
        <v>1</v>
      </c>
      <c r="AR661">
        <v>0</v>
      </c>
      <c r="AS661">
        <v>0</v>
      </c>
      <c r="AT661">
        <v>0</v>
      </c>
      <c r="AU661">
        <v>0</v>
      </c>
      <c r="AV661">
        <v>0</v>
      </c>
      <c r="AW661">
        <v>0</v>
      </c>
      <c r="AX661" s="24">
        <f t="shared" si="66"/>
        <v>1</v>
      </c>
      <c r="AY661" s="24">
        <f t="shared" si="66"/>
        <v>1</v>
      </c>
      <c r="AZ661" s="24" t="str">
        <f t="shared" si="70"/>
        <v/>
      </c>
      <c r="BA661" s="24" t="str">
        <f t="shared" si="70"/>
        <v/>
      </c>
      <c r="BB661" s="24" t="str">
        <f t="shared" si="70"/>
        <v/>
      </c>
      <c r="BC661" s="24" t="str">
        <f t="shared" si="70"/>
        <v/>
      </c>
      <c r="BD661" s="24" t="str">
        <f t="shared" si="70"/>
        <v/>
      </c>
      <c r="BE661" s="24" t="str">
        <f t="shared" si="70"/>
        <v/>
      </c>
      <c r="BF661" s="24" t="str">
        <f t="shared" si="70"/>
        <v/>
      </c>
      <c r="BG661" s="24" t="str">
        <f t="shared" si="70"/>
        <v/>
      </c>
      <c r="BH661" s="24" t="str">
        <f t="shared" si="69"/>
        <v/>
      </c>
      <c r="BI661" s="24" t="str">
        <f t="shared" si="70"/>
        <v/>
      </c>
      <c r="BJ661" s="24" t="str">
        <f t="shared" si="71"/>
        <v/>
      </c>
    </row>
    <row r="662" spans="1:62" ht="15" customHeight="1" x14ac:dyDescent="0.25">
      <c r="A662" t="str">
        <f>"1710076096"</f>
        <v>1710076096</v>
      </c>
      <c r="B662" t="str">
        <f>"02272517"</f>
        <v>02272517</v>
      </c>
      <c r="C662" t="s">
        <v>3068</v>
      </c>
      <c r="D662" t="s">
        <v>3069</v>
      </c>
      <c r="E662" t="s">
        <v>3070</v>
      </c>
      <c r="G662" t="s">
        <v>3071</v>
      </c>
      <c r="H662" t="s">
        <v>3072</v>
      </c>
      <c r="J662" t="s">
        <v>3073</v>
      </c>
      <c r="L662" t="s">
        <v>120</v>
      </c>
      <c r="M662" t="s">
        <v>139</v>
      </c>
      <c r="R662" t="s">
        <v>3074</v>
      </c>
      <c r="W662" t="s">
        <v>3075</v>
      </c>
      <c r="X662" t="s">
        <v>3076</v>
      </c>
      <c r="Y662" t="s">
        <v>293</v>
      </c>
      <c r="Z662" t="s">
        <v>111</v>
      </c>
      <c r="AA662" t="str">
        <f>"14850-1397"</f>
        <v>14850-1397</v>
      </c>
      <c r="AB662" t="s">
        <v>123</v>
      </c>
      <c r="AC662" t="s">
        <v>113</v>
      </c>
      <c r="AD662" t="s">
        <v>108</v>
      </c>
      <c r="AE662" t="s">
        <v>114</v>
      </c>
      <c r="AF662" t="s">
        <v>142</v>
      </c>
      <c r="AG662" t="s">
        <v>116</v>
      </c>
      <c r="AK662" t="str">
        <f t="shared" si="68"/>
        <v/>
      </c>
      <c r="AL662" t="s">
        <v>3069</v>
      </c>
      <c r="AM662">
        <v>1</v>
      </c>
      <c r="AN662">
        <v>1</v>
      </c>
      <c r="AO662">
        <v>0</v>
      </c>
      <c r="AP662">
        <v>0</v>
      </c>
      <c r="AQ662">
        <v>0</v>
      </c>
      <c r="AR662">
        <v>0</v>
      </c>
      <c r="AS662">
        <v>0</v>
      </c>
      <c r="AT662">
        <v>0</v>
      </c>
      <c r="AU662">
        <v>0</v>
      </c>
      <c r="AV662">
        <v>0</v>
      </c>
      <c r="AW662">
        <v>0</v>
      </c>
      <c r="AX662" s="24">
        <f t="shared" si="66"/>
        <v>1</v>
      </c>
      <c r="AY662" s="24" t="str">
        <f t="shared" si="66"/>
        <v/>
      </c>
      <c r="AZ662" s="24" t="str">
        <f t="shared" si="70"/>
        <v/>
      </c>
      <c r="BA662" s="24" t="str">
        <f t="shared" si="70"/>
        <v/>
      </c>
      <c r="BB662" s="24" t="str">
        <f t="shared" si="70"/>
        <v/>
      </c>
      <c r="BC662" s="24" t="str">
        <f t="shared" si="70"/>
        <v/>
      </c>
      <c r="BD662" s="24" t="str">
        <f t="shared" si="70"/>
        <v/>
      </c>
      <c r="BE662" s="24" t="str">
        <f t="shared" si="70"/>
        <v/>
      </c>
      <c r="BF662" s="24" t="str">
        <f t="shared" si="70"/>
        <v/>
      </c>
      <c r="BG662" s="24" t="str">
        <f t="shared" si="70"/>
        <v/>
      </c>
      <c r="BH662" s="24" t="str">
        <f t="shared" si="69"/>
        <v/>
      </c>
      <c r="BI662" s="24">
        <f t="shared" si="70"/>
        <v>1</v>
      </c>
      <c r="BJ662" s="24" t="str">
        <f t="shared" si="71"/>
        <v/>
      </c>
    </row>
    <row r="663" spans="1:62" ht="15" customHeight="1" x14ac:dyDescent="0.25">
      <c r="A663" t="str">
        <f>"1184932568"</f>
        <v>1184932568</v>
      </c>
      <c r="B663" t="str">
        <f>"03810602"</f>
        <v>03810602</v>
      </c>
      <c r="C663" t="s">
        <v>6125</v>
      </c>
      <c r="D663" t="s">
        <v>6126</v>
      </c>
      <c r="E663" t="s">
        <v>6127</v>
      </c>
      <c r="G663" t="s">
        <v>815</v>
      </c>
      <c r="H663" t="s">
        <v>816</v>
      </c>
      <c r="J663" t="s">
        <v>817</v>
      </c>
      <c r="L663" t="s">
        <v>138</v>
      </c>
      <c r="M663" t="s">
        <v>108</v>
      </c>
      <c r="R663" t="s">
        <v>6128</v>
      </c>
      <c r="W663" t="s">
        <v>6127</v>
      </c>
      <c r="X663" t="s">
        <v>1781</v>
      </c>
      <c r="Y663" t="s">
        <v>110</v>
      </c>
      <c r="Z663" t="s">
        <v>111</v>
      </c>
      <c r="AA663" t="str">
        <f>"13904-1659"</f>
        <v>13904-1659</v>
      </c>
      <c r="AB663" t="s">
        <v>123</v>
      </c>
      <c r="AC663" t="s">
        <v>113</v>
      </c>
      <c r="AD663" t="s">
        <v>108</v>
      </c>
      <c r="AE663" t="s">
        <v>114</v>
      </c>
      <c r="AF663" t="s">
        <v>115</v>
      </c>
      <c r="AG663" t="s">
        <v>116</v>
      </c>
      <c r="AK663" t="str">
        <f t="shared" si="68"/>
        <v>Jessica S. Kovalchick, PA</v>
      </c>
      <c r="AL663" t="s">
        <v>6126</v>
      </c>
      <c r="AM663" t="s">
        <v>108</v>
      </c>
      <c r="AN663" t="s">
        <v>108</v>
      </c>
      <c r="AO663" t="s">
        <v>108</v>
      </c>
      <c r="AP663" t="s">
        <v>108</v>
      </c>
      <c r="AQ663" t="s">
        <v>108</v>
      </c>
      <c r="AR663" t="s">
        <v>108</v>
      </c>
      <c r="AS663" t="s">
        <v>108</v>
      </c>
      <c r="AT663" t="s">
        <v>108</v>
      </c>
      <c r="AU663">
        <v>0</v>
      </c>
      <c r="AV663" t="s">
        <v>108</v>
      </c>
      <c r="AW663" t="s">
        <v>108</v>
      </c>
      <c r="AX663" s="24" t="str">
        <f t="shared" si="66"/>
        <v/>
      </c>
      <c r="AY663" s="24">
        <f t="shared" si="66"/>
        <v>1</v>
      </c>
      <c r="AZ663" s="24" t="str">
        <f t="shared" si="70"/>
        <v/>
      </c>
      <c r="BA663" s="24" t="str">
        <f t="shared" si="70"/>
        <v/>
      </c>
      <c r="BB663" s="24" t="str">
        <f t="shared" si="70"/>
        <v/>
      </c>
      <c r="BC663" s="24" t="str">
        <f t="shared" si="70"/>
        <v/>
      </c>
      <c r="BD663" s="24" t="str">
        <f t="shared" si="70"/>
        <v/>
      </c>
      <c r="BE663" s="24" t="str">
        <f t="shared" si="70"/>
        <v/>
      </c>
      <c r="BF663" s="24" t="str">
        <f t="shared" si="70"/>
        <v/>
      </c>
      <c r="BG663" s="24" t="str">
        <f t="shared" si="70"/>
        <v/>
      </c>
      <c r="BH663" s="24" t="str">
        <f t="shared" si="69"/>
        <v/>
      </c>
      <c r="BI663" s="24">
        <f t="shared" si="70"/>
        <v>1</v>
      </c>
      <c r="BJ663" s="24" t="str">
        <f t="shared" si="71"/>
        <v/>
      </c>
    </row>
    <row r="664" spans="1:62" ht="15" customHeight="1" x14ac:dyDescent="0.25">
      <c r="A664" t="str">
        <f>"1427041854"</f>
        <v>1427041854</v>
      </c>
      <c r="B664" t="str">
        <f>"01026851"</f>
        <v>01026851</v>
      </c>
      <c r="C664" t="s">
        <v>5168</v>
      </c>
      <c r="D664" t="s">
        <v>5169</v>
      </c>
      <c r="E664" t="s">
        <v>5170</v>
      </c>
      <c r="L664" t="s">
        <v>120</v>
      </c>
      <c r="M664" t="s">
        <v>108</v>
      </c>
      <c r="R664" t="s">
        <v>5168</v>
      </c>
      <c r="W664" t="s">
        <v>5170</v>
      </c>
      <c r="X664" t="s">
        <v>3463</v>
      </c>
      <c r="Y664" t="s">
        <v>129</v>
      </c>
      <c r="Z664" t="s">
        <v>111</v>
      </c>
      <c r="AA664" t="str">
        <f>"13790-2120"</f>
        <v>13790-2120</v>
      </c>
      <c r="AB664" t="s">
        <v>123</v>
      </c>
      <c r="AC664" t="s">
        <v>113</v>
      </c>
      <c r="AD664" t="s">
        <v>108</v>
      </c>
      <c r="AE664" t="s">
        <v>114</v>
      </c>
      <c r="AF664" t="s">
        <v>115</v>
      </c>
      <c r="AG664" t="s">
        <v>116</v>
      </c>
      <c r="AK664" t="str">
        <f t="shared" si="68"/>
        <v/>
      </c>
      <c r="AL664" t="s">
        <v>5169</v>
      </c>
      <c r="AM664">
        <v>0</v>
      </c>
      <c r="AN664">
        <v>0</v>
      </c>
      <c r="AO664">
        <v>0</v>
      </c>
      <c r="AP664">
        <v>0</v>
      </c>
      <c r="AQ664">
        <v>0</v>
      </c>
      <c r="AR664">
        <v>0</v>
      </c>
      <c r="AS664">
        <v>0</v>
      </c>
      <c r="AT664">
        <v>0</v>
      </c>
      <c r="AU664">
        <v>0</v>
      </c>
      <c r="AV664">
        <v>0</v>
      </c>
      <c r="AW664">
        <v>0</v>
      </c>
      <c r="AX664" s="24">
        <f t="shared" si="66"/>
        <v>1</v>
      </c>
      <c r="AY664" s="24" t="str">
        <f t="shared" si="66"/>
        <v/>
      </c>
      <c r="AZ664" s="24" t="str">
        <f t="shared" si="70"/>
        <v/>
      </c>
      <c r="BA664" s="24" t="str">
        <f t="shared" si="70"/>
        <v/>
      </c>
      <c r="BB664" s="24" t="str">
        <f t="shared" si="70"/>
        <v/>
      </c>
      <c r="BC664" s="24" t="str">
        <f t="shared" si="70"/>
        <v/>
      </c>
      <c r="BD664" s="24" t="str">
        <f t="shared" si="70"/>
        <v/>
      </c>
      <c r="BE664" s="24" t="str">
        <f t="shared" si="70"/>
        <v/>
      </c>
      <c r="BF664" s="24" t="str">
        <f t="shared" si="70"/>
        <v/>
      </c>
      <c r="BG664" s="24" t="str">
        <f t="shared" si="70"/>
        <v/>
      </c>
      <c r="BH664" s="24" t="str">
        <f t="shared" si="69"/>
        <v/>
      </c>
      <c r="BI664" s="24">
        <f t="shared" si="70"/>
        <v>1</v>
      </c>
      <c r="BJ664" s="24" t="str">
        <f t="shared" si="71"/>
        <v/>
      </c>
    </row>
    <row r="665" spans="1:62" ht="15" customHeight="1" x14ac:dyDescent="0.25">
      <c r="A665" t="str">
        <f>"1033116124"</f>
        <v>1033116124</v>
      </c>
      <c r="B665" t="str">
        <f>"02503708"</f>
        <v>02503708</v>
      </c>
      <c r="C665" t="s">
        <v>3318</v>
      </c>
      <c r="D665" t="s">
        <v>3319</v>
      </c>
      <c r="E665" t="s">
        <v>3320</v>
      </c>
      <c r="G665" t="s">
        <v>786</v>
      </c>
      <c r="H665" t="s">
        <v>787</v>
      </c>
      <c r="J665" t="s">
        <v>788</v>
      </c>
      <c r="L665" t="s">
        <v>247</v>
      </c>
      <c r="M665" t="s">
        <v>108</v>
      </c>
      <c r="R665" t="s">
        <v>3318</v>
      </c>
      <c r="W665" t="s">
        <v>3320</v>
      </c>
      <c r="X665" t="s">
        <v>3320</v>
      </c>
      <c r="Y665" t="s">
        <v>239</v>
      </c>
      <c r="Z665" t="s">
        <v>111</v>
      </c>
      <c r="AA665" t="str">
        <f>"13045-1150"</f>
        <v>13045-1150</v>
      </c>
      <c r="AB665" t="s">
        <v>123</v>
      </c>
      <c r="AC665" t="s">
        <v>113</v>
      </c>
      <c r="AD665" t="s">
        <v>108</v>
      </c>
      <c r="AE665" t="s">
        <v>114</v>
      </c>
      <c r="AF665" t="s">
        <v>142</v>
      </c>
      <c r="AG665" t="s">
        <v>116</v>
      </c>
      <c r="AK665" t="str">
        <f t="shared" si="68"/>
        <v/>
      </c>
      <c r="AL665" t="s">
        <v>3319</v>
      </c>
      <c r="AM665">
        <v>0</v>
      </c>
      <c r="AN665">
        <v>0</v>
      </c>
      <c r="AO665">
        <v>0</v>
      </c>
      <c r="AP665">
        <v>0</v>
      </c>
      <c r="AQ665">
        <v>0</v>
      </c>
      <c r="AR665">
        <v>0</v>
      </c>
      <c r="AS665">
        <v>0</v>
      </c>
      <c r="AT665">
        <v>0</v>
      </c>
      <c r="AU665">
        <v>0</v>
      </c>
      <c r="AV665">
        <v>0</v>
      </c>
      <c r="AW665">
        <v>0</v>
      </c>
      <c r="AX665" s="24" t="str">
        <f t="shared" si="66"/>
        <v/>
      </c>
      <c r="AY665" s="24">
        <f t="shared" si="66"/>
        <v>1</v>
      </c>
      <c r="AZ665" s="24" t="str">
        <f t="shared" si="70"/>
        <v/>
      </c>
      <c r="BA665" s="24" t="str">
        <f t="shared" si="70"/>
        <v/>
      </c>
      <c r="BB665" s="24" t="str">
        <f t="shared" si="70"/>
        <v/>
      </c>
      <c r="BC665" s="24" t="str">
        <f t="shared" si="70"/>
        <v/>
      </c>
      <c r="BD665" s="24" t="str">
        <f t="shared" si="70"/>
        <v/>
      </c>
      <c r="BE665" s="24" t="str">
        <f t="shared" si="70"/>
        <v/>
      </c>
      <c r="BF665" s="24" t="str">
        <f t="shared" si="70"/>
        <v/>
      </c>
      <c r="BG665" s="24" t="str">
        <f t="shared" si="70"/>
        <v/>
      </c>
      <c r="BH665" s="24" t="str">
        <f t="shared" si="69"/>
        <v/>
      </c>
      <c r="BI665" s="24" t="str">
        <f t="shared" si="70"/>
        <v/>
      </c>
      <c r="BJ665" s="24" t="str">
        <f t="shared" si="71"/>
        <v/>
      </c>
    </row>
    <row r="666" spans="1:62" ht="15" customHeight="1" x14ac:dyDescent="0.25">
      <c r="A666" t="str">
        <f>"1174753743"</f>
        <v>1174753743</v>
      </c>
      <c r="B666" t="str">
        <f>"03128012"</f>
        <v>03128012</v>
      </c>
      <c r="C666" t="s">
        <v>1523</v>
      </c>
      <c r="D666" t="s">
        <v>1524</v>
      </c>
      <c r="E666" t="s">
        <v>1525</v>
      </c>
      <c r="G666" t="s">
        <v>1523</v>
      </c>
      <c r="H666" t="s">
        <v>440</v>
      </c>
      <c r="J666" t="s">
        <v>1526</v>
      </c>
      <c r="L666" t="s">
        <v>138</v>
      </c>
      <c r="M666" t="s">
        <v>108</v>
      </c>
      <c r="R666" t="s">
        <v>1525</v>
      </c>
      <c r="W666" t="s">
        <v>1527</v>
      </c>
      <c r="X666" t="s">
        <v>1528</v>
      </c>
      <c r="Y666" t="s">
        <v>129</v>
      </c>
      <c r="Z666" t="s">
        <v>111</v>
      </c>
      <c r="AA666" t="str">
        <f>"13790-2174"</f>
        <v>13790-2174</v>
      </c>
      <c r="AB666" t="s">
        <v>123</v>
      </c>
      <c r="AC666" t="s">
        <v>113</v>
      </c>
      <c r="AD666" t="s">
        <v>108</v>
      </c>
      <c r="AE666" t="s">
        <v>114</v>
      </c>
      <c r="AF666" t="s">
        <v>115</v>
      </c>
      <c r="AG666" t="s">
        <v>116</v>
      </c>
      <c r="AK666" t="str">
        <f t="shared" si="68"/>
        <v/>
      </c>
      <c r="AL666" t="s">
        <v>1524</v>
      </c>
      <c r="AM666">
        <v>1</v>
      </c>
      <c r="AN666">
        <v>1</v>
      </c>
      <c r="AO666">
        <v>0</v>
      </c>
      <c r="AP666">
        <v>1</v>
      </c>
      <c r="AQ666">
        <v>1</v>
      </c>
      <c r="AR666">
        <v>0</v>
      </c>
      <c r="AS666">
        <v>0</v>
      </c>
      <c r="AT666">
        <v>0</v>
      </c>
      <c r="AU666">
        <v>0</v>
      </c>
      <c r="AV666">
        <v>0</v>
      </c>
      <c r="AW666">
        <v>0</v>
      </c>
      <c r="AX666" s="24" t="str">
        <f t="shared" si="66"/>
        <v/>
      </c>
      <c r="AY666" s="24">
        <f t="shared" si="66"/>
        <v>1</v>
      </c>
      <c r="AZ666" s="24" t="str">
        <f t="shared" si="70"/>
        <v/>
      </c>
      <c r="BA666" s="24" t="str">
        <f t="shared" si="70"/>
        <v/>
      </c>
      <c r="BB666" s="24" t="str">
        <f t="shared" si="70"/>
        <v/>
      </c>
      <c r="BC666" s="24" t="str">
        <f t="shared" si="70"/>
        <v/>
      </c>
      <c r="BD666" s="24" t="str">
        <f t="shared" si="70"/>
        <v/>
      </c>
      <c r="BE666" s="24" t="str">
        <f t="shared" si="70"/>
        <v/>
      </c>
      <c r="BF666" s="24" t="str">
        <f t="shared" si="70"/>
        <v/>
      </c>
      <c r="BG666" s="24" t="str">
        <f t="shared" si="70"/>
        <v/>
      </c>
      <c r="BH666" s="24" t="str">
        <f t="shared" si="69"/>
        <v/>
      </c>
      <c r="BI666" s="24">
        <f t="shared" si="70"/>
        <v>1</v>
      </c>
      <c r="BJ666" s="24" t="str">
        <f t="shared" si="71"/>
        <v/>
      </c>
    </row>
    <row r="667" spans="1:62" ht="15" customHeight="1" x14ac:dyDescent="0.25">
      <c r="A667" t="str">
        <f>"1699761940"</f>
        <v>1699761940</v>
      </c>
      <c r="B667" t="str">
        <f>"01610879"</f>
        <v>01610879</v>
      </c>
      <c r="C667" t="s">
        <v>1945</v>
      </c>
      <c r="D667" t="s">
        <v>1946</v>
      </c>
      <c r="E667" t="s">
        <v>1947</v>
      </c>
      <c r="G667" t="s">
        <v>6330</v>
      </c>
      <c r="H667" t="s">
        <v>6331</v>
      </c>
      <c r="J667" t="s">
        <v>6332</v>
      </c>
      <c r="L667" t="s">
        <v>120</v>
      </c>
      <c r="M667" t="s">
        <v>108</v>
      </c>
      <c r="R667" t="s">
        <v>1945</v>
      </c>
      <c r="W667" t="s">
        <v>1947</v>
      </c>
      <c r="X667" t="s">
        <v>1920</v>
      </c>
      <c r="Y667" t="s">
        <v>110</v>
      </c>
      <c r="Z667" t="s">
        <v>111</v>
      </c>
      <c r="AA667" t="str">
        <f>"13903-1674"</f>
        <v>13903-1674</v>
      </c>
      <c r="AB667" t="s">
        <v>123</v>
      </c>
      <c r="AC667" t="s">
        <v>113</v>
      </c>
      <c r="AD667" t="s">
        <v>108</v>
      </c>
      <c r="AE667" t="s">
        <v>114</v>
      </c>
      <c r="AF667" t="s">
        <v>115</v>
      </c>
      <c r="AG667" t="s">
        <v>116</v>
      </c>
      <c r="AK667" t="str">
        <f t="shared" si="68"/>
        <v/>
      </c>
      <c r="AL667" t="s">
        <v>1946</v>
      </c>
      <c r="AM667">
        <v>1</v>
      </c>
      <c r="AN667">
        <v>1</v>
      </c>
      <c r="AO667">
        <v>0</v>
      </c>
      <c r="AP667">
        <v>1</v>
      </c>
      <c r="AQ667">
        <v>1</v>
      </c>
      <c r="AR667">
        <v>1</v>
      </c>
      <c r="AS667">
        <v>0</v>
      </c>
      <c r="AT667">
        <v>0</v>
      </c>
      <c r="AU667">
        <v>0</v>
      </c>
      <c r="AV667">
        <v>0</v>
      </c>
      <c r="AW667">
        <v>0</v>
      </c>
      <c r="AX667" s="24">
        <f t="shared" si="66"/>
        <v>1</v>
      </c>
      <c r="AY667" s="24" t="str">
        <f t="shared" si="66"/>
        <v/>
      </c>
      <c r="AZ667" s="24" t="str">
        <f t="shared" si="70"/>
        <v/>
      </c>
      <c r="BA667" s="24" t="str">
        <f t="shared" si="70"/>
        <v/>
      </c>
      <c r="BB667" s="24" t="str">
        <f t="shared" si="70"/>
        <v/>
      </c>
      <c r="BC667" s="24" t="str">
        <f t="shared" si="70"/>
        <v/>
      </c>
      <c r="BD667" s="24" t="str">
        <f t="shared" si="70"/>
        <v/>
      </c>
      <c r="BE667" s="24" t="str">
        <f t="shared" si="70"/>
        <v/>
      </c>
      <c r="BF667" s="24" t="str">
        <f t="shared" si="70"/>
        <v/>
      </c>
      <c r="BG667" s="24" t="str">
        <f t="shared" si="70"/>
        <v/>
      </c>
      <c r="BH667" s="24" t="str">
        <f t="shared" si="69"/>
        <v/>
      </c>
      <c r="BI667" s="24">
        <f t="shared" si="70"/>
        <v>1</v>
      </c>
      <c r="BJ667" s="24" t="str">
        <f t="shared" si="71"/>
        <v/>
      </c>
    </row>
    <row r="668" spans="1:62" ht="15" customHeight="1" x14ac:dyDescent="0.25">
      <c r="B668" t="str">
        <f>"02171488"</f>
        <v>02171488</v>
      </c>
      <c r="C668" t="s">
        <v>1989</v>
      </c>
      <c r="D668" t="s">
        <v>1990</v>
      </c>
      <c r="E668" t="s">
        <v>1989</v>
      </c>
      <c r="F668">
        <v>160919050</v>
      </c>
      <c r="G668" t="s">
        <v>1985</v>
      </c>
      <c r="H668" t="s">
        <v>1986</v>
      </c>
      <c r="J668" t="s">
        <v>1987</v>
      </c>
      <c r="L668" t="s">
        <v>68</v>
      </c>
      <c r="M668" t="s">
        <v>139</v>
      </c>
      <c r="W668" t="s">
        <v>1989</v>
      </c>
      <c r="X668" t="s">
        <v>789</v>
      </c>
      <c r="Y668" t="s">
        <v>239</v>
      </c>
      <c r="Z668" t="s">
        <v>111</v>
      </c>
      <c r="AA668" t="str">
        <f>"13045-8835"</f>
        <v>13045-8835</v>
      </c>
      <c r="AB668" t="s">
        <v>165</v>
      </c>
      <c r="AC668" t="s">
        <v>113</v>
      </c>
      <c r="AD668" t="s">
        <v>108</v>
      </c>
      <c r="AE668" t="s">
        <v>114</v>
      </c>
      <c r="AF668" t="s">
        <v>142</v>
      </c>
      <c r="AG668" t="s">
        <v>116</v>
      </c>
      <c r="AK668" t="str">
        <f t="shared" si="68"/>
        <v/>
      </c>
      <c r="AL668" t="s">
        <v>1990</v>
      </c>
      <c r="AM668">
        <v>1</v>
      </c>
      <c r="AN668">
        <v>0</v>
      </c>
      <c r="AO668">
        <v>0</v>
      </c>
      <c r="AP668">
        <v>1</v>
      </c>
      <c r="AQ668">
        <v>1</v>
      </c>
      <c r="AR668">
        <v>0</v>
      </c>
      <c r="AS668">
        <v>0</v>
      </c>
      <c r="AT668">
        <v>0</v>
      </c>
      <c r="AU668">
        <v>0</v>
      </c>
      <c r="AV668">
        <v>0</v>
      </c>
      <c r="AW668">
        <v>0</v>
      </c>
      <c r="AX668" s="24" t="str">
        <f t="shared" si="66"/>
        <v/>
      </c>
      <c r="AY668" s="24" t="str">
        <f t="shared" si="66"/>
        <v/>
      </c>
      <c r="AZ668" s="24" t="str">
        <f t="shared" si="70"/>
        <v/>
      </c>
      <c r="BA668" s="24" t="str">
        <f t="shared" si="70"/>
        <v/>
      </c>
      <c r="BB668" s="24" t="str">
        <f t="shared" si="70"/>
        <v/>
      </c>
      <c r="BC668" s="24" t="str">
        <f t="shared" si="70"/>
        <v/>
      </c>
      <c r="BD668" s="24" t="str">
        <f t="shared" si="70"/>
        <v/>
      </c>
      <c r="BE668" s="24" t="str">
        <f t="shared" si="70"/>
        <v/>
      </c>
      <c r="BF668" s="24" t="str">
        <f t="shared" si="70"/>
        <v/>
      </c>
      <c r="BG668" s="24" t="str">
        <f t="shared" si="70"/>
        <v/>
      </c>
      <c r="BH668" s="24" t="str">
        <f t="shared" si="69"/>
        <v/>
      </c>
      <c r="BI668" s="24">
        <f t="shared" si="70"/>
        <v>1</v>
      </c>
      <c r="BJ668" s="24" t="str">
        <f t="shared" si="71"/>
        <v/>
      </c>
    </row>
    <row r="669" spans="1:62" ht="15" customHeight="1" x14ac:dyDescent="0.25">
      <c r="B669" t="str">
        <f>"02699338"</f>
        <v>02699338</v>
      </c>
      <c r="C669" t="s">
        <v>1991</v>
      </c>
      <c r="D669" t="s">
        <v>1992</v>
      </c>
      <c r="E669" t="s">
        <v>1991</v>
      </c>
      <c r="F669">
        <v>160919050</v>
      </c>
      <c r="G669" t="s">
        <v>1985</v>
      </c>
      <c r="H669" t="s">
        <v>1986</v>
      </c>
      <c r="J669" t="s">
        <v>1987</v>
      </c>
      <c r="L669" t="s">
        <v>68</v>
      </c>
      <c r="M669" t="s">
        <v>139</v>
      </c>
      <c r="W669" t="s">
        <v>1991</v>
      </c>
      <c r="X669" t="s">
        <v>173</v>
      </c>
      <c r="Y669" t="s">
        <v>239</v>
      </c>
      <c r="Z669" t="s">
        <v>111</v>
      </c>
      <c r="AA669" t="str">
        <f>"13045-0589"</f>
        <v>13045-0589</v>
      </c>
      <c r="AB669" t="s">
        <v>165</v>
      </c>
      <c r="AC669" t="s">
        <v>113</v>
      </c>
      <c r="AD669" t="s">
        <v>108</v>
      </c>
      <c r="AE669" t="s">
        <v>114</v>
      </c>
      <c r="AF669" t="s">
        <v>142</v>
      </c>
      <c r="AG669" t="s">
        <v>116</v>
      </c>
      <c r="AK669" t="str">
        <f t="shared" si="68"/>
        <v>JM MURRAY CTR INC DAY</v>
      </c>
      <c r="AL669" t="s">
        <v>1992</v>
      </c>
      <c r="AM669" t="s">
        <v>108</v>
      </c>
      <c r="AN669" t="s">
        <v>108</v>
      </c>
      <c r="AO669" t="s">
        <v>108</v>
      </c>
      <c r="AP669" t="s">
        <v>108</v>
      </c>
      <c r="AQ669" t="s">
        <v>108</v>
      </c>
      <c r="AR669" t="s">
        <v>108</v>
      </c>
      <c r="AS669" t="s">
        <v>108</v>
      </c>
      <c r="AT669" t="s">
        <v>108</v>
      </c>
      <c r="AU669">
        <v>0</v>
      </c>
      <c r="AV669" t="s">
        <v>108</v>
      </c>
      <c r="AW669" t="s">
        <v>108</v>
      </c>
      <c r="AX669" s="24" t="str">
        <f t="shared" si="66"/>
        <v/>
      </c>
      <c r="AY669" s="24" t="str">
        <f t="shared" si="66"/>
        <v/>
      </c>
      <c r="AZ669" s="24" t="str">
        <f t="shared" si="70"/>
        <v/>
      </c>
      <c r="BA669" s="24" t="str">
        <f t="shared" si="70"/>
        <v/>
      </c>
      <c r="BB669" s="24" t="str">
        <f t="shared" si="70"/>
        <v/>
      </c>
      <c r="BC669" s="24" t="str">
        <f t="shared" si="70"/>
        <v/>
      </c>
      <c r="BD669" s="24" t="str">
        <f t="shared" si="70"/>
        <v/>
      </c>
      <c r="BE669" s="24" t="str">
        <f t="shared" si="70"/>
        <v/>
      </c>
      <c r="BF669" s="24" t="str">
        <f t="shared" si="70"/>
        <v/>
      </c>
      <c r="BG669" s="24" t="str">
        <f t="shared" si="70"/>
        <v/>
      </c>
      <c r="BH669" s="24" t="str">
        <f t="shared" si="69"/>
        <v/>
      </c>
      <c r="BI669" s="24">
        <f t="shared" si="70"/>
        <v>1</v>
      </c>
      <c r="BJ669" s="24" t="str">
        <f t="shared" si="71"/>
        <v/>
      </c>
    </row>
    <row r="670" spans="1:62" ht="15" customHeight="1" x14ac:dyDescent="0.25">
      <c r="A670" t="str">
        <f>"1003240227"</f>
        <v>1003240227</v>
      </c>
      <c r="B670" t="str">
        <f>"03790250"</f>
        <v>03790250</v>
      </c>
      <c r="C670" t="s">
        <v>6190</v>
      </c>
      <c r="D670" t="s">
        <v>6191</v>
      </c>
      <c r="E670" t="s">
        <v>6192</v>
      </c>
      <c r="G670" t="s">
        <v>815</v>
      </c>
      <c r="H670" t="s">
        <v>816</v>
      </c>
      <c r="J670" t="s">
        <v>817</v>
      </c>
      <c r="L670" t="s">
        <v>138</v>
      </c>
      <c r="M670" t="s">
        <v>108</v>
      </c>
      <c r="R670" t="s">
        <v>6193</v>
      </c>
      <c r="W670" t="s">
        <v>6192</v>
      </c>
      <c r="X670" t="s">
        <v>204</v>
      </c>
      <c r="Y670" t="s">
        <v>110</v>
      </c>
      <c r="Z670" t="s">
        <v>111</v>
      </c>
      <c r="AA670" t="str">
        <f>"13905-4246"</f>
        <v>13905-4246</v>
      </c>
      <c r="AB670" t="s">
        <v>123</v>
      </c>
      <c r="AC670" t="s">
        <v>113</v>
      </c>
      <c r="AD670" t="s">
        <v>108</v>
      </c>
      <c r="AE670" t="s">
        <v>114</v>
      </c>
      <c r="AF670" t="s">
        <v>115</v>
      </c>
      <c r="AG670" t="s">
        <v>116</v>
      </c>
      <c r="AK670" t="str">
        <f t="shared" si="68"/>
        <v>Jo Ann M. Ernst, FNP</v>
      </c>
      <c r="AL670" t="s">
        <v>6191</v>
      </c>
      <c r="AM670" t="s">
        <v>108</v>
      </c>
      <c r="AN670" t="s">
        <v>108</v>
      </c>
      <c r="AO670" t="s">
        <v>108</v>
      </c>
      <c r="AP670" t="s">
        <v>108</v>
      </c>
      <c r="AQ670" t="s">
        <v>108</v>
      </c>
      <c r="AR670" t="s">
        <v>108</v>
      </c>
      <c r="AS670" t="s">
        <v>108</v>
      </c>
      <c r="AT670" t="s">
        <v>108</v>
      </c>
      <c r="AU670">
        <v>0</v>
      </c>
      <c r="AV670" t="s">
        <v>108</v>
      </c>
      <c r="AW670" t="s">
        <v>108</v>
      </c>
      <c r="AX670" s="24" t="str">
        <f t="shared" si="66"/>
        <v/>
      </c>
      <c r="AY670" s="24">
        <f t="shared" si="66"/>
        <v>1</v>
      </c>
      <c r="AZ670" s="24" t="str">
        <f t="shared" si="70"/>
        <v/>
      </c>
      <c r="BA670" s="24" t="str">
        <f t="shared" si="70"/>
        <v/>
      </c>
      <c r="BB670" s="24" t="str">
        <f t="shared" si="70"/>
        <v/>
      </c>
      <c r="BC670" s="24" t="str">
        <f t="shared" si="70"/>
        <v/>
      </c>
      <c r="BD670" s="24" t="str">
        <f t="shared" si="70"/>
        <v/>
      </c>
      <c r="BE670" s="24" t="str">
        <f t="shared" si="70"/>
        <v/>
      </c>
      <c r="BF670" s="24" t="str">
        <f t="shared" si="70"/>
        <v/>
      </c>
      <c r="BG670" s="24" t="str">
        <f t="shared" si="70"/>
        <v/>
      </c>
      <c r="BH670" s="24" t="str">
        <f t="shared" si="69"/>
        <v/>
      </c>
      <c r="BI670" s="24">
        <f t="shared" si="70"/>
        <v>1</v>
      </c>
      <c r="BJ670" s="24" t="str">
        <f t="shared" si="71"/>
        <v/>
      </c>
    </row>
    <row r="671" spans="1:62" ht="15" customHeight="1" x14ac:dyDescent="0.25">
      <c r="A671" t="str">
        <f>"1346475613"</f>
        <v>1346475613</v>
      </c>
      <c r="B671" t="str">
        <f>"03104538"</f>
        <v>03104538</v>
      </c>
      <c r="C671" t="s">
        <v>4384</v>
      </c>
      <c r="D671" t="s">
        <v>4385</v>
      </c>
      <c r="E671" t="s">
        <v>4386</v>
      </c>
      <c r="G671" t="s">
        <v>786</v>
      </c>
      <c r="H671" t="s">
        <v>787</v>
      </c>
      <c r="I671">
        <v>5027</v>
      </c>
      <c r="J671" t="s">
        <v>788</v>
      </c>
      <c r="L671" t="s">
        <v>120</v>
      </c>
      <c r="M671" t="s">
        <v>108</v>
      </c>
      <c r="R671" t="s">
        <v>4387</v>
      </c>
      <c r="W671" t="s">
        <v>4386</v>
      </c>
      <c r="X671" t="s">
        <v>4388</v>
      </c>
      <c r="Y671" t="s">
        <v>1492</v>
      </c>
      <c r="Z671" t="s">
        <v>111</v>
      </c>
      <c r="AA671" t="str">
        <f>"13803-3208"</f>
        <v>13803-3208</v>
      </c>
      <c r="AB671" t="s">
        <v>385</v>
      </c>
      <c r="AC671" t="s">
        <v>113</v>
      </c>
      <c r="AD671" t="s">
        <v>108</v>
      </c>
      <c r="AE671" t="s">
        <v>114</v>
      </c>
      <c r="AF671" t="s">
        <v>142</v>
      </c>
      <c r="AG671" t="s">
        <v>116</v>
      </c>
      <c r="AK671" t="str">
        <f t="shared" si="68"/>
        <v/>
      </c>
      <c r="AL671" t="s">
        <v>4385</v>
      </c>
      <c r="AM671">
        <v>1</v>
      </c>
      <c r="AN671">
        <v>1</v>
      </c>
      <c r="AO671">
        <v>0</v>
      </c>
      <c r="AP671">
        <v>0</v>
      </c>
      <c r="AQ671">
        <v>1</v>
      </c>
      <c r="AR671">
        <v>1</v>
      </c>
      <c r="AS671">
        <v>0</v>
      </c>
      <c r="AT671">
        <v>0</v>
      </c>
      <c r="AU671">
        <v>1</v>
      </c>
      <c r="AV671">
        <v>0</v>
      </c>
      <c r="AW671">
        <v>0</v>
      </c>
      <c r="AX671" s="24">
        <f t="shared" si="66"/>
        <v>1</v>
      </c>
      <c r="AY671" s="24" t="str">
        <f t="shared" si="66"/>
        <v/>
      </c>
      <c r="AZ671" s="24" t="str">
        <f t="shared" si="70"/>
        <v/>
      </c>
      <c r="BA671" s="24" t="str">
        <f t="shared" si="70"/>
        <v/>
      </c>
      <c r="BB671" s="24" t="str">
        <f t="shared" si="70"/>
        <v/>
      </c>
      <c r="BC671" s="24" t="str">
        <f t="shared" si="70"/>
        <v/>
      </c>
      <c r="BD671" s="24" t="str">
        <f t="shared" si="70"/>
        <v/>
      </c>
      <c r="BE671" s="24" t="str">
        <f t="shared" si="70"/>
        <v/>
      </c>
      <c r="BF671" s="24" t="str">
        <f t="shared" si="70"/>
        <v/>
      </c>
      <c r="BG671" s="24" t="str">
        <f t="shared" si="70"/>
        <v/>
      </c>
      <c r="BH671" s="24" t="str">
        <f t="shared" si="69"/>
        <v/>
      </c>
      <c r="BI671" s="24">
        <f t="shared" si="70"/>
        <v>1</v>
      </c>
      <c r="BJ671" s="24" t="str">
        <f t="shared" si="71"/>
        <v/>
      </c>
    </row>
    <row r="672" spans="1:62" ht="15" customHeight="1" x14ac:dyDescent="0.25">
      <c r="A672" t="str">
        <f>"1457353666"</f>
        <v>1457353666</v>
      </c>
      <c r="B672" t="str">
        <f>"00711413"</f>
        <v>00711413</v>
      </c>
      <c r="C672" t="s">
        <v>2441</v>
      </c>
      <c r="D672" t="s">
        <v>2442</v>
      </c>
      <c r="E672" t="s">
        <v>2443</v>
      </c>
      <c r="G672" t="s">
        <v>2420</v>
      </c>
      <c r="H672" t="s">
        <v>2421</v>
      </c>
      <c r="J672" t="s">
        <v>2444</v>
      </c>
      <c r="L672" t="s">
        <v>247</v>
      </c>
      <c r="M672" t="s">
        <v>108</v>
      </c>
      <c r="R672" t="s">
        <v>2445</v>
      </c>
      <c r="W672" t="s">
        <v>2443</v>
      </c>
      <c r="X672" t="s">
        <v>2431</v>
      </c>
      <c r="Y672" t="s">
        <v>293</v>
      </c>
      <c r="Z672" t="s">
        <v>111</v>
      </c>
      <c r="AA672" t="str">
        <f>"14850-4131"</f>
        <v>14850-4131</v>
      </c>
      <c r="AB672" t="s">
        <v>123</v>
      </c>
      <c r="AC672" t="s">
        <v>113</v>
      </c>
      <c r="AD672" t="s">
        <v>108</v>
      </c>
      <c r="AE672" t="s">
        <v>114</v>
      </c>
      <c r="AF672" t="s">
        <v>142</v>
      </c>
      <c r="AG672" t="s">
        <v>116</v>
      </c>
      <c r="AK672" t="str">
        <f t="shared" si="68"/>
        <v/>
      </c>
      <c r="AL672" t="s">
        <v>2442</v>
      </c>
      <c r="AM672">
        <v>1</v>
      </c>
      <c r="AN672">
        <v>1</v>
      </c>
      <c r="AO672">
        <v>0</v>
      </c>
      <c r="AP672">
        <v>0</v>
      </c>
      <c r="AQ672">
        <v>0</v>
      </c>
      <c r="AR672">
        <v>0</v>
      </c>
      <c r="AS672">
        <v>0</v>
      </c>
      <c r="AT672">
        <v>0</v>
      </c>
      <c r="AU672">
        <v>0</v>
      </c>
      <c r="AV672">
        <v>0</v>
      </c>
      <c r="AW672">
        <v>0</v>
      </c>
      <c r="AX672" s="24" t="str">
        <f t="shared" si="66"/>
        <v/>
      </c>
      <c r="AY672" s="24">
        <f t="shared" si="66"/>
        <v>1</v>
      </c>
      <c r="AZ672" s="24" t="str">
        <f t="shared" si="70"/>
        <v/>
      </c>
      <c r="BA672" s="24" t="str">
        <f t="shared" si="70"/>
        <v/>
      </c>
      <c r="BB672" s="24" t="str">
        <f t="shared" si="70"/>
        <v/>
      </c>
      <c r="BC672" s="24" t="str">
        <f t="shared" si="70"/>
        <v/>
      </c>
      <c r="BD672" s="24" t="str">
        <f t="shared" si="70"/>
        <v/>
      </c>
      <c r="BE672" s="24" t="str">
        <f t="shared" si="70"/>
        <v/>
      </c>
      <c r="BF672" s="24" t="str">
        <f t="shared" si="70"/>
        <v/>
      </c>
      <c r="BG672" s="24" t="str">
        <f t="shared" si="70"/>
        <v/>
      </c>
      <c r="BH672" s="24" t="str">
        <f t="shared" si="69"/>
        <v/>
      </c>
      <c r="BI672" s="24" t="str">
        <f t="shared" si="70"/>
        <v/>
      </c>
      <c r="BJ672" s="24" t="str">
        <f t="shared" si="71"/>
        <v/>
      </c>
    </row>
    <row r="673" spans="1:62" ht="15" customHeight="1" x14ac:dyDescent="0.25">
      <c r="A673" t="str">
        <f>"1598727554"</f>
        <v>1598727554</v>
      </c>
      <c r="B673" t="str">
        <f>"02187460"</f>
        <v>02187460</v>
      </c>
      <c r="C673" t="s">
        <v>642</v>
      </c>
      <c r="D673" t="s">
        <v>643</v>
      </c>
      <c r="E673" t="s">
        <v>644</v>
      </c>
      <c r="G673" t="s">
        <v>638</v>
      </c>
      <c r="H673" t="s">
        <v>645</v>
      </c>
      <c r="J673" t="s">
        <v>646</v>
      </c>
      <c r="L673" t="s">
        <v>120</v>
      </c>
      <c r="M673" t="s">
        <v>108</v>
      </c>
      <c r="R673" t="s">
        <v>647</v>
      </c>
      <c r="W673" t="s">
        <v>644</v>
      </c>
      <c r="X673" t="s">
        <v>648</v>
      </c>
      <c r="Y673" t="s">
        <v>649</v>
      </c>
      <c r="Z673" t="s">
        <v>111</v>
      </c>
      <c r="AA673" t="str">
        <f>"13346-9575"</f>
        <v>13346-9575</v>
      </c>
      <c r="AB673" t="s">
        <v>123</v>
      </c>
      <c r="AC673" t="s">
        <v>113</v>
      </c>
      <c r="AD673" t="s">
        <v>108</v>
      </c>
      <c r="AE673" t="s">
        <v>114</v>
      </c>
      <c r="AF673" t="s">
        <v>124</v>
      </c>
      <c r="AG673" t="s">
        <v>116</v>
      </c>
      <c r="AK673" t="str">
        <f t="shared" si="68"/>
        <v/>
      </c>
      <c r="AL673" t="s">
        <v>643</v>
      </c>
      <c r="AM673">
        <v>1</v>
      </c>
      <c r="AN673">
        <v>1</v>
      </c>
      <c r="AO673">
        <v>0</v>
      </c>
      <c r="AP673">
        <v>0</v>
      </c>
      <c r="AQ673">
        <v>0</v>
      </c>
      <c r="AR673">
        <v>0</v>
      </c>
      <c r="AS673">
        <v>0</v>
      </c>
      <c r="AT673">
        <v>0</v>
      </c>
      <c r="AU673">
        <v>0</v>
      </c>
      <c r="AV673">
        <v>0</v>
      </c>
      <c r="AW673">
        <v>0</v>
      </c>
      <c r="AX673" s="24">
        <f t="shared" si="66"/>
        <v>1</v>
      </c>
      <c r="AY673" s="24" t="str">
        <f t="shared" si="66"/>
        <v/>
      </c>
      <c r="AZ673" s="24" t="str">
        <f t="shared" si="70"/>
        <v/>
      </c>
      <c r="BA673" s="24" t="str">
        <f t="shared" si="70"/>
        <v/>
      </c>
      <c r="BB673" s="24" t="str">
        <f t="shared" si="70"/>
        <v/>
      </c>
      <c r="BC673" s="24" t="str">
        <f t="shared" si="70"/>
        <v/>
      </c>
      <c r="BD673" s="24" t="str">
        <f t="shared" si="70"/>
        <v/>
      </c>
      <c r="BE673" s="24" t="str">
        <f t="shared" si="70"/>
        <v/>
      </c>
      <c r="BF673" s="24" t="str">
        <f t="shared" si="70"/>
        <v/>
      </c>
      <c r="BG673" s="24" t="str">
        <f t="shared" si="70"/>
        <v/>
      </c>
      <c r="BH673" s="24" t="str">
        <f t="shared" si="69"/>
        <v/>
      </c>
      <c r="BI673" s="24">
        <f t="shared" si="70"/>
        <v>1</v>
      </c>
      <c r="BJ673" s="24" t="str">
        <f t="shared" si="71"/>
        <v/>
      </c>
    </row>
    <row r="674" spans="1:62" ht="15" customHeight="1" x14ac:dyDescent="0.25">
      <c r="A674" t="str">
        <f>"1467496349"</f>
        <v>1467496349</v>
      </c>
      <c r="B674" t="str">
        <f>"01120525"</f>
        <v>01120525</v>
      </c>
      <c r="C674" t="s">
        <v>5571</v>
      </c>
      <c r="D674" t="s">
        <v>5572</v>
      </c>
      <c r="E674" t="s">
        <v>5573</v>
      </c>
      <c r="G674" t="s">
        <v>5571</v>
      </c>
      <c r="H674" t="s">
        <v>5574</v>
      </c>
      <c r="J674" t="s">
        <v>5575</v>
      </c>
      <c r="L674" t="s">
        <v>809</v>
      </c>
      <c r="M674" t="s">
        <v>139</v>
      </c>
      <c r="R674" t="s">
        <v>5576</v>
      </c>
      <c r="W674" t="s">
        <v>5573</v>
      </c>
      <c r="X674" t="s">
        <v>3416</v>
      </c>
      <c r="Y674" t="s">
        <v>293</v>
      </c>
      <c r="Z674" t="s">
        <v>111</v>
      </c>
      <c r="AA674" t="str">
        <f>"14850-1383"</f>
        <v>14850-1383</v>
      </c>
      <c r="AB674" t="s">
        <v>123</v>
      </c>
      <c r="AC674" t="s">
        <v>113</v>
      </c>
      <c r="AD674" t="s">
        <v>108</v>
      </c>
      <c r="AE674" t="s">
        <v>114</v>
      </c>
      <c r="AF674" t="s">
        <v>142</v>
      </c>
      <c r="AG674" t="s">
        <v>116</v>
      </c>
      <c r="AK674" t="str">
        <f t="shared" si="68"/>
        <v/>
      </c>
      <c r="AL674" t="s">
        <v>5572</v>
      </c>
      <c r="AM674">
        <v>1</v>
      </c>
      <c r="AN674">
        <v>1</v>
      </c>
      <c r="AO674">
        <v>0</v>
      </c>
      <c r="AP674">
        <v>0</v>
      </c>
      <c r="AQ674">
        <v>0</v>
      </c>
      <c r="AR674">
        <v>0</v>
      </c>
      <c r="AS674">
        <v>0</v>
      </c>
      <c r="AT674">
        <v>0</v>
      </c>
      <c r="AU674">
        <v>0</v>
      </c>
      <c r="AV674">
        <v>0</v>
      </c>
      <c r="AW674">
        <v>0</v>
      </c>
      <c r="AX674" s="24" t="str">
        <f t="shared" si="66"/>
        <v/>
      </c>
      <c r="AY674" s="24">
        <f t="shared" si="66"/>
        <v>1</v>
      </c>
      <c r="AZ674" s="24" t="str">
        <f t="shared" si="70"/>
        <v/>
      </c>
      <c r="BA674" s="24" t="str">
        <f t="shared" si="70"/>
        <v/>
      </c>
      <c r="BB674" s="24" t="str">
        <f t="shared" si="70"/>
        <v/>
      </c>
      <c r="BC674" s="24">
        <f t="shared" si="70"/>
        <v>1</v>
      </c>
      <c r="BD674" s="24" t="str">
        <f t="shared" si="70"/>
        <v/>
      </c>
      <c r="BE674" s="24" t="str">
        <f t="shared" si="70"/>
        <v/>
      </c>
      <c r="BF674" s="24" t="str">
        <f t="shared" si="70"/>
        <v/>
      </c>
      <c r="BG674" s="24" t="str">
        <f t="shared" si="70"/>
        <v/>
      </c>
      <c r="BH674" s="24" t="str">
        <f t="shared" si="69"/>
        <v/>
      </c>
      <c r="BI674" s="24" t="str">
        <f t="shared" si="70"/>
        <v/>
      </c>
      <c r="BJ674" s="24" t="str">
        <f t="shared" si="71"/>
        <v/>
      </c>
    </row>
    <row r="675" spans="1:62" ht="15" customHeight="1" x14ac:dyDescent="0.25">
      <c r="A675" t="str">
        <f>"1124000518"</f>
        <v>1124000518</v>
      </c>
      <c r="B675" t="str">
        <f>"02223650"</f>
        <v>02223650</v>
      </c>
      <c r="C675" t="s">
        <v>4700</v>
      </c>
      <c r="D675" t="s">
        <v>4701</v>
      </c>
      <c r="E675" t="s">
        <v>4702</v>
      </c>
      <c r="G675" t="s">
        <v>3154</v>
      </c>
      <c r="H675" t="s">
        <v>3155</v>
      </c>
      <c r="J675" t="s">
        <v>4703</v>
      </c>
      <c r="L675" t="s">
        <v>120</v>
      </c>
      <c r="M675" t="s">
        <v>108</v>
      </c>
      <c r="R675" t="s">
        <v>4704</v>
      </c>
      <c r="W675" t="s">
        <v>4702</v>
      </c>
      <c r="X675" t="s">
        <v>4705</v>
      </c>
      <c r="Y675" t="s">
        <v>927</v>
      </c>
      <c r="Z675" t="s">
        <v>111</v>
      </c>
      <c r="AA675" t="str">
        <f>"14905-2292"</f>
        <v>14905-2292</v>
      </c>
      <c r="AB675" t="s">
        <v>123</v>
      </c>
      <c r="AC675" t="s">
        <v>113</v>
      </c>
      <c r="AD675" t="s">
        <v>108</v>
      </c>
      <c r="AE675" t="s">
        <v>114</v>
      </c>
      <c r="AF675" t="s">
        <v>149</v>
      </c>
      <c r="AG675" t="s">
        <v>116</v>
      </c>
      <c r="AK675" t="str">
        <f t="shared" si="68"/>
        <v/>
      </c>
      <c r="AL675" t="s">
        <v>4701</v>
      </c>
      <c r="AM675">
        <v>0</v>
      </c>
      <c r="AN675">
        <v>0</v>
      </c>
      <c r="AO675">
        <v>0</v>
      </c>
      <c r="AP675">
        <v>0</v>
      </c>
      <c r="AQ675">
        <v>0</v>
      </c>
      <c r="AR675">
        <v>0</v>
      </c>
      <c r="AS675">
        <v>0</v>
      </c>
      <c r="AT675">
        <v>0</v>
      </c>
      <c r="AU675">
        <v>0</v>
      </c>
      <c r="AV675">
        <v>0</v>
      </c>
      <c r="AW675">
        <v>0</v>
      </c>
      <c r="AX675" s="24">
        <f t="shared" si="66"/>
        <v>1</v>
      </c>
      <c r="AY675" s="24" t="str">
        <f t="shared" si="66"/>
        <v/>
      </c>
      <c r="AZ675" s="24" t="str">
        <f t="shared" si="70"/>
        <v/>
      </c>
      <c r="BA675" s="24" t="str">
        <f t="shared" si="70"/>
        <v/>
      </c>
      <c r="BB675" s="24" t="str">
        <f t="shared" si="70"/>
        <v/>
      </c>
      <c r="BC675" s="24" t="str">
        <f t="shared" si="70"/>
        <v/>
      </c>
      <c r="BD675" s="24" t="str">
        <f t="shared" si="70"/>
        <v/>
      </c>
      <c r="BE675" s="24" t="str">
        <f t="shared" si="70"/>
        <v/>
      </c>
      <c r="BF675" s="24" t="str">
        <f t="shared" si="70"/>
        <v/>
      </c>
      <c r="BG675" s="24" t="str">
        <f t="shared" si="70"/>
        <v/>
      </c>
      <c r="BH675" s="24" t="str">
        <f t="shared" si="69"/>
        <v/>
      </c>
      <c r="BI675" s="24">
        <f t="shared" si="70"/>
        <v>1</v>
      </c>
      <c r="BJ675" s="24" t="str">
        <f t="shared" si="71"/>
        <v/>
      </c>
    </row>
    <row r="676" spans="1:62" ht="15" customHeight="1" x14ac:dyDescent="0.25">
      <c r="A676" t="str">
        <f>"1427046853"</f>
        <v>1427046853</v>
      </c>
      <c r="B676" t="str">
        <f>"02411741"</f>
        <v>02411741</v>
      </c>
      <c r="C676" t="s">
        <v>2360</v>
      </c>
      <c r="D676" t="s">
        <v>2361</v>
      </c>
      <c r="E676" t="s">
        <v>2362</v>
      </c>
      <c r="G676" t="s">
        <v>2363</v>
      </c>
      <c r="H676" t="s">
        <v>2364</v>
      </c>
      <c r="J676" t="s">
        <v>2365</v>
      </c>
      <c r="L676" t="s">
        <v>120</v>
      </c>
      <c r="M676" t="s">
        <v>108</v>
      </c>
      <c r="R676" t="s">
        <v>2366</v>
      </c>
      <c r="W676" t="s">
        <v>2362</v>
      </c>
      <c r="X676" t="s">
        <v>2367</v>
      </c>
      <c r="Y676" t="s">
        <v>2368</v>
      </c>
      <c r="Z676" t="s">
        <v>111</v>
      </c>
      <c r="AA676" t="str">
        <f>"14886-9201"</f>
        <v>14886-9201</v>
      </c>
      <c r="AB676" t="s">
        <v>123</v>
      </c>
      <c r="AC676" t="s">
        <v>113</v>
      </c>
      <c r="AD676" t="s">
        <v>108</v>
      </c>
      <c r="AE676" t="s">
        <v>114</v>
      </c>
      <c r="AF676" t="s">
        <v>142</v>
      </c>
      <c r="AG676" t="s">
        <v>116</v>
      </c>
      <c r="AK676" t="str">
        <f t="shared" si="68"/>
        <v/>
      </c>
      <c r="AL676" t="s">
        <v>2361</v>
      </c>
      <c r="AM676">
        <v>1</v>
      </c>
      <c r="AN676">
        <v>1</v>
      </c>
      <c r="AO676">
        <v>0</v>
      </c>
      <c r="AP676">
        <v>0</v>
      </c>
      <c r="AQ676">
        <v>0</v>
      </c>
      <c r="AR676">
        <v>0</v>
      </c>
      <c r="AS676">
        <v>0</v>
      </c>
      <c r="AT676">
        <v>0</v>
      </c>
      <c r="AU676">
        <v>0</v>
      </c>
      <c r="AV676">
        <v>0</v>
      </c>
      <c r="AW676">
        <v>0</v>
      </c>
      <c r="AX676" s="24">
        <f t="shared" si="66"/>
        <v>1</v>
      </c>
      <c r="AY676" s="24" t="str">
        <f t="shared" si="66"/>
        <v/>
      </c>
      <c r="AZ676" s="24" t="str">
        <f t="shared" si="70"/>
        <v/>
      </c>
      <c r="BA676" s="24" t="str">
        <f t="shared" si="70"/>
        <v/>
      </c>
      <c r="BB676" s="24" t="str">
        <f t="shared" si="70"/>
        <v/>
      </c>
      <c r="BC676" s="24" t="str">
        <f t="shared" si="70"/>
        <v/>
      </c>
      <c r="BD676" s="24" t="str">
        <f t="shared" si="70"/>
        <v/>
      </c>
      <c r="BE676" s="24" t="str">
        <f t="shared" si="70"/>
        <v/>
      </c>
      <c r="BF676" s="24" t="str">
        <f t="shared" ref="AZ676:BI702" si="72">IF(ISERROR(FIND(BF$1,$L676,1)),"",1)</f>
        <v/>
      </c>
      <c r="BG676" s="24" t="str">
        <f t="shared" si="72"/>
        <v/>
      </c>
      <c r="BH676" s="24" t="str">
        <f t="shared" si="69"/>
        <v/>
      </c>
      <c r="BI676" s="24">
        <f t="shared" si="72"/>
        <v>1</v>
      </c>
      <c r="BJ676" s="24" t="str">
        <f t="shared" si="71"/>
        <v/>
      </c>
    </row>
    <row r="677" spans="1:62" ht="15" customHeight="1" x14ac:dyDescent="0.25">
      <c r="A677" t="str">
        <f>"1871589267"</f>
        <v>1871589267</v>
      </c>
      <c r="B677" t="str">
        <f>"00715224"</f>
        <v>00715224</v>
      </c>
      <c r="C677" t="s">
        <v>4257</v>
      </c>
      <c r="D677" t="s">
        <v>4258</v>
      </c>
      <c r="E677" t="s">
        <v>4259</v>
      </c>
      <c r="G677" t="s">
        <v>4251</v>
      </c>
      <c r="H677" t="s">
        <v>4252</v>
      </c>
      <c r="J677" t="s">
        <v>4260</v>
      </c>
      <c r="L677" t="s">
        <v>120</v>
      </c>
      <c r="M677" t="s">
        <v>108</v>
      </c>
      <c r="R677" t="s">
        <v>4261</v>
      </c>
      <c r="W677" t="s">
        <v>4262</v>
      </c>
      <c r="X677" t="s">
        <v>4256</v>
      </c>
      <c r="Y677" t="s">
        <v>293</v>
      </c>
      <c r="Z677" t="s">
        <v>111</v>
      </c>
      <c r="AA677" t="str">
        <f>"14850-4345"</f>
        <v>14850-4345</v>
      </c>
      <c r="AB677" t="s">
        <v>123</v>
      </c>
      <c r="AC677" t="s">
        <v>113</v>
      </c>
      <c r="AD677" t="s">
        <v>108</v>
      </c>
      <c r="AE677" t="s">
        <v>114</v>
      </c>
      <c r="AF677" t="s">
        <v>142</v>
      </c>
      <c r="AG677" t="s">
        <v>116</v>
      </c>
      <c r="AK677" t="str">
        <f t="shared" si="68"/>
        <v/>
      </c>
      <c r="AL677" t="s">
        <v>4258</v>
      </c>
      <c r="AM677">
        <v>1</v>
      </c>
      <c r="AN677">
        <v>1</v>
      </c>
      <c r="AO677">
        <v>0</v>
      </c>
      <c r="AP677">
        <v>0</v>
      </c>
      <c r="AQ677">
        <v>0</v>
      </c>
      <c r="AR677">
        <v>0</v>
      </c>
      <c r="AS677">
        <v>0</v>
      </c>
      <c r="AT677">
        <v>0</v>
      </c>
      <c r="AU677">
        <v>0</v>
      </c>
      <c r="AV677">
        <v>0</v>
      </c>
      <c r="AW677">
        <v>0</v>
      </c>
      <c r="AX677" s="24">
        <f t="shared" si="66"/>
        <v>1</v>
      </c>
      <c r="AY677" s="24" t="str">
        <f t="shared" si="66"/>
        <v/>
      </c>
      <c r="AZ677" s="24" t="str">
        <f t="shared" si="72"/>
        <v/>
      </c>
      <c r="BA677" s="24" t="str">
        <f t="shared" si="72"/>
        <v/>
      </c>
      <c r="BB677" s="24" t="str">
        <f t="shared" si="72"/>
        <v/>
      </c>
      <c r="BC677" s="24" t="str">
        <f t="shared" si="72"/>
        <v/>
      </c>
      <c r="BD677" s="24" t="str">
        <f t="shared" si="72"/>
        <v/>
      </c>
      <c r="BE677" s="24" t="str">
        <f t="shared" si="72"/>
        <v/>
      </c>
      <c r="BF677" s="24" t="str">
        <f t="shared" si="72"/>
        <v/>
      </c>
      <c r="BG677" s="24" t="str">
        <f t="shared" si="72"/>
        <v/>
      </c>
      <c r="BH677" s="24" t="str">
        <f t="shared" si="69"/>
        <v/>
      </c>
      <c r="BI677" s="24">
        <f t="shared" si="72"/>
        <v>1</v>
      </c>
      <c r="BJ677" s="24" t="str">
        <f t="shared" si="71"/>
        <v/>
      </c>
    </row>
    <row r="678" spans="1:62" ht="15" customHeight="1" x14ac:dyDescent="0.25">
      <c r="A678" t="str">
        <f>"1649222332"</f>
        <v>1649222332</v>
      </c>
      <c r="B678" t="str">
        <f>"01084784"</f>
        <v>01084784</v>
      </c>
      <c r="C678" t="s">
        <v>5914</v>
      </c>
      <c r="D678" t="s">
        <v>5915</v>
      </c>
      <c r="E678" t="s">
        <v>5916</v>
      </c>
      <c r="G678" t="s">
        <v>815</v>
      </c>
      <c r="H678" t="s">
        <v>816</v>
      </c>
      <c r="J678" t="s">
        <v>817</v>
      </c>
      <c r="L678" t="s">
        <v>138</v>
      </c>
      <c r="M678" t="s">
        <v>108</v>
      </c>
      <c r="R678" t="s">
        <v>5917</v>
      </c>
      <c r="W678" t="s">
        <v>5916</v>
      </c>
      <c r="X678" t="s">
        <v>5918</v>
      </c>
      <c r="Y678" t="s">
        <v>110</v>
      </c>
      <c r="Z678" t="s">
        <v>111</v>
      </c>
      <c r="AA678" t="str">
        <f>"13905-4178"</f>
        <v>13905-4178</v>
      </c>
      <c r="AB678" t="s">
        <v>123</v>
      </c>
      <c r="AC678" t="s">
        <v>113</v>
      </c>
      <c r="AD678" t="s">
        <v>108</v>
      </c>
      <c r="AE678" t="s">
        <v>114</v>
      </c>
      <c r="AF678" t="s">
        <v>115</v>
      </c>
      <c r="AG678" t="s">
        <v>116</v>
      </c>
      <c r="AK678" t="str">
        <f t="shared" si="68"/>
        <v>John D. DiMenna, MD</v>
      </c>
      <c r="AL678" t="s">
        <v>5915</v>
      </c>
      <c r="AM678" t="s">
        <v>108</v>
      </c>
      <c r="AN678" t="s">
        <v>108</v>
      </c>
      <c r="AO678" t="s">
        <v>108</v>
      </c>
      <c r="AP678" t="s">
        <v>108</v>
      </c>
      <c r="AQ678" t="s">
        <v>108</v>
      </c>
      <c r="AR678" t="s">
        <v>108</v>
      </c>
      <c r="AS678" t="s">
        <v>108</v>
      </c>
      <c r="AT678" t="s">
        <v>108</v>
      </c>
      <c r="AU678">
        <v>0</v>
      </c>
      <c r="AV678" t="s">
        <v>108</v>
      </c>
      <c r="AW678" t="s">
        <v>108</v>
      </c>
      <c r="AX678" s="24" t="str">
        <f t="shared" si="66"/>
        <v/>
      </c>
      <c r="AY678" s="24">
        <f t="shared" si="66"/>
        <v>1</v>
      </c>
      <c r="AZ678" s="24" t="str">
        <f t="shared" si="72"/>
        <v/>
      </c>
      <c r="BA678" s="24" t="str">
        <f t="shared" si="72"/>
        <v/>
      </c>
      <c r="BB678" s="24" t="str">
        <f t="shared" si="72"/>
        <v/>
      </c>
      <c r="BC678" s="24" t="str">
        <f t="shared" si="72"/>
        <v/>
      </c>
      <c r="BD678" s="24" t="str">
        <f t="shared" si="72"/>
        <v/>
      </c>
      <c r="BE678" s="24" t="str">
        <f t="shared" si="72"/>
        <v/>
      </c>
      <c r="BF678" s="24" t="str">
        <f t="shared" si="72"/>
        <v/>
      </c>
      <c r="BG678" s="24" t="str">
        <f t="shared" si="72"/>
        <v/>
      </c>
      <c r="BH678" s="24" t="str">
        <f t="shared" si="69"/>
        <v/>
      </c>
      <c r="BI678" s="24">
        <f t="shared" si="72"/>
        <v>1</v>
      </c>
      <c r="BJ678" s="24" t="str">
        <f t="shared" si="71"/>
        <v/>
      </c>
    </row>
    <row r="679" spans="1:62" ht="15" customHeight="1" x14ac:dyDescent="0.25">
      <c r="A679" t="str">
        <f>"1740370709"</f>
        <v>1740370709</v>
      </c>
      <c r="B679" t="str">
        <f>"01150738"</f>
        <v>01150738</v>
      </c>
      <c r="C679" t="s">
        <v>3077</v>
      </c>
      <c r="D679" t="s">
        <v>3078</v>
      </c>
      <c r="E679" t="s">
        <v>3079</v>
      </c>
      <c r="G679" t="s">
        <v>3071</v>
      </c>
      <c r="H679" t="s">
        <v>3072</v>
      </c>
      <c r="J679" t="s">
        <v>3080</v>
      </c>
      <c r="L679" t="s">
        <v>120</v>
      </c>
      <c r="M679" t="s">
        <v>108</v>
      </c>
      <c r="R679" t="s">
        <v>3081</v>
      </c>
      <c r="W679" t="s">
        <v>3079</v>
      </c>
      <c r="X679" t="s">
        <v>3082</v>
      </c>
      <c r="Y679" t="s">
        <v>293</v>
      </c>
      <c r="Z679" t="s">
        <v>111</v>
      </c>
      <c r="AA679" t="str">
        <f>"14850-1397"</f>
        <v>14850-1397</v>
      </c>
      <c r="AB679" t="s">
        <v>123</v>
      </c>
      <c r="AC679" t="s">
        <v>113</v>
      </c>
      <c r="AD679" t="s">
        <v>108</v>
      </c>
      <c r="AE679" t="s">
        <v>114</v>
      </c>
      <c r="AF679" t="s">
        <v>142</v>
      </c>
      <c r="AG679" t="s">
        <v>116</v>
      </c>
      <c r="AK679" t="str">
        <f t="shared" si="68"/>
        <v/>
      </c>
      <c r="AL679" t="s">
        <v>3078</v>
      </c>
      <c r="AM679">
        <v>1</v>
      </c>
      <c r="AN679">
        <v>1</v>
      </c>
      <c r="AO679">
        <v>0</v>
      </c>
      <c r="AP679">
        <v>0</v>
      </c>
      <c r="AQ679">
        <v>0</v>
      </c>
      <c r="AR679">
        <v>0</v>
      </c>
      <c r="AS679">
        <v>0</v>
      </c>
      <c r="AT679">
        <v>0</v>
      </c>
      <c r="AU679">
        <v>0</v>
      </c>
      <c r="AV679">
        <v>0</v>
      </c>
      <c r="AW679">
        <v>0</v>
      </c>
      <c r="AX679" s="24">
        <f t="shared" si="66"/>
        <v>1</v>
      </c>
      <c r="AY679" s="24" t="str">
        <f t="shared" si="66"/>
        <v/>
      </c>
      <c r="AZ679" s="24" t="str">
        <f t="shared" si="72"/>
        <v/>
      </c>
      <c r="BA679" s="24" t="str">
        <f t="shared" si="72"/>
        <v/>
      </c>
      <c r="BB679" s="24" t="str">
        <f t="shared" si="72"/>
        <v/>
      </c>
      <c r="BC679" s="24" t="str">
        <f t="shared" si="72"/>
        <v/>
      </c>
      <c r="BD679" s="24" t="str">
        <f t="shared" si="72"/>
        <v/>
      </c>
      <c r="BE679" s="24" t="str">
        <f t="shared" si="72"/>
        <v/>
      </c>
      <c r="BF679" s="24" t="str">
        <f t="shared" si="72"/>
        <v/>
      </c>
      <c r="BG679" s="24" t="str">
        <f t="shared" si="72"/>
        <v/>
      </c>
      <c r="BH679" s="24" t="str">
        <f t="shared" si="69"/>
        <v/>
      </c>
      <c r="BI679" s="24">
        <f t="shared" si="72"/>
        <v>1</v>
      </c>
      <c r="BJ679" s="24" t="str">
        <f t="shared" si="71"/>
        <v/>
      </c>
    </row>
    <row r="680" spans="1:62" ht="15" customHeight="1" x14ac:dyDescent="0.25">
      <c r="A680" t="str">
        <f>"1821090036"</f>
        <v>1821090036</v>
      </c>
      <c r="B680" t="str">
        <f>"02285954"</f>
        <v>02285954</v>
      </c>
      <c r="C680" t="s">
        <v>1167</v>
      </c>
      <c r="D680" t="s">
        <v>1168</v>
      </c>
      <c r="E680" t="s">
        <v>1169</v>
      </c>
      <c r="G680" t="s">
        <v>1147</v>
      </c>
      <c r="H680" t="s">
        <v>1148</v>
      </c>
      <c r="J680" t="s">
        <v>1170</v>
      </c>
      <c r="L680" t="s">
        <v>138</v>
      </c>
      <c r="M680" t="s">
        <v>108</v>
      </c>
      <c r="R680" t="s">
        <v>1171</v>
      </c>
      <c r="W680" t="s">
        <v>1169</v>
      </c>
      <c r="X680" t="s">
        <v>1166</v>
      </c>
      <c r="Y680" t="s">
        <v>293</v>
      </c>
      <c r="Z680" t="s">
        <v>111</v>
      </c>
      <c r="AA680" t="str">
        <f>"14850-1397"</f>
        <v>14850-1397</v>
      </c>
      <c r="AB680" t="s">
        <v>123</v>
      </c>
      <c r="AC680" t="s">
        <v>113</v>
      </c>
      <c r="AD680" t="s">
        <v>108</v>
      </c>
      <c r="AE680" t="s">
        <v>114</v>
      </c>
      <c r="AF680" t="s">
        <v>142</v>
      </c>
      <c r="AG680" t="s">
        <v>116</v>
      </c>
      <c r="AK680" t="str">
        <f t="shared" si="68"/>
        <v/>
      </c>
      <c r="AL680" t="s">
        <v>1168</v>
      </c>
      <c r="AM680">
        <v>1</v>
      </c>
      <c r="AN680">
        <v>1</v>
      </c>
      <c r="AO680">
        <v>0</v>
      </c>
      <c r="AP680">
        <v>0</v>
      </c>
      <c r="AQ680">
        <v>0</v>
      </c>
      <c r="AR680">
        <v>0</v>
      </c>
      <c r="AS680">
        <v>0</v>
      </c>
      <c r="AT680">
        <v>0</v>
      </c>
      <c r="AU680">
        <v>0</v>
      </c>
      <c r="AV680">
        <v>0</v>
      </c>
      <c r="AW680">
        <v>0</v>
      </c>
      <c r="AX680" s="24" t="str">
        <f t="shared" ref="AX680:AY743" si="73">IF(ISERROR(FIND(AX$1,$L680,1)),"",1)</f>
        <v/>
      </c>
      <c r="AY680" s="24">
        <f t="shared" si="73"/>
        <v>1</v>
      </c>
      <c r="AZ680" s="24" t="str">
        <f t="shared" si="72"/>
        <v/>
      </c>
      <c r="BA680" s="24" t="str">
        <f t="shared" si="72"/>
        <v/>
      </c>
      <c r="BB680" s="24" t="str">
        <f t="shared" si="72"/>
        <v/>
      </c>
      <c r="BC680" s="24" t="str">
        <f t="shared" si="72"/>
        <v/>
      </c>
      <c r="BD680" s="24" t="str">
        <f t="shared" si="72"/>
        <v/>
      </c>
      <c r="BE680" s="24" t="str">
        <f t="shared" si="72"/>
        <v/>
      </c>
      <c r="BF680" s="24" t="str">
        <f t="shared" si="72"/>
        <v/>
      </c>
      <c r="BG680" s="24" t="str">
        <f t="shared" si="72"/>
        <v/>
      </c>
      <c r="BH680" s="24" t="str">
        <f t="shared" si="69"/>
        <v/>
      </c>
      <c r="BI680" s="24">
        <f t="shared" si="72"/>
        <v>1</v>
      </c>
      <c r="BJ680" s="24" t="str">
        <f t="shared" si="71"/>
        <v/>
      </c>
    </row>
    <row r="681" spans="1:62" ht="15" customHeight="1" x14ac:dyDescent="0.25">
      <c r="A681" t="str">
        <f>"1528078839"</f>
        <v>1528078839</v>
      </c>
      <c r="B681" t="str">
        <f>"02131524"</f>
        <v>02131524</v>
      </c>
      <c r="C681" t="s">
        <v>6445</v>
      </c>
      <c r="D681" t="s">
        <v>6446</v>
      </c>
      <c r="E681" t="s">
        <v>6447</v>
      </c>
      <c r="G681" t="s">
        <v>6330</v>
      </c>
      <c r="H681" t="s">
        <v>6331</v>
      </c>
      <c r="J681" t="s">
        <v>6332</v>
      </c>
      <c r="L681" t="s">
        <v>138</v>
      </c>
      <c r="M681" t="s">
        <v>108</v>
      </c>
      <c r="R681" t="s">
        <v>6448</v>
      </c>
      <c r="W681" t="s">
        <v>6447</v>
      </c>
      <c r="X681" t="s">
        <v>6449</v>
      </c>
      <c r="Y681" t="s">
        <v>239</v>
      </c>
      <c r="Z681" t="s">
        <v>111</v>
      </c>
      <c r="AA681" t="str">
        <f>"13045-1206"</f>
        <v>13045-1206</v>
      </c>
      <c r="AB681" t="s">
        <v>123</v>
      </c>
      <c r="AC681" t="s">
        <v>113</v>
      </c>
      <c r="AD681" t="s">
        <v>108</v>
      </c>
      <c r="AE681" t="s">
        <v>114</v>
      </c>
      <c r="AF681" t="s">
        <v>115</v>
      </c>
      <c r="AG681" t="s">
        <v>116</v>
      </c>
      <c r="AK681" t="str">
        <f t="shared" si="68"/>
        <v>John Penfield</v>
      </c>
      <c r="AL681" t="s">
        <v>6446</v>
      </c>
      <c r="AM681" t="s">
        <v>108</v>
      </c>
      <c r="AN681" t="s">
        <v>108</v>
      </c>
      <c r="AO681" t="s">
        <v>108</v>
      </c>
      <c r="AP681" t="s">
        <v>108</v>
      </c>
      <c r="AQ681" t="s">
        <v>108</v>
      </c>
      <c r="AR681" t="s">
        <v>108</v>
      </c>
      <c r="AS681" t="s">
        <v>108</v>
      </c>
      <c r="AT681" t="s">
        <v>108</v>
      </c>
      <c r="AU681">
        <v>0</v>
      </c>
      <c r="AV681" t="s">
        <v>108</v>
      </c>
      <c r="AW681" t="s">
        <v>108</v>
      </c>
      <c r="AX681" s="24" t="str">
        <f t="shared" si="73"/>
        <v/>
      </c>
      <c r="AY681" s="24">
        <f t="shared" si="73"/>
        <v>1</v>
      </c>
      <c r="AZ681" s="24" t="str">
        <f t="shared" si="72"/>
        <v/>
      </c>
      <c r="BA681" s="24" t="str">
        <f t="shared" si="72"/>
        <v/>
      </c>
      <c r="BB681" s="24" t="str">
        <f t="shared" si="72"/>
        <v/>
      </c>
      <c r="BC681" s="24" t="str">
        <f t="shared" si="72"/>
        <v/>
      </c>
      <c r="BD681" s="24" t="str">
        <f t="shared" si="72"/>
        <v/>
      </c>
      <c r="BE681" s="24" t="str">
        <f t="shared" si="72"/>
        <v/>
      </c>
      <c r="BF681" s="24" t="str">
        <f t="shared" si="72"/>
        <v/>
      </c>
      <c r="BG681" s="24" t="str">
        <f t="shared" si="72"/>
        <v/>
      </c>
      <c r="BH681" s="24" t="str">
        <f t="shared" si="69"/>
        <v/>
      </c>
      <c r="BI681" s="24">
        <f t="shared" si="72"/>
        <v>1</v>
      </c>
      <c r="BJ681" s="24" t="str">
        <f t="shared" si="71"/>
        <v/>
      </c>
    </row>
    <row r="682" spans="1:62" ht="15" customHeight="1" x14ac:dyDescent="0.25">
      <c r="A682" t="str">
        <f>"1851557615"</f>
        <v>1851557615</v>
      </c>
      <c r="B682" t="str">
        <f>"03527039"</f>
        <v>03527039</v>
      </c>
      <c r="C682" t="s">
        <v>1136</v>
      </c>
      <c r="D682" t="s">
        <v>1137</v>
      </c>
      <c r="E682" t="s">
        <v>1138</v>
      </c>
      <c r="G682" t="s">
        <v>1139</v>
      </c>
      <c r="H682" t="s">
        <v>1140</v>
      </c>
      <c r="J682" t="s">
        <v>1141</v>
      </c>
      <c r="L682" t="s">
        <v>138</v>
      </c>
      <c r="M682" t="s">
        <v>108</v>
      </c>
      <c r="R682" t="s">
        <v>1142</v>
      </c>
      <c r="W682" t="s">
        <v>1138</v>
      </c>
      <c r="X682" t="s">
        <v>1143</v>
      </c>
      <c r="Y682" t="s">
        <v>471</v>
      </c>
      <c r="Z682" t="s">
        <v>111</v>
      </c>
      <c r="AA682" t="str">
        <f>"14263-0001"</f>
        <v>14263-0001</v>
      </c>
      <c r="AB682" t="s">
        <v>123</v>
      </c>
      <c r="AC682" t="s">
        <v>113</v>
      </c>
      <c r="AD682" t="s">
        <v>108</v>
      </c>
      <c r="AE682" t="s">
        <v>114</v>
      </c>
      <c r="AF682" t="s">
        <v>142</v>
      </c>
      <c r="AG682" t="s">
        <v>116</v>
      </c>
      <c r="AK682" t="str">
        <f t="shared" si="68"/>
        <v/>
      </c>
      <c r="AL682" t="s">
        <v>1137</v>
      </c>
      <c r="AM682">
        <v>1</v>
      </c>
      <c r="AN682">
        <v>1</v>
      </c>
      <c r="AO682">
        <v>0</v>
      </c>
      <c r="AP682">
        <v>0</v>
      </c>
      <c r="AQ682">
        <v>0</v>
      </c>
      <c r="AR682">
        <v>0</v>
      </c>
      <c r="AS682">
        <v>0</v>
      </c>
      <c r="AT682">
        <v>0</v>
      </c>
      <c r="AU682">
        <v>0</v>
      </c>
      <c r="AV682">
        <v>0</v>
      </c>
      <c r="AW682">
        <v>0</v>
      </c>
      <c r="AX682" s="24" t="str">
        <f t="shared" si="73"/>
        <v/>
      </c>
      <c r="AY682" s="24">
        <f t="shared" si="73"/>
        <v>1</v>
      </c>
      <c r="AZ682" s="24" t="str">
        <f t="shared" si="72"/>
        <v/>
      </c>
      <c r="BA682" s="24" t="str">
        <f t="shared" si="72"/>
        <v/>
      </c>
      <c r="BB682" s="24" t="str">
        <f t="shared" si="72"/>
        <v/>
      </c>
      <c r="BC682" s="24" t="str">
        <f t="shared" si="72"/>
        <v/>
      </c>
      <c r="BD682" s="24" t="str">
        <f t="shared" si="72"/>
        <v/>
      </c>
      <c r="BE682" s="24" t="str">
        <f t="shared" si="72"/>
        <v/>
      </c>
      <c r="BF682" s="24" t="str">
        <f t="shared" si="72"/>
        <v/>
      </c>
      <c r="BG682" s="24" t="str">
        <f t="shared" si="72"/>
        <v/>
      </c>
      <c r="BH682" s="24" t="str">
        <f t="shared" si="69"/>
        <v/>
      </c>
      <c r="BI682" s="24">
        <f t="shared" si="72"/>
        <v>1</v>
      </c>
      <c r="BJ682" s="24" t="str">
        <f t="shared" si="71"/>
        <v/>
      </c>
    </row>
    <row r="683" spans="1:62" ht="15" customHeight="1" x14ac:dyDescent="0.25">
      <c r="A683" t="str">
        <f>"1710987292"</f>
        <v>1710987292</v>
      </c>
      <c r="B683" t="str">
        <f>"03938061"</f>
        <v>03938061</v>
      </c>
      <c r="C683" t="s">
        <v>5563</v>
      </c>
      <c r="D683" t="s">
        <v>5564</v>
      </c>
      <c r="E683" t="s">
        <v>5565</v>
      </c>
      <c r="G683" t="s">
        <v>5294</v>
      </c>
      <c r="H683" t="s">
        <v>2626</v>
      </c>
      <c r="J683" t="s">
        <v>5566</v>
      </c>
      <c r="L683" t="s">
        <v>247</v>
      </c>
      <c r="M683" t="s">
        <v>108</v>
      </c>
      <c r="R683" t="s">
        <v>5567</v>
      </c>
      <c r="W683" t="s">
        <v>5565</v>
      </c>
      <c r="X683" t="s">
        <v>5568</v>
      </c>
      <c r="Y683" t="s">
        <v>5569</v>
      </c>
      <c r="Z683" t="s">
        <v>5570</v>
      </c>
      <c r="AA683" t="str">
        <f>"32960-7320"</f>
        <v>32960-7320</v>
      </c>
      <c r="AB683" t="s">
        <v>123</v>
      </c>
      <c r="AC683" t="s">
        <v>113</v>
      </c>
      <c r="AD683" t="s">
        <v>108</v>
      </c>
      <c r="AE683" t="s">
        <v>114</v>
      </c>
      <c r="AF683" t="s">
        <v>142</v>
      </c>
      <c r="AG683" t="s">
        <v>116</v>
      </c>
      <c r="AK683" t="str">
        <f t="shared" si="68"/>
        <v/>
      </c>
      <c r="AL683" t="s">
        <v>5564</v>
      </c>
      <c r="AM683">
        <v>1</v>
      </c>
      <c r="AN683">
        <v>1</v>
      </c>
      <c r="AO683">
        <v>0</v>
      </c>
      <c r="AP683">
        <v>0</v>
      </c>
      <c r="AQ683">
        <v>0</v>
      </c>
      <c r="AR683">
        <v>0</v>
      </c>
      <c r="AS683">
        <v>0</v>
      </c>
      <c r="AT683">
        <v>0</v>
      </c>
      <c r="AU683">
        <v>0</v>
      </c>
      <c r="AV683">
        <v>0</v>
      </c>
      <c r="AW683">
        <v>0</v>
      </c>
      <c r="AX683" s="24" t="str">
        <f t="shared" si="73"/>
        <v/>
      </c>
      <c r="AY683" s="24">
        <f t="shared" si="73"/>
        <v>1</v>
      </c>
      <c r="AZ683" s="24" t="str">
        <f t="shared" si="72"/>
        <v/>
      </c>
      <c r="BA683" s="24" t="str">
        <f t="shared" si="72"/>
        <v/>
      </c>
      <c r="BB683" s="24" t="str">
        <f t="shared" si="72"/>
        <v/>
      </c>
      <c r="BC683" s="24" t="str">
        <f t="shared" si="72"/>
        <v/>
      </c>
      <c r="BD683" s="24" t="str">
        <f t="shared" si="72"/>
        <v/>
      </c>
      <c r="BE683" s="24" t="str">
        <f t="shared" si="72"/>
        <v/>
      </c>
      <c r="BF683" s="24" t="str">
        <f t="shared" si="72"/>
        <v/>
      </c>
      <c r="BG683" s="24" t="str">
        <f t="shared" si="72"/>
        <v/>
      </c>
      <c r="BH683" s="24" t="str">
        <f t="shared" si="69"/>
        <v/>
      </c>
      <c r="BI683" s="24" t="str">
        <f t="shared" si="72"/>
        <v/>
      </c>
      <c r="BJ683" s="24" t="str">
        <f t="shared" si="71"/>
        <v/>
      </c>
    </row>
    <row r="684" spans="1:62" ht="15" customHeight="1" x14ac:dyDescent="0.25">
      <c r="A684" t="str">
        <f>"1962556860"</f>
        <v>1962556860</v>
      </c>
      <c r="B684" t="str">
        <f>"01624955"</f>
        <v>01624955</v>
      </c>
      <c r="C684" t="s">
        <v>3423</v>
      </c>
      <c r="D684" t="s">
        <v>3424</v>
      </c>
      <c r="E684" t="s">
        <v>3425</v>
      </c>
      <c r="G684" t="s">
        <v>3096</v>
      </c>
      <c r="H684" t="s">
        <v>3097</v>
      </c>
      <c r="J684" t="s">
        <v>3426</v>
      </c>
      <c r="L684" t="s">
        <v>138</v>
      </c>
      <c r="M684" t="s">
        <v>108</v>
      </c>
      <c r="R684" t="s">
        <v>3427</v>
      </c>
      <c r="W684" t="s">
        <v>3425</v>
      </c>
      <c r="X684" t="s">
        <v>302</v>
      </c>
      <c r="Y684" t="s">
        <v>293</v>
      </c>
      <c r="Z684" t="s">
        <v>111</v>
      </c>
      <c r="AA684" t="str">
        <f>"14850-1342"</f>
        <v>14850-1342</v>
      </c>
      <c r="AB684" t="s">
        <v>123</v>
      </c>
      <c r="AC684" t="s">
        <v>113</v>
      </c>
      <c r="AD684" t="s">
        <v>108</v>
      </c>
      <c r="AE684" t="s">
        <v>114</v>
      </c>
      <c r="AF684" t="s">
        <v>142</v>
      </c>
      <c r="AG684" t="s">
        <v>116</v>
      </c>
      <c r="AK684" t="str">
        <f t="shared" si="68"/>
        <v/>
      </c>
      <c r="AL684" t="s">
        <v>3424</v>
      </c>
      <c r="AM684">
        <v>0</v>
      </c>
      <c r="AN684">
        <v>0</v>
      </c>
      <c r="AO684">
        <v>0</v>
      </c>
      <c r="AP684">
        <v>0</v>
      </c>
      <c r="AQ684">
        <v>0</v>
      </c>
      <c r="AR684">
        <v>0</v>
      </c>
      <c r="AS684">
        <v>0</v>
      </c>
      <c r="AT684">
        <v>0</v>
      </c>
      <c r="AU684">
        <v>0</v>
      </c>
      <c r="AV684">
        <v>0</v>
      </c>
      <c r="AW684">
        <v>0</v>
      </c>
      <c r="AX684" s="24" t="str">
        <f t="shared" si="73"/>
        <v/>
      </c>
      <c r="AY684" s="24">
        <f t="shared" si="73"/>
        <v>1</v>
      </c>
      <c r="AZ684" s="24" t="str">
        <f t="shared" si="72"/>
        <v/>
      </c>
      <c r="BA684" s="24" t="str">
        <f t="shared" si="72"/>
        <v/>
      </c>
      <c r="BB684" s="24" t="str">
        <f t="shared" si="72"/>
        <v/>
      </c>
      <c r="BC684" s="24" t="str">
        <f t="shared" si="72"/>
        <v/>
      </c>
      <c r="BD684" s="24" t="str">
        <f t="shared" si="72"/>
        <v/>
      </c>
      <c r="BE684" s="24" t="str">
        <f t="shared" si="72"/>
        <v/>
      </c>
      <c r="BF684" s="24" t="str">
        <f t="shared" si="72"/>
        <v/>
      </c>
      <c r="BG684" s="24" t="str">
        <f t="shared" si="72"/>
        <v/>
      </c>
      <c r="BH684" s="24" t="str">
        <f t="shared" si="69"/>
        <v/>
      </c>
      <c r="BI684" s="24">
        <f t="shared" si="72"/>
        <v>1</v>
      </c>
      <c r="BJ684" s="24" t="str">
        <f t="shared" si="71"/>
        <v/>
      </c>
    </row>
    <row r="685" spans="1:62" ht="15" customHeight="1" x14ac:dyDescent="0.25">
      <c r="A685" t="str">
        <f>"1225125784"</f>
        <v>1225125784</v>
      </c>
      <c r="B685" t="str">
        <f>"01463749"</f>
        <v>01463749</v>
      </c>
      <c r="C685" t="s">
        <v>6054</v>
      </c>
      <c r="D685" t="s">
        <v>6055</v>
      </c>
      <c r="E685" t="s">
        <v>6056</v>
      </c>
      <c r="G685" t="s">
        <v>815</v>
      </c>
      <c r="H685" t="s">
        <v>816</v>
      </c>
      <c r="J685" t="s">
        <v>817</v>
      </c>
      <c r="L685" t="s">
        <v>138</v>
      </c>
      <c r="M685" t="s">
        <v>108</v>
      </c>
      <c r="R685" t="s">
        <v>6057</v>
      </c>
      <c r="W685" t="s">
        <v>6056</v>
      </c>
      <c r="X685" t="s">
        <v>6058</v>
      </c>
      <c r="Y685" t="s">
        <v>110</v>
      </c>
      <c r="Z685" t="s">
        <v>111</v>
      </c>
      <c r="AA685" t="str">
        <f>"13905-4246"</f>
        <v>13905-4246</v>
      </c>
      <c r="AB685" t="s">
        <v>123</v>
      </c>
      <c r="AC685" t="s">
        <v>113</v>
      </c>
      <c r="AD685" t="s">
        <v>108</v>
      </c>
      <c r="AE685" t="s">
        <v>114</v>
      </c>
      <c r="AF685" t="s">
        <v>115</v>
      </c>
      <c r="AG685" t="s">
        <v>116</v>
      </c>
      <c r="AK685" t="str">
        <f t="shared" si="68"/>
        <v>John W. Miller, MD, FACS</v>
      </c>
      <c r="AL685" t="s">
        <v>6055</v>
      </c>
      <c r="AM685" t="s">
        <v>108</v>
      </c>
      <c r="AN685" t="s">
        <v>108</v>
      </c>
      <c r="AO685" t="s">
        <v>108</v>
      </c>
      <c r="AP685" t="s">
        <v>108</v>
      </c>
      <c r="AQ685" t="s">
        <v>108</v>
      </c>
      <c r="AR685" t="s">
        <v>108</v>
      </c>
      <c r="AS685" t="s">
        <v>108</v>
      </c>
      <c r="AT685" t="s">
        <v>108</v>
      </c>
      <c r="AU685">
        <v>0</v>
      </c>
      <c r="AV685" t="s">
        <v>108</v>
      </c>
      <c r="AW685" t="s">
        <v>108</v>
      </c>
      <c r="AX685" s="24" t="str">
        <f t="shared" si="73"/>
        <v/>
      </c>
      <c r="AY685" s="24">
        <f t="shared" si="73"/>
        <v>1</v>
      </c>
      <c r="AZ685" s="24" t="str">
        <f t="shared" si="72"/>
        <v/>
      </c>
      <c r="BA685" s="24" t="str">
        <f t="shared" si="72"/>
        <v/>
      </c>
      <c r="BB685" s="24" t="str">
        <f t="shared" si="72"/>
        <v/>
      </c>
      <c r="BC685" s="24" t="str">
        <f t="shared" si="72"/>
        <v/>
      </c>
      <c r="BD685" s="24" t="str">
        <f t="shared" si="72"/>
        <v/>
      </c>
      <c r="BE685" s="24" t="str">
        <f t="shared" si="72"/>
        <v/>
      </c>
      <c r="BF685" s="24" t="str">
        <f t="shared" si="72"/>
        <v/>
      </c>
      <c r="BG685" s="24" t="str">
        <f t="shared" si="72"/>
        <v/>
      </c>
      <c r="BH685" s="24" t="str">
        <f t="shared" si="69"/>
        <v/>
      </c>
      <c r="BI685" s="24">
        <f t="shared" si="72"/>
        <v>1</v>
      </c>
      <c r="BJ685" s="24" t="str">
        <f t="shared" si="71"/>
        <v/>
      </c>
    </row>
    <row r="686" spans="1:62" ht="15" customHeight="1" x14ac:dyDescent="0.25">
      <c r="A686" t="str">
        <f>"1023185279"</f>
        <v>1023185279</v>
      </c>
      <c r="B686" t="str">
        <f>"01805870"</f>
        <v>01805870</v>
      </c>
      <c r="C686" t="s">
        <v>1507</v>
      </c>
      <c r="D686" t="s">
        <v>1508</v>
      </c>
      <c r="E686" t="s">
        <v>1509</v>
      </c>
      <c r="G686" t="s">
        <v>1507</v>
      </c>
      <c r="H686" t="s">
        <v>403</v>
      </c>
      <c r="J686" t="s">
        <v>1510</v>
      </c>
      <c r="L686" t="s">
        <v>6868</v>
      </c>
      <c r="M686" t="s">
        <v>108</v>
      </c>
      <c r="R686" t="s">
        <v>1511</v>
      </c>
      <c r="W686" t="s">
        <v>1509</v>
      </c>
      <c r="X686" t="s">
        <v>1512</v>
      </c>
      <c r="Y686" t="s">
        <v>129</v>
      </c>
      <c r="Z686" t="s">
        <v>111</v>
      </c>
      <c r="AA686" t="str">
        <f>"13790-2544"</f>
        <v>13790-2544</v>
      </c>
      <c r="AB686" t="s">
        <v>123</v>
      </c>
      <c r="AC686" t="s">
        <v>113</v>
      </c>
      <c r="AD686" t="s">
        <v>108</v>
      </c>
      <c r="AE686" t="s">
        <v>114</v>
      </c>
      <c r="AF686" t="s">
        <v>115</v>
      </c>
      <c r="AG686" t="s">
        <v>116</v>
      </c>
      <c r="AK686" t="str">
        <f t="shared" si="68"/>
        <v/>
      </c>
      <c r="AL686" t="s">
        <v>1508</v>
      </c>
      <c r="AM686">
        <v>1</v>
      </c>
      <c r="AN686">
        <v>1</v>
      </c>
      <c r="AO686">
        <v>0</v>
      </c>
      <c r="AP686">
        <v>1</v>
      </c>
      <c r="AQ686">
        <v>1</v>
      </c>
      <c r="AR686">
        <v>0</v>
      </c>
      <c r="AS686">
        <v>0</v>
      </c>
      <c r="AT686">
        <v>0</v>
      </c>
      <c r="AU686">
        <v>0</v>
      </c>
      <c r="AV686">
        <v>0</v>
      </c>
      <c r="AW686">
        <v>0</v>
      </c>
      <c r="AX686" s="24">
        <f t="shared" si="73"/>
        <v>1</v>
      </c>
      <c r="AY686" s="24">
        <f t="shared" si="73"/>
        <v>1</v>
      </c>
      <c r="AZ686" s="24" t="str">
        <f t="shared" si="72"/>
        <v/>
      </c>
      <c r="BA686" s="24" t="str">
        <f t="shared" si="72"/>
        <v/>
      </c>
      <c r="BB686" s="24" t="str">
        <f t="shared" si="72"/>
        <v/>
      </c>
      <c r="BC686" s="24" t="str">
        <f t="shared" si="72"/>
        <v/>
      </c>
      <c r="BD686" s="24" t="str">
        <f t="shared" si="72"/>
        <v/>
      </c>
      <c r="BE686" s="24" t="str">
        <f t="shared" si="72"/>
        <v/>
      </c>
      <c r="BF686" s="24" t="str">
        <f t="shared" si="72"/>
        <v/>
      </c>
      <c r="BG686" s="24" t="str">
        <f t="shared" si="72"/>
        <v/>
      </c>
      <c r="BH686" s="24" t="str">
        <f t="shared" si="69"/>
        <v/>
      </c>
      <c r="BI686" s="24" t="str">
        <f t="shared" si="72"/>
        <v/>
      </c>
      <c r="BJ686" s="24" t="str">
        <f t="shared" si="71"/>
        <v/>
      </c>
    </row>
    <row r="687" spans="1:62" ht="15" customHeight="1" x14ac:dyDescent="0.25">
      <c r="A687" t="str">
        <f>"1861498602"</f>
        <v>1861498602</v>
      </c>
      <c r="B687" t="str">
        <f>"02161659"</f>
        <v>02161659</v>
      </c>
      <c r="C687" t="s">
        <v>3550</v>
      </c>
      <c r="D687" t="s">
        <v>3551</v>
      </c>
      <c r="E687" t="s">
        <v>3552</v>
      </c>
      <c r="G687" t="s">
        <v>2755</v>
      </c>
      <c r="H687" t="s">
        <v>2756</v>
      </c>
      <c r="J687" t="s">
        <v>3553</v>
      </c>
      <c r="L687" t="s">
        <v>120</v>
      </c>
      <c r="M687" t="s">
        <v>108</v>
      </c>
      <c r="R687" t="s">
        <v>3554</v>
      </c>
      <c r="W687" t="s">
        <v>3552</v>
      </c>
      <c r="X687" t="s">
        <v>3555</v>
      </c>
      <c r="Y687" t="s">
        <v>293</v>
      </c>
      <c r="Z687" t="s">
        <v>111</v>
      </c>
      <c r="AA687" t="str">
        <f>"14850-1383"</f>
        <v>14850-1383</v>
      </c>
      <c r="AB687" t="s">
        <v>123</v>
      </c>
      <c r="AC687" t="s">
        <v>113</v>
      </c>
      <c r="AD687" t="s">
        <v>108</v>
      </c>
      <c r="AE687" t="s">
        <v>114</v>
      </c>
      <c r="AF687" t="s">
        <v>142</v>
      </c>
      <c r="AG687" t="s">
        <v>116</v>
      </c>
      <c r="AK687" t="str">
        <f t="shared" si="68"/>
        <v/>
      </c>
      <c r="AL687" t="s">
        <v>3551</v>
      </c>
      <c r="AM687">
        <v>1</v>
      </c>
      <c r="AN687">
        <v>1</v>
      </c>
      <c r="AO687">
        <v>0</v>
      </c>
      <c r="AP687">
        <v>0</v>
      </c>
      <c r="AQ687">
        <v>0</v>
      </c>
      <c r="AR687">
        <v>0</v>
      </c>
      <c r="AS687">
        <v>0</v>
      </c>
      <c r="AT687">
        <v>0</v>
      </c>
      <c r="AU687">
        <v>1</v>
      </c>
      <c r="AV687">
        <v>0</v>
      </c>
      <c r="AW687">
        <v>0</v>
      </c>
      <c r="AX687" s="24">
        <f t="shared" si="73"/>
        <v>1</v>
      </c>
      <c r="AY687" s="24" t="str">
        <f t="shared" si="73"/>
        <v/>
      </c>
      <c r="AZ687" s="24" t="str">
        <f t="shared" si="72"/>
        <v/>
      </c>
      <c r="BA687" s="24" t="str">
        <f t="shared" si="72"/>
        <v/>
      </c>
      <c r="BB687" s="24" t="str">
        <f t="shared" si="72"/>
        <v/>
      </c>
      <c r="BC687" s="24" t="str">
        <f t="shared" si="72"/>
        <v/>
      </c>
      <c r="BD687" s="24" t="str">
        <f t="shared" si="72"/>
        <v/>
      </c>
      <c r="BE687" s="24" t="str">
        <f t="shared" si="72"/>
        <v/>
      </c>
      <c r="BF687" s="24" t="str">
        <f t="shared" si="72"/>
        <v/>
      </c>
      <c r="BG687" s="24" t="str">
        <f t="shared" si="72"/>
        <v/>
      </c>
      <c r="BH687" s="24" t="str">
        <f t="shared" si="69"/>
        <v/>
      </c>
      <c r="BI687" s="24">
        <f t="shared" si="72"/>
        <v>1</v>
      </c>
      <c r="BJ687" s="24" t="str">
        <f t="shared" si="71"/>
        <v/>
      </c>
    </row>
    <row r="688" spans="1:62" ht="15" customHeight="1" x14ac:dyDescent="0.25">
      <c r="A688" t="str">
        <f>"1548239395"</f>
        <v>1548239395</v>
      </c>
      <c r="B688" t="str">
        <f>"01040784"</f>
        <v>01040784</v>
      </c>
      <c r="C688" t="s">
        <v>2309</v>
      </c>
      <c r="D688" t="s">
        <v>2310</v>
      </c>
      <c r="E688" t="s">
        <v>2311</v>
      </c>
      <c r="G688" t="s">
        <v>177</v>
      </c>
      <c r="H688" t="s">
        <v>178</v>
      </c>
      <c r="J688" t="s">
        <v>179</v>
      </c>
      <c r="L688" t="s">
        <v>138</v>
      </c>
      <c r="M688" t="s">
        <v>108</v>
      </c>
      <c r="R688" t="s">
        <v>2309</v>
      </c>
      <c r="W688" t="s">
        <v>2311</v>
      </c>
      <c r="X688" t="s">
        <v>186</v>
      </c>
      <c r="Y688" t="s">
        <v>181</v>
      </c>
      <c r="Z688" t="s">
        <v>182</v>
      </c>
      <c r="AA688" t="str">
        <f>"18840"</f>
        <v>18840</v>
      </c>
      <c r="AB688" t="s">
        <v>123</v>
      </c>
      <c r="AC688" t="s">
        <v>113</v>
      </c>
      <c r="AD688" t="s">
        <v>108</v>
      </c>
      <c r="AE688" t="s">
        <v>114</v>
      </c>
      <c r="AF688" t="s">
        <v>115</v>
      </c>
      <c r="AG688" t="s">
        <v>116</v>
      </c>
      <c r="AK688" t="str">
        <f t="shared" si="68"/>
        <v/>
      </c>
      <c r="AL688" t="s">
        <v>2310</v>
      </c>
      <c r="AM688">
        <v>1</v>
      </c>
      <c r="AN688">
        <v>1</v>
      </c>
      <c r="AO688">
        <v>0</v>
      </c>
      <c r="AP688">
        <v>0</v>
      </c>
      <c r="AQ688">
        <v>0</v>
      </c>
      <c r="AR688">
        <v>0</v>
      </c>
      <c r="AS688">
        <v>0</v>
      </c>
      <c r="AT688">
        <v>0</v>
      </c>
      <c r="AU688">
        <v>0</v>
      </c>
      <c r="AV688">
        <v>1</v>
      </c>
      <c r="AW688">
        <v>0</v>
      </c>
      <c r="AX688" s="24" t="str">
        <f t="shared" si="73"/>
        <v/>
      </c>
      <c r="AY688" s="24">
        <f t="shared" si="73"/>
        <v>1</v>
      </c>
      <c r="AZ688" s="24" t="str">
        <f t="shared" si="72"/>
        <v/>
      </c>
      <c r="BA688" s="24" t="str">
        <f t="shared" si="72"/>
        <v/>
      </c>
      <c r="BB688" s="24" t="str">
        <f t="shared" si="72"/>
        <v/>
      </c>
      <c r="BC688" s="24" t="str">
        <f t="shared" si="72"/>
        <v/>
      </c>
      <c r="BD688" s="24" t="str">
        <f t="shared" si="72"/>
        <v/>
      </c>
      <c r="BE688" s="24" t="str">
        <f t="shared" si="72"/>
        <v/>
      </c>
      <c r="BF688" s="24" t="str">
        <f t="shared" si="72"/>
        <v/>
      </c>
      <c r="BG688" s="24" t="str">
        <f t="shared" si="72"/>
        <v/>
      </c>
      <c r="BH688" s="24" t="str">
        <f t="shared" si="69"/>
        <v/>
      </c>
      <c r="BI688" s="24">
        <f t="shared" si="72"/>
        <v>1</v>
      </c>
      <c r="BJ688" s="24" t="str">
        <f t="shared" si="71"/>
        <v/>
      </c>
    </row>
    <row r="689" spans="1:62" ht="15" customHeight="1" x14ac:dyDescent="0.25">
      <c r="A689" t="str">
        <f>"1609854918"</f>
        <v>1609854918</v>
      </c>
      <c r="B689" t="str">
        <f>"01331960"</f>
        <v>01331960</v>
      </c>
      <c r="C689" t="s">
        <v>6858</v>
      </c>
      <c r="D689" t="s">
        <v>7153</v>
      </c>
      <c r="E689" t="s">
        <v>7013</v>
      </c>
      <c r="G689" t="s">
        <v>1352</v>
      </c>
      <c r="H689" t="s">
        <v>1301</v>
      </c>
      <c r="J689" t="s">
        <v>1354</v>
      </c>
      <c r="L689" t="s">
        <v>120</v>
      </c>
      <c r="M689" t="s">
        <v>108</v>
      </c>
      <c r="R689" t="s">
        <v>6858</v>
      </c>
      <c r="W689" t="s">
        <v>7013</v>
      </c>
      <c r="X689" t="s">
        <v>3753</v>
      </c>
      <c r="Y689" t="s">
        <v>239</v>
      </c>
      <c r="Z689" t="s">
        <v>111</v>
      </c>
      <c r="AA689" t="str">
        <f>"13045-1637"</f>
        <v>13045-1637</v>
      </c>
      <c r="AB689" t="s">
        <v>123</v>
      </c>
      <c r="AC689" t="s">
        <v>113</v>
      </c>
      <c r="AD689" t="s">
        <v>108</v>
      </c>
      <c r="AE689" t="s">
        <v>114</v>
      </c>
      <c r="AF689" t="s">
        <v>142</v>
      </c>
      <c r="AG689" t="s">
        <v>116</v>
      </c>
      <c r="AK689" t="str">
        <f t="shared" si="68"/>
        <v>JOHNSON JANET</v>
      </c>
      <c r="AL689" t="s">
        <v>7153</v>
      </c>
      <c r="AM689" t="s">
        <v>108</v>
      </c>
      <c r="AN689" t="s">
        <v>108</v>
      </c>
      <c r="AO689" t="s">
        <v>108</v>
      </c>
      <c r="AP689" t="s">
        <v>108</v>
      </c>
      <c r="AQ689" t="s">
        <v>108</v>
      </c>
      <c r="AR689" t="s">
        <v>108</v>
      </c>
      <c r="AS689" t="s">
        <v>108</v>
      </c>
      <c r="AT689" t="s">
        <v>108</v>
      </c>
      <c r="AU689">
        <v>0</v>
      </c>
      <c r="AV689" t="s">
        <v>108</v>
      </c>
      <c r="AW689" t="s">
        <v>108</v>
      </c>
      <c r="AX689" s="24">
        <f t="shared" si="73"/>
        <v>1</v>
      </c>
      <c r="AY689" s="24" t="str">
        <f t="shared" si="73"/>
        <v/>
      </c>
      <c r="AZ689" s="24" t="str">
        <f t="shared" si="72"/>
        <v/>
      </c>
      <c r="BA689" s="24" t="str">
        <f t="shared" si="72"/>
        <v/>
      </c>
      <c r="BB689" s="24" t="str">
        <f t="shared" si="72"/>
        <v/>
      </c>
      <c r="BC689" s="24" t="str">
        <f t="shared" si="72"/>
        <v/>
      </c>
      <c r="BD689" s="24" t="str">
        <f t="shared" si="72"/>
        <v/>
      </c>
      <c r="BE689" s="24" t="str">
        <f t="shared" si="72"/>
        <v/>
      </c>
      <c r="BF689" s="24" t="str">
        <f t="shared" si="72"/>
        <v/>
      </c>
      <c r="BG689" s="24" t="str">
        <f t="shared" si="72"/>
        <v/>
      </c>
      <c r="BH689" s="24" t="str">
        <f t="shared" si="69"/>
        <v/>
      </c>
      <c r="BI689" s="24">
        <f t="shared" si="72"/>
        <v>1</v>
      </c>
      <c r="BJ689" s="24" t="str">
        <f t="shared" si="71"/>
        <v/>
      </c>
    </row>
    <row r="690" spans="1:62" ht="15" customHeight="1" x14ac:dyDescent="0.25">
      <c r="A690" t="str">
        <f>"1801815709"</f>
        <v>1801815709</v>
      </c>
      <c r="B690" t="str">
        <f>"00821843"</f>
        <v>00821843</v>
      </c>
      <c r="C690" t="s">
        <v>3443</v>
      </c>
      <c r="D690" t="s">
        <v>3444</v>
      </c>
      <c r="E690" t="s">
        <v>3445</v>
      </c>
      <c r="L690" t="s">
        <v>138</v>
      </c>
      <c r="M690" t="s">
        <v>139</v>
      </c>
      <c r="R690" t="s">
        <v>3443</v>
      </c>
      <c r="W690" t="s">
        <v>3445</v>
      </c>
      <c r="X690" t="s">
        <v>3446</v>
      </c>
      <c r="Y690" t="s">
        <v>966</v>
      </c>
      <c r="Z690" t="s">
        <v>111</v>
      </c>
      <c r="AA690" t="str">
        <f>"13850-3649"</f>
        <v>13850-3649</v>
      </c>
      <c r="AB690" t="s">
        <v>2027</v>
      </c>
      <c r="AC690" t="s">
        <v>113</v>
      </c>
      <c r="AD690" t="s">
        <v>108</v>
      </c>
      <c r="AE690" t="s">
        <v>114</v>
      </c>
      <c r="AF690" t="s">
        <v>115</v>
      </c>
      <c r="AG690" t="s">
        <v>116</v>
      </c>
      <c r="AK690" t="str">
        <f t="shared" si="68"/>
        <v/>
      </c>
      <c r="AL690" t="s">
        <v>3444</v>
      </c>
      <c r="AM690">
        <v>0</v>
      </c>
      <c r="AN690">
        <v>0</v>
      </c>
      <c r="AO690">
        <v>0</v>
      </c>
      <c r="AP690">
        <v>0</v>
      </c>
      <c r="AQ690">
        <v>0</v>
      </c>
      <c r="AR690">
        <v>0</v>
      </c>
      <c r="AS690">
        <v>0</v>
      </c>
      <c r="AT690">
        <v>0</v>
      </c>
      <c r="AU690">
        <v>0</v>
      </c>
      <c r="AV690">
        <v>0</v>
      </c>
      <c r="AW690">
        <v>0</v>
      </c>
      <c r="AX690" s="24" t="str">
        <f t="shared" si="73"/>
        <v/>
      </c>
      <c r="AY690" s="24">
        <f t="shared" si="73"/>
        <v>1</v>
      </c>
      <c r="AZ690" s="24" t="str">
        <f t="shared" si="72"/>
        <v/>
      </c>
      <c r="BA690" s="24" t="str">
        <f t="shared" si="72"/>
        <v/>
      </c>
      <c r="BB690" s="24" t="str">
        <f t="shared" si="72"/>
        <v/>
      </c>
      <c r="BC690" s="24" t="str">
        <f t="shared" si="72"/>
        <v/>
      </c>
      <c r="BD690" s="24" t="str">
        <f t="shared" si="72"/>
        <v/>
      </c>
      <c r="BE690" s="24" t="str">
        <f t="shared" si="72"/>
        <v/>
      </c>
      <c r="BF690" s="24" t="str">
        <f t="shared" si="72"/>
        <v/>
      </c>
      <c r="BG690" s="24" t="str">
        <f t="shared" si="72"/>
        <v/>
      </c>
      <c r="BH690" s="24" t="str">
        <f t="shared" si="69"/>
        <v/>
      </c>
      <c r="BI690" s="24">
        <f t="shared" si="72"/>
        <v>1</v>
      </c>
      <c r="BJ690" s="24" t="str">
        <f t="shared" si="71"/>
        <v/>
      </c>
    </row>
    <row r="691" spans="1:62" ht="15" customHeight="1" x14ac:dyDescent="0.25">
      <c r="A691" t="str">
        <f>"1225310808"</f>
        <v>1225310808</v>
      </c>
      <c r="B691" t="str">
        <f>"03409827"</f>
        <v>03409827</v>
      </c>
      <c r="C691" t="s">
        <v>3691</v>
      </c>
      <c r="D691" t="s">
        <v>3692</v>
      </c>
      <c r="E691" t="s">
        <v>3693</v>
      </c>
      <c r="G691" t="s">
        <v>3691</v>
      </c>
      <c r="H691" t="s">
        <v>3687</v>
      </c>
      <c r="J691" t="s">
        <v>3694</v>
      </c>
      <c r="L691" t="s">
        <v>138</v>
      </c>
      <c r="M691" t="s">
        <v>108</v>
      </c>
      <c r="R691" t="s">
        <v>3695</v>
      </c>
      <c r="W691" t="s">
        <v>3696</v>
      </c>
      <c r="X691" t="s">
        <v>1048</v>
      </c>
      <c r="Y691" t="s">
        <v>966</v>
      </c>
      <c r="Z691" t="s">
        <v>111</v>
      </c>
      <c r="AA691" t="str">
        <f>"13850-3514"</f>
        <v>13850-3514</v>
      </c>
      <c r="AB691" t="s">
        <v>123</v>
      </c>
      <c r="AC691" t="s">
        <v>113</v>
      </c>
      <c r="AD691" t="s">
        <v>108</v>
      </c>
      <c r="AE691" t="s">
        <v>114</v>
      </c>
      <c r="AF691" t="s">
        <v>115</v>
      </c>
      <c r="AG691" t="s">
        <v>116</v>
      </c>
      <c r="AK691" t="str">
        <f t="shared" si="68"/>
        <v/>
      </c>
      <c r="AL691" t="s">
        <v>3692</v>
      </c>
      <c r="AM691">
        <v>0</v>
      </c>
      <c r="AN691">
        <v>0</v>
      </c>
      <c r="AO691">
        <v>0</v>
      </c>
      <c r="AP691">
        <v>0</v>
      </c>
      <c r="AQ691">
        <v>0</v>
      </c>
      <c r="AR691">
        <v>0</v>
      </c>
      <c r="AS691">
        <v>0</v>
      </c>
      <c r="AT691">
        <v>0</v>
      </c>
      <c r="AU691">
        <v>0</v>
      </c>
      <c r="AV691">
        <v>0</v>
      </c>
      <c r="AW691">
        <v>0</v>
      </c>
      <c r="AX691" s="24" t="str">
        <f t="shared" si="73"/>
        <v/>
      </c>
      <c r="AY691" s="24">
        <f t="shared" si="73"/>
        <v>1</v>
      </c>
      <c r="AZ691" s="24" t="str">
        <f t="shared" si="72"/>
        <v/>
      </c>
      <c r="BA691" s="24" t="str">
        <f t="shared" si="72"/>
        <v/>
      </c>
      <c r="BB691" s="24" t="str">
        <f t="shared" si="72"/>
        <v/>
      </c>
      <c r="BC691" s="24" t="str">
        <f t="shared" si="72"/>
        <v/>
      </c>
      <c r="BD691" s="24" t="str">
        <f t="shared" si="72"/>
        <v/>
      </c>
      <c r="BE691" s="24" t="str">
        <f t="shared" si="72"/>
        <v/>
      </c>
      <c r="BF691" s="24" t="str">
        <f t="shared" si="72"/>
        <v/>
      </c>
      <c r="BG691" s="24" t="str">
        <f t="shared" si="72"/>
        <v/>
      </c>
      <c r="BH691" s="24" t="str">
        <f t="shared" si="69"/>
        <v/>
      </c>
      <c r="BI691" s="24">
        <f t="shared" si="72"/>
        <v>1</v>
      </c>
      <c r="BJ691" s="24" t="str">
        <f t="shared" si="71"/>
        <v/>
      </c>
    </row>
    <row r="692" spans="1:62" ht="15" customHeight="1" x14ac:dyDescent="0.25">
      <c r="A692" t="str">
        <f>"1407947351"</f>
        <v>1407947351</v>
      </c>
      <c r="B692" t="str">
        <f>"02668037"</f>
        <v>02668037</v>
      </c>
      <c r="C692" t="s">
        <v>5270</v>
      </c>
      <c r="D692" t="s">
        <v>5271</v>
      </c>
      <c r="E692" t="s">
        <v>5272</v>
      </c>
      <c r="G692" t="s">
        <v>623</v>
      </c>
      <c r="H692" t="s">
        <v>624</v>
      </c>
      <c r="J692" t="s">
        <v>5273</v>
      </c>
      <c r="L692" t="s">
        <v>138</v>
      </c>
      <c r="M692" t="s">
        <v>108</v>
      </c>
      <c r="R692" t="s">
        <v>5274</v>
      </c>
      <c r="W692" t="s">
        <v>5272</v>
      </c>
      <c r="X692" t="s">
        <v>634</v>
      </c>
      <c r="Y692" t="s">
        <v>293</v>
      </c>
      <c r="Z692" t="s">
        <v>111</v>
      </c>
      <c r="AA692" t="str">
        <f>"14850-1072"</f>
        <v>14850-1072</v>
      </c>
      <c r="AB692" t="s">
        <v>123</v>
      </c>
      <c r="AC692" t="s">
        <v>113</v>
      </c>
      <c r="AD692" t="s">
        <v>108</v>
      </c>
      <c r="AE692" t="s">
        <v>114</v>
      </c>
      <c r="AF692" t="s">
        <v>142</v>
      </c>
      <c r="AG692" t="s">
        <v>116</v>
      </c>
      <c r="AK692" t="str">
        <f t="shared" si="68"/>
        <v/>
      </c>
      <c r="AL692" t="s">
        <v>5271</v>
      </c>
      <c r="AM692">
        <v>1</v>
      </c>
      <c r="AN692">
        <v>1</v>
      </c>
      <c r="AO692">
        <v>0</v>
      </c>
      <c r="AP692">
        <v>0</v>
      </c>
      <c r="AQ692">
        <v>0</v>
      </c>
      <c r="AR692">
        <v>0</v>
      </c>
      <c r="AS692">
        <v>0</v>
      </c>
      <c r="AT692">
        <v>0</v>
      </c>
      <c r="AU692">
        <v>0</v>
      </c>
      <c r="AV692">
        <v>0</v>
      </c>
      <c r="AW692">
        <v>0</v>
      </c>
      <c r="AX692" s="24" t="str">
        <f t="shared" si="73"/>
        <v/>
      </c>
      <c r="AY692" s="24">
        <f t="shared" si="73"/>
        <v>1</v>
      </c>
      <c r="AZ692" s="24" t="str">
        <f t="shared" si="72"/>
        <v/>
      </c>
      <c r="BA692" s="24" t="str">
        <f t="shared" si="72"/>
        <v/>
      </c>
      <c r="BB692" s="24" t="str">
        <f t="shared" si="72"/>
        <v/>
      </c>
      <c r="BC692" s="24" t="str">
        <f t="shared" si="72"/>
        <v/>
      </c>
      <c r="BD692" s="24" t="str">
        <f t="shared" si="72"/>
        <v/>
      </c>
      <c r="BE692" s="24" t="str">
        <f t="shared" si="72"/>
        <v/>
      </c>
      <c r="BF692" s="24" t="str">
        <f t="shared" si="72"/>
        <v/>
      </c>
      <c r="BG692" s="24" t="str">
        <f t="shared" si="72"/>
        <v/>
      </c>
      <c r="BH692" s="24" t="str">
        <f t="shared" si="69"/>
        <v/>
      </c>
      <c r="BI692" s="24">
        <f t="shared" si="72"/>
        <v>1</v>
      </c>
      <c r="BJ692" s="24" t="str">
        <f t="shared" si="71"/>
        <v/>
      </c>
    </row>
    <row r="693" spans="1:62" ht="15" customHeight="1" x14ac:dyDescent="0.25">
      <c r="A693" t="str">
        <f>"1053380220"</f>
        <v>1053380220</v>
      </c>
      <c r="B693" t="str">
        <f>"01503759"</f>
        <v>01503759</v>
      </c>
      <c r="C693" t="s">
        <v>6219</v>
      </c>
      <c r="D693" t="s">
        <v>6220</v>
      </c>
      <c r="E693" t="s">
        <v>6221</v>
      </c>
      <c r="G693" t="s">
        <v>815</v>
      </c>
      <c r="H693" t="s">
        <v>816</v>
      </c>
      <c r="J693" t="s">
        <v>817</v>
      </c>
      <c r="L693" t="s">
        <v>120</v>
      </c>
      <c r="M693" t="s">
        <v>108</v>
      </c>
      <c r="R693" t="s">
        <v>6222</v>
      </c>
      <c r="W693" t="s">
        <v>6221</v>
      </c>
      <c r="Y693" t="s">
        <v>966</v>
      </c>
      <c r="Z693" t="s">
        <v>111</v>
      </c>
      <c r="AA693" t="str">
        <f>"13850-2088"</f>
        <v>13850-2088</v>
      </c>
      <c r="AB693" t="s">
        <v>123</v>
      </c>
      <c r="AC693" t="s">
        <v>113</v>
      </c>
      <c r="AD693" t="s">
        <v>108</v>
      </c>
      <c r="AE693" t="s">
        <v>114</v>
      </c>
      <c r="AF693" t="s">
        <v>115</v>
      </c>
      <c r="AG693" t="s">
        <v>116</v>
      </c>
      <c r="AK693" t="str">
        <f t="shared" si="68"/>
        <v>Jonathan D. Briggs, FNP-BC</v>
      </c>
      <c r="AL693" t="s">
        <v>6220</v>
      </c>
      <c r="AM693" t="s">
        <v>108</v>
      </c>
      <c r="AN693" t="s">
        <v>108</v>
      </c>
      <c r="AO693" t="s">
        <v>108</v>
      </c>
      <c r="AP693" t="s">
        <v>108</v>
      </c>
      <c r="AQ693" t="s">
        <v>108</v>
      </c>
      <c r="AR693" t="s">
        <v>108</v>
      </c>
      <c r="AS693" t="s">
        <v>108</v>
      </c>
      <c r="AT693" t="s">
        <v>108</v>
      </c>
      <c r="AU693">
        <v>0</v>
      </c>
      <c r="AV693" t="s">
        <v>108</v>
      </c>
      <c r="AW693" t="s">
        <v>108</v>
      </c>
      <c r="AX693" s="24">
        <f t="shared" si="73"/>
        <v>1</v>
      </c>
      <c r="AY693" s="24" t="str">
        <f t="shared" si="73"/>
        <v/>
      </c>
      <c r="AZ693" s="24" t="str">
        <f t="shared" si="72"/>
        <v/>
      </c>
      <c r="BA693" s="24" t="str">
        <f t="shared" si="72"/>
        <v/>
      </c>
      <c r="BB693" s="24" t="str">
        <f t="shared" si="72"/>
        <v/>
      </c>
      <c r="BC693" s="24" t="str">
        <f t="shared" si="72"/>
        <v/>
      </c>
      <c r="BD693" s="24" t="str">
        <f t="shared" si="72"/>
        <v/>
      </c>
      <c r="BE693" s="24" t="str">
        <f t="shared" si="72"/>
        <v/>
      </c>
      <c r="BF693" s="24" t="str">
        <f t="shared" si="72"/>
        <v/>
      </c>
      <c r="BG693" s="24" t="str">
        <f t="shared" si="72"/>
        <v/>
      </c>
      <c r="BH693" s="24" t="str">
        <f t="shared" si="69"/>
        <v/>
      </c>
      <c r="BI693" s="24">
        <f t="shared" si="72"/>
        <v>1</v>
      </c>
      <c r="BJ693" s="24" t="str">
        <f t="shared" si="71"/>
        <v/>
      </c>
    </row>
    <row r="694" spans="1:62" ht="15" customHeight="1" x14ac:dyDescent="0.25">
      <c r="A694" t="str">
        <f>"1417902958"</f>
        <v>1417902958</v>
      </c>
      <c r="B694" t="str">
        <f>"01528638"</f>
        <v>01528638</v>
      </c>
      <c r="C694" t="s">
        <v>5258</v>
      </c>
      <c r="D694" t="s">
        <v>5259</v>
      </c>
      <c r="E694" t="s">
        <v>5260</v>
      </c>
      <c r="G694" t="s">
        <v>3437</v>
      </c>
      <c r="H694" t="s">
        <v>3438</v>
      </c>
      <c r="J694" t="s">
        <v>5261</v>
      </c>
      <c r="L694" t="s">
        <v>138</v>
      </c>
      <c r="M694" t="s">
        <v>108</v>
      </c>
      <c r="R694" t="s">
        <v>5262</v>
      </c>
      <c r="W694" t="s">
        <v>5260</v>
      </c>
      <c r="X694" t="s">
        <v>5263</v>
      </c>
      <c r="Y694" t="s">
        <v>293</v>
      </c>
      <c r="Z694" t="s">
        <v>111</v>
      </c>
      <c r="AA694" t="str">
        <f>"14850-1345"</f>
        <v>14850-1345</v>
      </c>
      <c r="AB694" t="s">
        <v>123</v>
      </c>
      <c r="AC694" t="s">
        <v>113</v>
      </c>
      <c r="AD694" t="s">
        <v>108</v>
      </c>
      <c r="AE694" t="s">
        <v>114</v>
      </c>
      <c r="AF694" t="s">
        <v>142</v>
      </c>
      <c r="AG694" t="s">
        <v>116</v>
      </c>
      <c r="AK694" t="str">
        <f t="shared" si="68"/>
        <v/>
      </c>
      <c r="AL694" t="s">
        <v>5259</v>
      </c>
      <c r="AM694">
        <v>1</v>
      </c>
      <c r="AN694">
        <v>1</v>
      </c>
      <c r="AO694">
        <v>0</v>
      </c>
      <c r="AP694">
        <v>0</v>
      </c>
      <c r="AQ694">
        <v>0</v>
      </c>
      <c r="AR694">
        <v>0</v>
      </c>
      <c r="AS694">
        <v>0</v>
      </c>
      <c r="AT694">
        <v>0</v>
      </c>
      <c r="AU694">
        <v>0</v>
      </c>
      <c r="AV694">
        <v>0</v>
      </c>
      <c r="AW694">
        <v>0</v>
      </c>
      <c r="AX694" s="24" t="str">
        <f t="shared" si="73"/>
        <v/>
      </c>
      <c r="AY694" s="24">
        <f t="shared" si="73"/>
        <v>1</v>
      </c>
      <c r="AZ694" s="24" t="str">
        <f t="shared" si="72"/>
        <v/>
      </c>
      <c r="BA694" s="24" t="str">
        <f t="shared" si="72"/>
        <v/>
      </c>
      <c r="BB694" s="24" t="str">
        <f t="shared" si="72"/>
        <v/>
      </c>
      <c r="BC694" s="24" t="str">
        <f t="shared" si="72"/>
        <v/>
      </c>
      <c r="BD694" s="24" t="str">
        <f t="shared" si="72"/>
        <v/>
      </c>
      <c r="BE694" s="24" t="str">
        <f t="shared" si="72"/>
        <v/>
      </c>
      <c r="BF694" s="24" t="str">
        <f t="shared" si="72"/>
        <v/>
      </c>
      <c r="BG694" s="24" t="str">
        <f t="shared" si="72"/>
        <v/>
      </c>
      <c r="BH694" s="24" t="str">
        <f t="shared" si="69"/>
        <v/>
      </c>
      <c r="BI694" s="24">
        <f t="shared" si="72"/>
        <v>1</v>
      </c>
      <c r="BJ694" s="24" t="str">
        <f t="shared" si="71"/>
        <v/>
      </c>
    </row>
    <row r="695" spans="1:62" ht="15" customHeight="1" x14ac:dyDescent="0.25">
      <c r="A695" t="str">
        <f>"1356310106"</f>
        <v>1356310106</v>
      </c>
      <c r="B695" t="str">
        <f>"00793980"</f>
        <v>00793980</v>
      </c>
      <c r="C695" t="s">
        <v>4998</v>
      </c>
      <c r="D695" t="s">
        <v>4999</v>
      </c>
      <c r="E695" t="s">
        <v>4998</v>
      </c>
      <c r="G695" t="s">
        <v>699</v>
      </c>
      <c r="H695" t="s">
        <v>700</v>
      </c>
      <c r="J695" t="s">
        <v>701</v>
      </c>
      <c r="L695" t="s">
        <v>120</v>
      </c>
      <c r="M695" t="s">
        <v>108</v>
      </c>
      <c r="R695" t="s">
        <v>5000</v>
      </c>
      <c r="W695" t="s">
        <v>4998</v>
      </c>
      <c r="X695" t="s">
        <v>180</v>
      </c>
      <c r="Y695" t="s">
        <v>181</v>
      </c>
      <c r="Z695" t="s">
        <v>182</v>
      </c>
      <c r="AA695" t="str">
        <f>"18840"</f>
        <v>18840</v>
      </c>
      <c r="AB695" t="s">
        <v>123</v>
      </c>
      <c r="AC695" t="s">
        <v>113</v>
      </c>
      <c r="AD695" t="s">
        <v>108</v>
      </c>
      <c r="AE695" t="s">
        <v>114</v>
      </c>
      <c r="AF695" t="s">
        <v>115</v>
      </c>
      <c r="AG695" t="s">
        <v>116</v>
      </c>
      <c r="AK695" t="str">
        <f t="shared" si="68"/>
        <v/>
      </c>
      <c r="AL695" t="s">
        <v>4999</v>
      </c>
      <c r="AM695">
        <v>0</v>
      </c>
      <c r="AN695">
        <v>0</v>
      </c>
      <c r="AO695">
        <v>0</v>
      </c>
      <c r="AP695">
        <v>0</v>
      </c>
      <c r="AQ695">
        <v>0</v>
      </c>
      <c r="AR695">
        <v>0</v>
      </c>
      <c r="AS695">
        <v>0</v>
      </c>
      <c r="AT695">
        <v>0</v>
      </c>
      <c r="AU695">
        <v>0</v>
      </c>
      <c r="AV695">
        <v>0</v>
      </c>
      <c r="AW695">
        <v>0</v>
      </c>
      <c r="AX695" s="24">
        <f t="shared" si="73"/>
        <v>1</v>
      </c>
      <c r="AY695" s="24" t="str">
        <f t="shared" si="73"/>
        <v/>
      </c>
      <c r="AZ695" s="24" t="str">
        <f t="shared" si="72"/>
        <v/>
      </c>
      <c r="BA695" s="24" t="str">
        <f t="shared" si="72"/>
        <v/>
      </c>
      <c r="BB695" s="24" t="str">
        <f t="shared" si="72"/>
        <v/>
      </c>
      <c r="BC695" s="24" t="str">
        <f t="shared" si="72"/>
        <v/>
      </c>
      <c r="BD695" s="24" t="str">
        <f t="shared" si="72"/>
        <v/>
      </c>
      <c r="BE695" s="24" t="str">
        <f t="shared" si="72"/>
        <v/>
      </c>
      <c r="BF695" s="24" t="str">
        <f t="shared" si="72"/>
        <v/>
      </c>
      <c r="BG695" s="24" t="str">
        <f t="shared" si="72"/>
        <v/>
      </c>
      <c r="BH695" s="24" t="str">
        <f t="shared" si="69"/>
        <v/>
      </c>
      <c r="BI695" s="24">
        <f t="shared" si="72"/>
        <v>1</v>
      </c>
      <c r="BJ695" s="24" t="str">
        <f t="shared" si="71"/>
        <v/>
      </c>
    </row>
    <row r="696" spans="1:62" ht="15" customHeight="1" x14ac:dyDescent="0.25">
      <c r="A696" t="str">
        <f>"1952558850"</f>
        <v>1952558850</v>
      </c>
      <c r="B696" t="str">
        <f>"03032368"</f>
        <v>03032368</v>
      </c>
      <c r="C696" t="s">
        <v>4558</v>
      </c>
      <c r="D696" t="s">
        <v>4559</v>
      </c>
      <c r="E696" t="s">
        <v>4560</v>
      </c>
      <c r="L696" t="s">
        <v>138</v>
      </c>
      <c r="M696" t="s">
        <v>108</v>
      </c>
      <c r="R696" t="s">
        <v>4558</v>
      </c>
      <c r="W696" t="s">
        <v>4561</v>
      </c>
      <c r="X696" t="s">
        <v>128</v>
      </c>
      <c r="Y696" t="s">
        <v>129</v>
      </c>
      <c r="Z696" t="s">
        <v>111</v>
      </c>
      <c r="AA696" t="str">
        <f>"13790-2544"</f>
        <v>13790-2544</v>
      </c>
      <c r="AB696" t="s">
        <v>123</v>
      </c>
      <c r="AC696" t="s">
        <v>113</v>
      </c>
      <c r="AD696" t="s">
        <v>108</v>
      </c>
      <c r="AE696" t="s">
        <v>114</v>
      </c>
      <c r="AF696" t="s">
        <v>115</v>
      </c>
      <c r="AG696" t="s">
        <v>116</v>
      </c>
      <c r="AK696" t="str">
        <f t="shared" si="68"/>
        <v/>
      </c>
      <c r="AL696" t="s">
        <v>4559</v>
      </c>
      <c r="AM696">
        <v>0</v>
      </c>
      <c r="AN696">
        <v>0</v>
      </c>
      <c r="AO696">
        <v>0</v>
      </c>
      <c r="AP696">
        <v>0</v>
      </c>
      <c r="AQ696">
        <v>0</v>
      </c>
      <c r="AR696">
        <v>0</v>
      </c>
      <c r="AS696">
        <v>0</v>
      </c>
      <c r="AT696">
        <v>0</v>
      </c>
      <c r="AU696">
        <v>0</v>
      </c>
      <c r="AV696">
        <v>0</v>
      </c>
      <c r="AW696">
        <v>0</v>
      </c>
      <c r="AX696" s="24" t="str">
        <f t="shared" si="73"/>
        <v/>
      </c>
      <c r="AY696" s="24">
        <f t="shared" si="73"/>
        <v>1</v>
      </c>
      <c r="AZ696" s="24" t="str">
        <f t="shared" si="72"/>
        <v/>
      </c>
      <c r="BA696" s="24" t="str">
        <f t="shared" si="72"/>
        <v/>
      </c>
      <c r="BB696" s="24" t="str">
        <f t="shared" si="72"/>
        <v/>
      </c>
      <c r="BC696" s="24" t="str">
        <f t="shared" si="72"/>
        <v/>
      </c>
      <c r="BD696" s="24" t="str">
        <f t="shared" si="72"/>
        <v/>
      </c>
      <c r="BE696" s="24" t="str">
        <f t="shared" si="72"/>
        <v/>
      </c>
      <c r="BF696" s="24" t="str">
        <f t="shared" si="72"/>
        <v/>
      </c>
      <c r="BG696" s="24" t="str">
        <f t="shared" si="72"/>
        <v/>
      </c>
      <c r="BH696" s="24" t="str">
        <f t="shared" si="69"/>
        <v/>
      </c>
      <c r="BI696" s="24">
        <f t="shared" si="72"/>
        <v>1</v>
      </c>
      <c r="BJ696" s="24" t="str">
        <f t="shared" si="71"/>
        <v/>
      </c>
    </row>
    <row r="697" spans="1:62" ht="15" customHeight="1" x14ac:dyDescent="0.25">
      <c r="A697" t="str">
        <f>"1659479913"</f>
        <v>1659479913</v>
      </c>
      <c r="B697" t="str">
        <f>"03017269"</f>
        <v>03017269</v>
      </c>
      <c r="C697" t="s">
        <v>1914</v>
      </c>
      <c r="D697" t="s">
        <v>1915</v>
      </c>
      <c r="E697" t="s">
        <v>1914</v>
      </c>
      <c r="L697" t="s">
        <v>138</v>
      </c>
      <c r="M697" t="s">
        <v>108</v>
      </c>
      <c r="R697" t="s">
        <v>1914</v>
      </c>
      <c r="W697" t="s">
        <v>1914</v>
      </c>
      <c r="X697" t="s">
        <v>406</v>
      </c>
      <c r="Y697" t="s">
        <v>129</v>
      </c>
      <c r="Z697" t="s">
        <v>111</v>
      </c>
      <c r="AA697" t="str">
        <f>"13790-2107"</f>
        <v>13790-2107</v>
      </c>
      <c r="AB697" t="s">
        <v>123</v>
      </c>
      <c r="AC697" t="s">
        <v>113</v>
      </c>
      <c r="AD697" t="s">
        <v>108</v>
      </c>
      <c r="AE697" t="s">
        <v>114</v>
      </c>
      <c r="AF697" t="s">
        <v>115</v>
      </c>
      <c r="AG697" t="s">
        <v>116</v>
      </c>
      <c r="AK697" t="str">
        <f t="shared" si="68"/>
        <v/>
      </c>
      <c r="AL697" t="s">
        <v>1915</v>
      </c>
      <c r="AM697">
        <v>0</v>
      </c>
      <c r="AN697">
        <v>0</v>
      </c>
      <c r="AO697">
        <v>0</v>
      </c>
      <c r="AP697">
        <v>0</v>
      </c>
      <c r="AQ697">
        <v>0</v>
      </c>
      <c r="AR697">
        <v>0</v>
      </c>
      <c r="AS697">
        <v>0</v>
      </c>
      <c r="AT697">
        <v>0</v>
      </c>
      <c r="AU697">
        <v>0</v>
      </c>
      <c r="AV697">
        <v>0</v>
      </c>
      <c r="AW697">
        <v>0</v>
      </c>
      <c r="AX697" s="24" t="str">
        <f t="shared" si="73"/>
        <v/>
      </c>
      <c r="AY697" s="24">
        <f t="shared" si="73"/>
        <v>1</v>
      </c>
      <c r="AZ697" s="24" t="str">
        <f t="shared" si="72"/>
        <v/>
      </c>
      <c r="BA697" s="24" t="str">
        <f t="shared" si="72"/>
        <v/>
      </c>
      <c r="BB697" s="24" t="str">
        <f t="shared" si="72"/>
        <v/>
      </c>
      <c r="BC697" s="24" t="str">
        <f t="shared" si="72"/>
        <v/>
      </c>
      <c r="BD697" s="24" t="str">
        <f t="shared" si="72"/>
        <v/>
      </c>
      <c r="BE697" s="24" t="str">
        <f t="shared" si="72"/>
        <v/>
      </c>
      <c r="BF697" s="24" t="str">
        <f t="shared" si="72"/>
        <v/>
      </c>
      <c r="BG697" s="24" t="str">
        <f t="shared" si="72"/>
        <v/>
      </c>
      <c r="BH697" s="24" t="str">
        <f t="shared" si="69"/>
        <v/>
      </c>
      <c r="BI697" s="24">
        <f t="shared" si="72"/>
        <v>1</v>
      </c>
      <c r="BJ697" s="24" t="str">
        <f t="shared" si="71"/>
        <v/>
      </c>
    </row>
    <row r="698" spans="1:62" ht="15" customHeight="1" x14ac:dyDescent="0.25">
      <c r="A698" t="str">
        <f>"1770654576"</f>
        <v>1770654576</v>
      </c>
      <c r="B698" t="str">
        <f>"01272022"</f>
        <v>01272022</v>
      </c>
      <c r="C698" t="s">
        <v>1852</v>
      </c>
      <c r="D698" t="s">
        <v>1853</v>
      </c>
      <c r="E698" t="s">
        <v>1854</v>
      </c>
      <c r="G698" t="s">
        <v>815</v>
      </c>
      <c r="H698" t="s">
        <v>816</v>
      </c>
      <c r="J698" t="s">
        <v>817</v>
      </c>
      <c r="L698" t="s">
        <v>6867</v>
      </c>
      <c r="M698" t="s">
        <v>108</v>
      </c>
      <c r="R698" t="s">
        <v>1852</v>
      </c>
      <c r="W698" t="s">
        <v>1854</v>
      </c>
      <c r="X698" t="s">
        <v>1781</v>
      </c>
      <c r="Y698" t="s">
        <v>110</v>
      </c>
      <c r="Z698" t="s">
        <v>111</v>
      </c>
      <c r="AA698" t="str">
        <f>"13904-1659"</f>
        <v>13904-1659</v>
      </c>
      <c r="AB698" t="s">
        <v>123</v>
      </c>
      <c r="AC698" t="s">
        <v>113</v>
      </c>
      <c r="AD698" t="s">
        <v>108</v>
      </c>
      <c r="AE698" t="s">
        <v>114</v>
      </c>
      <c r="AF698" t="s">
        <v>115</v>
      </c>
      <c r="AG698" t="s">
        <v>116</v>
      </c>
      <c r="AK698" t="str">
        <f t="shared" si="68"/>
        <v/>
      </c>
      <c r="AL698" t="s">
        <v>1853</v>
      </c>
      <c r="AM698">
        <v>1</v>
      </c>
      <c r="AN698">
        <v>1</v>
      </c>
      <c r="AO698">
        <v>0</v>
      </c>
      <c r="AP698">
        <v>1</v>
      </c>
      <c r="AQ698">
        <v>1</v>
      </c>
      <c r="AR698">
        <v>0</v>
      </c>
      <c r="AS698">
        <v>0</v>
      </c>
      <c r="AT698">
        <v>0</v>
      </c>
      <c r="AU698">
        <v>0</v>
      </c>
      <c r="AV698">
        <v>0</v>
      </c>
      <c r="AW698">
        <v>0</v>
      </c>
      <c r="AX698" s="24">
        <f t="shared" si="73"/>
        <v>1</v>
      </c>
      <c r="AY698" s="24">
        <f t="shared" si="73"/>
        <v>1</v>
      </c>
      <c r="AZ698" s="24" t="str">
        <f t="shared" si="72"/>
        <v/>
      </c>
      <c r="BA698" s="24" t="str">
        <f t="shared" si="72"/>
        <v/>
      </c>
      <c r="BB698" s="24" t="str">
        <f t="shared" si="72"/>
        <v/>
      </c>
      <c r="BC698" s="24" t="str">
        <f t="shared" si="72"/>
        <v/>
      </c>
      <c r="BD698" s="24" t="str">
        <f t="shared" si="72"/>
        <v/>
      </c>
      <c r="BE698" s="24" t="str">
        <f t="shared" si="72"/>
        <v/>
      </c>
      <c r="BF698" s="24" t="str">
        <f t="shared" si="72"/>
        <v/>
      </c>
      <c r="BG698" s="24" t="str">
        <f t="shared" si="72"/>
        <v/>
      </c>
      <c r="BH698" s="24" t="str">
        <f t="shared" si="69"/>
        <v/>
      </c>
      <c r="BI698" s="24">
        <f t="shared" si="72"/>
        <v>1</v>
      </c>
      <c r="BJ698" s="24" t="str">
        <f t="shared" si="71"/>
        <v/>
      </c>
    </row>
    <row r="699" spans="1:62" ht="15" customHeight="1" x14ac:dyDescent="0.25">
      <c r="A699" t="str">
        <f>"1215923990"</f>
        <v>1215923990</v>
      </c>
      <c r="B699" t="str">
        <f>"01979708"</f>
        <v>01979708</v>
      </c>
      <c r="C699" t="s">
        <v>226</v>
      </c>
      <c r="D699" t="s">
        <v>227</v>
      </c>
      <c r="E699" t="s">
        <v>228</v>
      </c>
      <c r="G699" t="s">
        <v>229</v>
      </c>
      <c r="H699" t="s">
        <v>230</v>
      </c>
      <c r="J699" t="s">
        <v>231</v>
      </c>
      <c r="L699" t="s">
        <v>138</v>
      </c>
      <c r="M699" t="s">
        <v>108</v>
      </c>
      <c r="R699" t="s">
        <v>232</v>
      </c>
      <c r="W699" t="s">
        <v>228</v>
      </c>
      <c r="X699" t="s">
        <v>233</v>
      </c>
      <c r="Y699" t="s">
        <v>141</v>
      </c>
      <c r="Z699" t="s">
        <v>111</v>
      </c>
      <c r="AA699" t="str">
        <f>"13210"</f>
        <v>13210</v>
      </c>
      <c r="AB699" t="s">
        <v>123</v>
      </c>
      <c r="AC699" t="s">
        <v>113</v>
      </c>
      <c r="AD699" t="s">
        <v>108</v>
      </c>
      <c r="AE699" t="s">
        <v>114</v>
      </c>
      <c r="AF699" t="s">
        <v>142</v>
      </c>
      <c r="AG699" t="s">
        <v>116</v>
      </c>
      <c r="AK699" t="str">
        <f t="shared" si="68"/>
        <v/>
      </c>
      <c r="AL699" t="s">
        <v>227</v>
      </c>
      <c r="AM699">
        <v>1</v>
      </c>
      <c r="AN699">
        <v>1</v>
      </c>
      <c r="AO699">
        <v>0</v>
      </c>
      <c r="AP699">
        <v>0</v>
      </c>
      <c r="AQ699">
        <v>1</v>
      </c>
      <c r="AR699">
        <v>0</v>
      </c>
      <c r="AS699">
        <v>0</v>
      </c>
      <c r="AT699">
        <v>0</v>
      </c>
      <c r="AU699">
        <v>0</v>
      </c>
      <c r="AV699">
        <v>0</v>
      </c>
      <c r="AW699">
        <v>0</v>
      </c>
      <c r="AX699" s="24" t="str">
        <f t="shared" si="73"/>
        <v/>
      </c>
      <c r="AY699" s="24">
        <f t="shared" si="73"/>
        <v>1</v>
      </c>
      <c r="AZ699" s="24" t="str">
        <f t="shared" si="72"/>
        <v/>
      </c>
      <c r="BA699" s="24" t="str">
        <f t="shared" si="72"/>
        <v/>
      </c>
      <c r="BB699" s="24" t="str">
        <f t="shared" si="72"/>
        <v/>
      </c>
      <c r="BC699" s="24" t="str">
        <f t="shared" si="72"/>
        <v/>
      </c>
      <c r="BD699" s="24" t="str">
        <f t="shared" si="72"/>
        <v/>
      </c>
      <c r="BE699" s="24" t="str">
        <f t="shared" si="72"/>
        <v/>
      </c>
      <c r="BF699" s="24" t="str">
        <f t="shared" si="72"/>
        <v/>
      </c>
      <c r="BG699" s="24" t="str">
        <f t="shared" si="72"/>
        <v/>
      </c>
      <c r="BH699" s="24" t="str">
        <f t="shared" si="69"/>
        <v/>
      </c>
      <c r="BI699" s="24">
        <f t="shared" si="72"/>
        <v>1</v>
      </c>
      <c r="BJ699" s="24" t="str">
        <f t="shared" si="71"/>
        <v/>
      </c>
    </row>
    <row r="700" spans="1:62" ht="15" customHeight="1" x14ac:dyDescent="0.25">
      <c r="A700" t="str">
        <f>"1487035739"</f>
        <v>1487035739</v>
      </c>
      <c r="B700" t="str">
        <f>"04181393"</f>
        <v>04181393</v>
      </c>
      <c r="C700" t="s">
        <v>6335</v>
      </c>
      <c r="D700" t="s">
        <v>6336</v>
      </c>
      <c r="E700" t="s">
        <v>6337</v>
      </c>
      <c r="G700" t="s">
        <v>6330</v>
      </c>
      <c r="H700" t="s">
        <v>6331</v>
      </c>
      <c r="J700" t="s">
        <v>6332</v>
      </c>
      <c r="L700" t="s">
        <v>120</v>
      </c>
      <c r="M700" t="s">
        <v>108</v>
      </c>
      <c r="R700" t="s">
        <v>6337</v>
      </c>
      <c r="W700" t="s">
        <v>6338</v>
      </c>
      <c r="X700" t="s">
        <v>121</v>
      </c>
      <c r="Y700" t="s">
        <v>122</v>
      </c>
      <c r="Z700" t="s">
        <v>111</v>
      </c>
      <c r="AA700" t="str">
        <f>"13815-1019"</f>
        <v>13815-1019</v>
      </c>
      <c r="AB700" t="s">
        <v>123</v>
      </c>
      <c r="AC700" t="s">
        <v>113</v>
      </c>
      <c r="AD700" t="s">
        <v>108</v>
      </c>
      <c r="AE700" t="s">
        <v>114</v>
      </c>
      <c r="AF700" t="s">
        <v>124</v>
      </c>
      <c r="AG700" t="s">
        <v>116</v>
      </c>
      <c r="AK700" t="str">
        <f t="shared" si="68"/>
        <v>Jorgensen Mary Lou</v>
      </c>
      <c r="AL700" t="s">
        <v>6336</v>
      </c>
      <c r="AM700" t="s">
        <v>108</v>
      </c>
      <c r="AN700" t="s">
        <v>108</v>
      </c>
      <c r="AO700" t="s">
        <v>108</v>
      </c>
      <c r="AP700" t="s">
        <v>108</v>
      </c>
      <c r="AQ700" t="s">
        <v>108</v>
      </c>
      <c r="AR700" t="s">
        <v>108</v>
      </c>
      <c r="AS700" t="s">
        <v>108</v>
      </c>
      <c r="AT700" t="s">
        <v>108</v>
      </c>
      <c r="AU700">
        <v>0</v>
      </c>
      <c r="AV700" t="s">
        <v>108</v>
      </c>
      <c r="AW700" t="s">
        <v>108</v>
      </c>
      <c r="AX700" s="24">
        <f t="shared" si="73"/>
        <v>1</v>
      </c>
      <c r="AY700" s="24" t="str">
        <f t="shared" si="73"/>
        <v/>
      </c>
      <c r="AZ700" s="24" t="str">
        <f t="shared" si="72"/>
        <v/>
      </c>
      <c r="BA700" s="24" t="str">
        <f t="shared" si="72"/>
        <v/>
      </c>
      <c r="BB700" s="24" t="str">
        <f t="shared" si="72"/>
        <v/>
      </c>
      <c r="BC700" s="24" t="str">
        <f t="shared" si="72"/>
        <v/>
      </c>
      <c r="BD700" s="24" t="str">
        <f t="shared" si="72"/>
        <v/>
      </c>
      <c r="BE700" s="24" t="str">
        <f t="shared" si="72"/>
        <v/>
      </c>
      <c r="BF700" s="24" t="str">
        <f t="shared" si="72"/>
        <v/>
      </c>
      <c r="BG700" s="24" t="str">
        <f t="shared" si="72"/>
        <v/>
      </c>
      <c r="BH700" s="24" t="str">
        <f t="shared" si="69"/>
        <v/>
      </c>
      <c r="BI700" s="24">
        <f t="shared" si="72"/>
        <v>1</v>
      </c>
      <c r="BJ700" s="24" t="str">
        <f t="shared" si="71"/>
        <v/>
      </c>
    </row>
    <row r="701" spans="1:62" ht="15" customHeight="1" x14ac:dyDescent="0.25">
      <c r="A701" t="str">
        <f>"1467657213"</f>
        <v>1467657213</v>
      </c>
      <c r="B701" t="str">
        <f>"03072213"</f>
        <v>03072213</v>
      </c>
      <c r="C701" t="s">
        <v>3638</v>
      </c>
      <c r="D701" t="s">
        <v>3639</v>
      </c>
      <c r="E701" t="s">
        <v>3640</v>
      </c>
      <c r="G701" t="s">
        <v>229</v>
      </c>
      <c r="H701" t="s">
        <v>230</v>
      </c>
      <c r="J701" t="s">
        <v>231</v>
      </c>
      <c r="L701" t="s">
        <v>138</v>
      </c>
      <c r="M701" t="s">
        <v>108</v>
      </c>
      <c r="R701" t="s">
        <v>3641</v>
      </c>
      <c r="W701" t="s">
        <v>3640</v>
      </c>
      <c r="X701" t="s">
        <v>238</v>
      </c>
      <c r="Y701" t="s">
        <v>239</v>
      </c>
      <c r="Z701" t="s">
        <v>111</v>
      </c>
      <c r="AA701" t="str">
        <f>"13045-1206"</f>
        <v>13045-1206</v>
      </c>
      <c r="AB701" t="s">
        <v>123</v>
      </c>
      <c r="AC701" t="s">
        <v>113</v>
      </c>
      <c r="AD701" t="s">
        <v>108</v>
      </c>
      <c r="AE701" t="s">
        <v>114</v>
      </c>
      <c r="AF701" t="s">
        <v>142</v>
      </c>
      <c r="AG701" t="s">
        <v>116</v>
      </c>
      <c r="AK701" t="str">
        <f t="shared" si="68"/>
        <v/>
      </c>
      <c r="AL701" t="s">
        <v>3639</v>
      </c>
      <c r="AM701">
        <v>0</v>
      </c>
      <c r="AN701">
        <v>0</v>
      </c>
      <c r="AO701">
        <v>0</v>
      </c>
      <c r="AP701">
        <v>0</v>
      </c>
      <c r="AQ701">
        <v>0</v>
      </c>
      <c r="AR701">
        <v>0</v>
      </c>
      <c r="AS701">
        <v>0</v>
      </c>
      <c r="AT701">
        <v>0</v>
      </c>
      <c r="AU701">
        <v>0</v>
      </c>
      <c r="AV701">
        <v>0</v>
      </c>
      <c r="AW701">
        <v>0</v>
      </c>
      <c r="AX701" s="24" t="str">
        <f t="shared" si="73"/>
        <v/>
      </c>
      <c r="AY701" s="24">
        <f t="shared" si="73"/>
        <v>1</v>
      </c>
      <c r="AZ701" s="24" t="str">
        <f t="shared" si="72"/>
        <v/>
      </c>
      <c r="BA701" s="24" t="str">
        <f t="shared" si="72"/>
        <v/>
      </c>
      <c r="BB701" s="24" t="str">
        <f t="shared" si="72"/>
        <v/>
      </c>
      <c r="BC701" s="24" t="str">
        <f t="shared" si="72"/>
        <v/>
      </c>
      <c r="BD701" s="24" t="str">
        <f t="shared" si="72"/>
        <v/>
      </c>
      <c r="BE701" s="24" t="str">
        <f t="shared" si="72"/>
        <v/>
      </c>
      <c r="BF701" s="24" t="str">
        <f t="shared" si="72"/>
        <v/>
      </c>
      <c r="BG701" s="24" t="str">
        <f t="shared" si="72"/>
        <v/>
      </c>
      <c r="BH701" s="24" t="str">
        <f t="shared" si="69"/>
        <v/>
      </c>
      <c r="BI701" s="24">
        <f t="shared" si="72"/>
        <v>1</v>
      </c>
      <c r="BJ701" s="24" t="str">
        <f t="shared" si="71"/>
        <v/>
      </c>
    </row>
    <row r="702" spans="1:62" ht="15" customHeight="1" x14ac:dyDescent="0.25">
      <c r="A702" t="str">
        <f>"1528039864"</f>
        <v>1528039864</v>
      </c>
      <c r="B702" t="str">
        <f>"02218046"</f>
        <v>02218046</v>
      </c>
      <c r="C702" t="s">
        <v>2578</v>
      </c>
      <c r="D702" t="s">
        <v>2579</v>
      </c>
      <c r="E702" t="s">
        <v>2580</v>
      </c>
      <c r="G702" t="s">
        <v>2581</v>
      </c>
      <c r="H702" t="s">
        <v>2582</v>
      </c>
      <c r="J702" t="s">
        <v>2583</v>
      </c>
      <c r="L702" t="s">
        <v>6867</v>
      </c>
      <c r="M702" t="s">
        <v>108</v>
      </c>
      <c r="R702" t="s">
        <v>2584</v>
      </c>
      <c r="W702" t="s">
        <v>2580</v>
      </c>
      <c r="X702" t="s">
        <v>1166</v>
      </c>
      <c r="Y702" t="s">
        <v>293</v>
      </c>
      <c r="Z702" t="s">
        <v>111</v>
      </c>
      <c r="AA702" t="str">
        <f>"14850-1397"</f>
        <v>14850-1397</v>
      </c>
      <c r="AB702" t="s">
        <v>123</v>
      </c>
      <c r="AC702" t="s">
        <v>113</v>
      </c>
      <c r="AD702" t="s">
        <v>108</v>
      </c>
      <c r="AE702" t="s">
        <v>114</v>
      </c>
      <c r="AF702" t="s">
        <v>142</v>
      </c>
      <c r="AG702" t="s">
        <v>116</v>
      </c>
      <c r="AK702" t="str">
        <f t="shared" si="68"/>
        <v/>
      </c>
      <c r="AL702" t="s">
        <v>2579</v>
      </c>
      <c r="AM702">
        <v>1</v>
      </c>
      <c r="AN702">
        <v>1</v>
      </c>
      <c r="AO702">
        <v>0</v>
      </c>
      <c r="AP702">
        <v>0</v>
      </c>
      <c r="AQ702">
        <v>0</v>
      </c>
      <c r="AR702">
        <v>0</v>
      </c>
      <c r="AS702">
        <v>0</v>
      </c>
      <c r="AT702">
        <v>0</v>
      </c>
      <c r="AU702">
        <v>0</v>
      </c>
      <c r="AV702">
        <v>0</v>
      </c>
      <c r="AW702">
        <v>0</v>
      </c>
      <c r="AX702" s="24">
        <f t="shared" si="73"/>
        <v>1</v>
      </c>
      <c r="AY702" s="24">
        <f t="shared" si="73"/>
        <v>1</v>
      </c>
      <c r="AZ702" s="24" t="str">
        <f t="shared" si="72"/>
        <v/>
      </c>
      <c r="BA702" s="24" t="str">
        <f t="shared" ref="AZ702:BI727" si="74">IF(ISERROR(FIND(BA$1,$L702,1)),"",1)</f>
        <v/>
      </c>
      <c r="BB702" s="24" t="str">
        <f t="shared" si="74"/>
        <v/>
      </c>
      <c r="BC702" s="24" t="str">
        <f t="shared" si="74"/>
        <v/>
      </c>
      <c r="BD702" s="24" t="str">
        <f t="shared" si="74"/>
        <v/>
      </c>
      <c r="BE702" s="24" t="str">
        <f t="shared" si="74"/>
        <v/>
      </c>
      <c r="BF702" s="24" t="str">
        <f t="shared" si="74"/>
        <v/>
      </c>
      <c r="BG702" s="24" t="str">
        <f t="shared" si="74"/>
        <v/>
      </c>
      <c r="BH702" s="24" t="str">
        <f t="shared" si="69"/>
        <v/>
      </c>
      <c r="BI702" s="24">
        <f t="shared" si="74"/>
        <v>1</v>
      </c>
      <c r="BJ702" s="24" t="str">
        <f t="shared" si="71"/>
        <v/>
      </c>
    </row>
    <row r="703" spans="1:62" ht="15" customHeight="1" x14ac:dyDescent="0.25">
      <c r="A703" t="str">
        <f>"1679543631"</f>
        <v>1679543631</v>
      </c>
      <c r="B703" t="str">
        <f>"00601198"</f>
        <v>00601198</v>
      </c>
      <c r="C703" t="s">
        <v>3375</v>
      </c>
      <c r="D703" t="s">
        <v>3376</v>
      </c>
      <c r="E703" t="s">
        <v>3377</v>
      </c>
      <c r="G703" t="s">
        <v>3096</v>
      </c>
      <c r="H703" t="s">
        <v>3097</v>
      </c>
      <c r="J703" t="s">
        <v>3378</v>
      </c>
      <c r="L703" t="s">
        <v>247</v>
      </c>
      <c r="M703" t="s">
        <v>108</v>
      </c>
      <c r="R703" t="s">
        <v>3379</v>
      </c>
      <c r="W703" t="s">
        <v>3377</v>
      </c>
      <c r="X703" t="s">
        <v>3014</v>
      </c>
      <c r="Y703" t="s">
        <v>1655</v>
      </c>
      <c r="Z703" t="s">
        <v>111</v>
      </c>
      <c r="AA703" t="str">
        <f>"14865-9709"</f>
        <v>14865-9709</v>
      </c>
      <c r="AB703" t="s">
        <v>123</v>
      </c>
      <c r="AC703" t="s">
        <v>113</v>
      </c>
      <c r="AD703" t="s">
        <v>108</v>
      </c>
      <c r="AE703" t="s">
        <v>114</v>
      </c>
      <c r="AF703" t="s">
        <v>142</v>
      </c>
      <c r="AG703" t="s">
        <v>116</v>
      </c>
      <c r="AK703" t="str">
        <f t="shared" si="68"/>
        <v/>
      </c>
      <c r="AL703" t="s">
        <v>3376</v>
      </c>
      <c r="AM703">
        <v>1</v>
      </c>
      <c r="AN703">
        <v>1</v>
      </c>
      <c r="AO703">
        <v>0</v>
      </c>
      <c r="AP703">
        <v>0</v>
      </c>
      <c r="AQ703">
        <v>0</v>
      </c>
      <c r="AR703">
        <v>0</v>
      </c>
      <c r="AS703">
        <v>0</v>
      </c>
      <c r="AT703">
        <v>0</v>
      </c>
      <c r="AU703">
        <v>0</v>
      </c>
      <c r="AV703">
        <v>0</v>
      </c>
      <c r="AW703">
        <v>0</v>
      </c>
      <c r="AX703" s="24" t="str">
        <f t="shared" si="73"/>
        <v/>
      </c>
      <c r="AY703" s="24">
        <f t="shared" si="73"/>
        <v>1</v>
      </c>
      <c r="AZ703" s="24" t="str">
        <f t="shared" si="74"/>
        <v/>
      </c>
      <c r="BA703" s="24" t="str">
        <f t="shared" si="74"/>
        <v/>
      </c>
      <c r="BB703" s="24" t="str">
        <f t="shared" si="74"/>
        <v/>
      </c>
      <c r="BC703" s="24" t="str">
        <f t="shared" si="74"/>
        <v/>
      </c>
      <c r="BD703" s="24" t="str">
        <f t="shared" si="74"/>
        <v/>
      </c>
      <c r="BE703" s="24" t="str">
        <f t="shared" si="74"/>
        <v/>
      </c>
      <c r="BF703" s="24" t="str">
        <f t="shared" si="74"/>
        <v/>
      </c>
      <c r="BG703" s="24" t="str">
        <f t="shared" si="74"/>
        <v/>
      </c>
      <c r="BH703" s="24" t="str">
        <f t="shared" si="69"/>
        <v/>
      </c>
      <c r="BI703" s="24" t="str">
        <f t="shared" si="74"/>
        <v/>
      </c>
      <c r="BJ703" s="24" t="str">
        <f t="shared" si="71"/>
        <v/>
      </c>
    </row>
    <row r="704" spans="1:62" ht="15" customHeight="1" x14ac:dyDescent="0.25">
      <c r="A704" t="str">
        <f>"1477527828"</f>
        <v>1477527828</v>
      </c>
      <c r="B704" t="str">
        <f>"02918849"</f>
        <v>02918849</v>
      </c>
      <c r="C704" t="s">
        <v>3042</v>
      </c>
      <c r="D704" t="s">
        <v>3043</v>
      </c>
      <c r="E704" t="s">
        <v>3044</v>
      </c>
      <c r="G704" t="s">
        <v>3037</v>
      </c>
      <c r="H704" t="s">
        <v>3038</v>
      </c>
      <c r="J704" t="s">
        <v>3045</v>
      </c>
      <c r="L704" t="s">
        <v>247</v>
      </c>
      <c r="M704" t="s">
        <v>108</v>
      </c>
      <c r="R704" t="s">
        <v>3046</v>
      </c>
      <c r="W704" t="s">
        <v>3044</v>
      </c>
      <c r="X704" t="s">
        <v>3041</v>
      </c>
      <c r="Y704" t="s">
        <v>293</v>
      </c>
      <c r="Z704" t="s">
        <v>111</v>
      </c>
      <c r="AA704" t="str">
        <f>"14850-1589"</f>
        <v>14850-1589</v>
      </c>
      <c r="AB704" t="s">
        <v>123</v>
      </c>
      <c r="AC704" t="s">
        <v>113</v>
      </c>
      <c r="AD704" t="s">
        <v>108</v>
      </c>
      <c r="AE704" t="s">
        <v>114</v>
      </c>
      <c r="AF704" t="s">
        <v>142</v>
      </c>
      <c r="AG704" t="s">
        <v>116</v>
      </c>
      <c r="AK704" t="str">
        <f t="shared" si="68"/>
        <v/>
      </c>
      <c r="AL704" t="s">
        <v>3043</v>
      </c>
      <c r="AM704">
        <v>1</v>
      </c>
      <c r="AN704">
        <v>1</v>
      </c>
      <c r="AO704">
        <v>0</v>
      </c>
      <c r="AP704">
        <v>0</v>
      </c>
      <c r="AQ704">
        <v>0</v>
      </c>
      <c r="AR704">
        <v>0</v>
      </c>
      <c r="AS704">
        <v>0</v>
      </c>
      <c r="AT704">
        <v>0</v>
      </c>
      <c r="AU704">
        <v>0</v>
      </c>
      <c r="AV704">
        <v>0</v>
      </c>
      <c r="AW704">
        <v>0</v>
      </c>
      <c r="AX704" s="24" t="str">
        <f t="shared" si="73"/>
        <v/>
      </c>
      <c r="AY704" s="24">
        <f t="shared" si="73"/>
        <v>1</v>
      </c>
      <c r="AZ704" s="24" t="str">
        <f t="shared" si="74"/>
        <v/>
      </c>
      <c r="BA704" s="24" t="str">
        <f t="shared" si="74"/>
        <v/>
      </c>
      <c r="BB704" s="24" t="str">
        <f t="shared" si="74"/>
        <v/>
      </c>
      <c r="BC704" s="24" t="str">
        <f t="shared" si="74"/>
        <v/>
      </c>
      <c r="BD704" s="24" t="str">
        <f t="shared" si="74"/>
        <v/>
      </c>
      <c r="BE704" s="24" t="str">
        <f t="shared" si="74"/>
        <v/>
      </c>
      <c r="BF704" s="24" t="str">
        <f t="shared" si="74"/>
        <v/>
      </c>
      <c r="BG704" s="24" t="str">
        <f t="shared" si="74"/>
        <v/>
      </c>
      <c r="BH704" s="24" t="str">
        <f t="shared" si="69"/>
        <v/>
      </c>
      <c r="BI704" s="24" t="str">
        <f t="shared" si="74"/>
        <v/>
      </c>
      <c r="BJ704" s="24" t="str">
        <f t="shared" si="71"/>
        <v/>
      </c>
    </row>
    <row r="705" spans="1:62" ht="15" customHeight="1" x14ac:dyDescent="0.25">
      <c r="A705" t="str">
        <f>"1326043464"</f>
        <v>1326043464</v>
      </c>
      <c r="B705" t="str">
        <f>"01599146"</f>
        <v>01599146</v>
      </c>
      <c r="C705" t="s">
        <v>5346</v>
      </c>
      <c r="D705" t="s">
        <v>5347</v>
      </c>
      <c r="E705" t="s">
        <v>5348</v>
      </c>
      <c r="G705" t="s">
        <v>2412</v>
      </c>
      <c r="H705" t="s">
        <v>2413</v>
      </c>
      <c r="I705">
        <v>2359</v>
      </c>
      <c r="J705" t="s">
        <v>5349</v>
      </c>
      <c r="L705" t="s">
        <v>120</v>
      </c>
      <c r="M705" t="s">
        <v>108</v>
      </c>
      <c r="R705" t="s">
        <v>5350</v>
      </c>
      <c r="W705" t="s">
        <v>5351</v>
      </c>
      <c r="X705" t="s">
        <v>3783</v>
      </c>
      <c r="Y705" t="s">
        <v>1655</v>
      </c>
      <c r="Z705" t="s">
        <v>111</v>
      </c>
      <c r="AA705" t="str">
        <f>"14865-9648"</f>
        <v>14865-9648</v>
      </c>
      <c r="AB705" t="s">
        <v>123</v>
      </c>
      <c r="AC705" t="s">
        <v>113</v>
      </c>
      <c r="AD705" t="s">
        <v>108</v>
      </c>
      <c r="AE705" t="s">
        <v>114</v>
      </c>
      <c r="AF705" t="s">
        <v>142</v>
      </c>
      <c r="AG705" t="s">
        <v>116</v>
      </c>
      <c r="AK705" t="str">
        <f t="shared" si="68"/>
        <v/>
      </c>
      <c r="AL705" t="s">
        <v>5347</v>
      </c>
      <c r="AM705">
        <v>0</v>
      </c>
      <c r="AN705">
        <v>0</v>
      </c>
      <c r="AO705">
        <v>0</v>
      </c>
      <c r="AP705">
        <v>0</v>
      </c>
      <c r="AQ705">
        <v>0</v>
      </c>
      <c r="AR705">
        <v>0</v>
      </c>
      <c r="AS705">
        <v>0</v>
      </c>
      <c r="AT705">
        <v>0</v>
      </c>
      <c r="AU705">
        <v>0</v>
      </c>
      <c r="AV705">
        <v>0</v>
      </c>
      <c r="AW705">
        <v>0</v>
      </c>
      <c r="AX705" s="24">
        <f t="shared" si="73"/>
        <v>1</v>
      </c>
      <c r="AY705" s="24" t="str">
        <f t="shared" si="73"/>
        <v/>
      </c>
      <c r="AZ705" s="24" t="str">
        <f t="shared" si="74"/>
        <v/>
      </c>
      <c r="BA705" s="24" t="str">
        <f t="shared" si="74"/>
        <v/>
      </c>
      <c r="BB705" s="24" t="str">
        <f t="shared" si="74"/>
        <v/>
      </c>
      <c r="BC705" s="24" t="str">
        <f t="shared" si="74"/>
        <v/>
      </c>
      <c r="BD705" s="24" t="str">
        <f t="shared" si="74"/>
        <v/>
      </c>
      <c r="BE705" s="24" t="str">
        <f t="shared" si="74"/>
        <v/>
      </c>
      <c r="BF705" s="24" t="str">
        <f t="shared" si="74"/>
        <v/>
      </c>
      <c r="BG705" s="24" t="str">
        <f t="shared" si="74"/>
        <v/>
      </c>
      <c r="BH705" s="24" t="str">
        <f t="shared" si="69"/>
        <v/>
      </c>
      <c r="BI705" s="24">
        <f t="shared" si="74"/>
        <v>1</v>
      </c>
      <c r="BJ705" s="24" t="str">
        <f t="shared" si="71"/>
        <v/>
      </c>
    </row>
    <row r="706" spans="1:62" ht="15" customHeight="1" x14ac:dyDescent="0.25">
      <c r="A706" t="str">
        <f>"1336331032"</f>
        <v>1336331032</v>
      </c>
      <c r="B706" t="str">
        <f>"02908978"</f>
        <v>02908978</v>
      </c>
      <c r="C706" t="s">
        <v>5108</v>
      </c>
      <c r="D706" t="s">
        <v>5109</v>
      </c>
      <c r="E706" t="s">
        <v>5110</v>
      </c>
      <c r="L706" t="s">
        <v>138</v>
      </c>
      <c r="M706" t="s">
        <v>108</v>
      </c>
      <c r="R706" t="s">
        <v>5108</v>
      </c>
      <c r="W706" t="s">
        <v>5110</v>
      </c>
      <c r="X706" t="s">
        <v>406</v>
      </c>
      <c r="Y706" t="s">
        <v>129</v>
      </c>
      <c r="Z706" t="s">
        <v>111</v>
      </c>
      <c r="AA706" t="str">
        <f>"13790-2107"</f>
        <v>13790-2107</v>
      </c>
      <c r="AB706" t="s">
        <v>123</v>
      </c>
      <c r="AC706" t="s">
        <v>113</v>
      </c>
      <c r="AD706" t="s">
        <v>108</v>
      </c>
      <c r="AE706" t="s">
        <v>114</v>
      </c>
      <c r="AF706" t="s">
        <v>115</v>
      </c>
      <c r="AG706" t="s">
        <v>116</v>
      </c>
      <c r="AK706" t="str">
        <f t="shared" ref="AK706:AK769" si="75">IF(AM706="No",C706,"")</f>
        <v/>
      </c>
      <c r="AL706" t="s">
        <v>5109</v>
      </c>
      <c r="AM706">
        <v>1</v>
      </c>
      <c r="AN706">
        <v>1</v>
      </c>
      <c r="AO706">
        <v>0</v>
      </c>
      <c r="AP706">
        <v>1</v>
      </c>
      <c r="AQ706">
        <v>1</v>
      </c>
      <c r="AR706">
        <v>0</v>
      </c>
      <c r="AS706">
        <v>0</v>
      </c>
      <c r="AT706">
        <v>0</v>
      </c>
      <c r="AU706">
        <v>0</v>
      </c>
      <c r="AV706">
        <v>0</v>
      </c>
      <c r="AW706">
        <v>0</v>
      </c>
      <c r="AX706" s="24" t="str">
        <f t="shared" si="73"/>
        <v/>
      </c>
      <c r="AY706" s="24">
        <f t="shared" si="73"/>
        <v>1</v>
      </c>
      <c r="AZ706" s="24" t="str">
        <f t="shared" si="74"/>
        <v/>
      </c>
      <c r="BA706" s="24" t="str">
        <f t="shared" si="74"/>
        <v/>
      </c>
      <c r="BB706" s="24" t="str">
        <f t="shared" si="74"/>
        <v/>
      </c>
      <c r="BC706" s="24" t="str">
        <f t="shared" si="74"/>
        <v/>
      </c>
      <c r="BD706" s="24" t="str">
        <f t="shared" si="74"/>
        <v/>
      </c>
      <c r="BE706" s="24" t="str">
        <f t="shared" si="74"/>
        <v/>
      </c>
      <c r="BF706" s="24" t="str">
        <f t="shared" si="74"/>
        <v/>
      </c>
      <c r="BG706" s="24" t="str">
        <f t="shared" si="74"/>
        <v/>
      </c>
      <c r="BH706" s="24" t="str">
        <f t="shared" si="69"/>
        <v/>
      </c>
      <c r="BI706" s="24">
        <f t="shared" si="74"/>
        <v>1</v>
      </c>
      <c r="BJ706" s="24" t="str">
        <f t="shared" si="71"/>
        <v/>
      </c>
    </row>
    <row r="707" spans="1:62" ht="15" customHeight="1" x14ac:dyDescent="0.25">
      <c r="A707" t="str">
        <f>"1720047996"</f>
        <v>1720047996</v>
      </c>
      <c r="B707" t="str">
        <f>"02137319"</f>
        <v>02137319</v>
      </c>
      <c r="C707" t="s">
        <v>3224</v>
      </c>
      <c r="D707" t="s">
        <v>3225</v>
      </c>
      <c r="E707" t="s">
        <v>3226</v>
      </c>
      <c r="G707" t="s">
        <v>3207</v>
      </c>
      <c r="H707" t="s">
        <v>3208</v>
      </c>
      <c r="J707" t="s">
        <v>3227</v>
      </c>
      <c r="L707" t="s">
        <v>138</v>
      </c>
      <c r="M707" t="s">
        <v>108</v>
      </c>
      <c r="R707" t="s">
        <v>3228</v>
      </c>
      <c r="W707" t="s">
        <v>3226</v>
      </c>
      <c r="X707" t="s">
        <v>3229</v>
      </c>
      <c r="Y707" t="s">
        <v>649</v>
      </c>
      <c r="Z707" t="s">
        <v>111</v>
      </c>
      <c r="AA707" t="str">
        <f>"13346-1227"</f>
        <v>13346-1227</v>
      </c>
      <c r="AB707" t="s">
        <v>123</v>
      </c>
      <c r="AC707" t="s">
        <v>113</v>
      </c>
      <c r="AD707" t="s">
        <v>108</v>
      </c>
      <c r="AE707" t="s">
        <v>114</v>
      </c>
      <c r="AF707" t="s">
        <v>124</v>
      </c>
      <c r="AG707" t="s">
        <v>116</v>
      </c>
      <c r="AK707" t="str">
        <f t="shared" si="75"/>
        <v/>
      </c>
      <c r="AL707" t="s">
        <v>3225</v>
      </c>
      <c r="AM707">
        <v>1</v>
      </c>
      <c r="AN707">
        <v>1</v>
      </c>
      <c r="AO707">
        <v>0</v>
      </c>
      <c r="AP707">
        <v>0</v>
      </c>
      <c r="AQ707">
        <v>0</v>
      </c>
      <c r="AR707">
        <v>0</v>
      </c>
      <c r="AS707">
        <v>0</v>
      </c>
      <c r="AT707">
        <v>0</v>
      </c>
      <c r="AU707">
        <v>0</v>
      </c>
      <c r="AV707">
        <v>0</v>
      </c>
      <c r="AW707">
        <v>0</v>
      </c>
      <c r="AX707" s="24" t="str">
        <f t="shared" si="73"/>
        <v/>
      </c>
      <c r="AY707" s="24">
        <f t="shared" si="73"/>
        <v>1</v>
      </c>
      <c r="AZ707" s="24" t="str">
        <f t="shared" si="74"/>
        <v/>
      </c>
      <c r="BA707" s="24" t="str">
        <f t="shared" si="74"/>
        <v/>
      </c>
      <c r="BB707" s="24" t="str">
        <f t="shared" si="74"/>
        <v/>
      </c>
      <c r="BC707" s="24" t="str">
        <f t="shared" si="74"/>
        <v/>
      </c>
      <c r="BD707" s="24" t="str">
        <f t="shared" si="74"/>
        <v/>
      </c>
      <c r="BE707" s="24" t="str">
        <f t="shared" si="74"/>
        <v/>
      </c>
      <c r="BF707" s="24" t="str">
        <f t="shared" si="74"/>
        <v/>
      </c>
      <c r="BG707" s="24" t="str">
        <f t="shared" si="74"/>
        <v/>
      </c>
      <c r="BH707" s="24" t="str">
        <f t="shared" ref="BH707:BH770" si="76">IF(ISERROR(FIND("CBO",$L707,1)),"",1)</f>
        <v/>
      </c>
      <c r="BI707" s="24">
        <f t="shared" si="74"/>
        <v>1</v>
      </c>
      <c r="BJ707" s="24" t="str">
        <f t="shared" si="71"/>
        <v/>
      </c>
    </row>
    <row r="708" spans="1:62" ht="15" customHeight="1" x14ac:dyDescent="0.25">
      <c r="A708" t="str">
        <f>"1679609317"</f>
        <v>1679609317</v>
      </c>
      <c r="B708" t="str">
        <f>"03131940"</f>
        <v>03131940</v>
      </c>
      <c r="C708" t="s">
        <v>552</v>
      </c>
      <c r="D708" t="s">
        <v>553</v>
      </c>
      <c r="E708" t="s">
        <v>554</v>
      </c>
      <c r="G708" t="s">
        <v>555</v>
      </c>
      <c r="H708" t="s">
        <v>556</v>
      </c>
      <c r="J708" t="s">
        <v>557</v>
      </c>
      <c r="L708" t="s">
        <v>138</v>
      </c>
      <c r="M708" t="s">
        <v>108</v>
      </c>
      <c r="R708" t="s">
        <v>558</v>
      </c>
      <c r="W708" t="s">
        <v>554</v>
      </c>
      <c r="X708" t="s">
        <v>559</v>
      </c>
      <c r="Y708" t="s">
        <v>141</v>
      </c>
      <c r="Z708" t="s">
        <v>111</v>
      </c>
      <c r="AA708" t="str">
        <f>"13202-2240"</f>
        <v>13202-2240</v>
      </c>
      <c r="AB708" t="s">
        <v>123</v>
      </c>
      <c r="AC708" t="s">
        <v>113</v>
      </c>
      <c r="AD708" t="s">
        <v>108</v>
      </c>
      <c r="AE708" t="s">
        <v>114</v>
      </c>
      <c r="AF708" t="s">
        <v>142</v>
      </c>
      <c r="AG708" t="s">
        <v>116</v>
      </c>
      <c r="AK708" t="str">
        <f t="shared" si="75"/>
        <v/>
      </c>
      <c r="AL708" t="s">
        <v>553</v>
      </c>
      <c r="AM708">
        <v>1</v>
      </c>
      <c r="AN708">
        <v>1</v>
      </c>
      <c r="AO708">
        <v>0</v>
      </c>
      <c r="AP708">
        <v>0</v>
      </c>
      <c r="AQ708">
        <v>0</v>
      </c>
      <c r="AR708">
        <v>0</v>
      </c>
      <c r="AS708">
        <v>0</v>
      </c>
      <c r="AT708">
        <v>0</v>
      </c>
      <c r="AU708">
        <v>0</v>
      </c>
      <c r="AV708">
        <v>0</v>
      </c>
      <c r="AW708">
        <v>0</v>
      </c>
      <c r="AX708" s="24" t="str">
        <f t="shared" si="73"/>
        <v/>
      </c>
      <c r="AY708" s="24">
        <f t="shared" si="73"/>
        <v>1</v>
      </c>
      <c r="AZ708" s="24" t="str">
        <f t="shared" si="74"/>
        <v/>
      </c>
      <c r="BA708" s="24" t="str">
        <f t="shared" si="74"/>
        <v/>
      </c>
      <c r="BB708" s="24" t="str">
        <f t="shared" si="74"/>
        <v/>
      </c>
      <c r="BC708" s="24" t="str">
        <f t="shared" si="74"/>
        <v/>
      </c>
      <c r="BD708" s="24" t="str">
        <f t="shared" si="74"/>
        <v/>
      </c>
      <c r="BE708" s="24" t="str">
        <f t="shared" si="74"/>
        <v/>
      </c>
      <c r="BF708" s="24" t="str">
        <f t="shared" si="74"/>
        <v/>
      </c>
      <c r="BG708" s="24" t="str">
        <f t="shared" si="74"/>
        <v/>
      </c>
      <c r="BH708" s="24" t="str">
        <f t="shared" si="76"/>
        <v/>
      </c>
      <c r="BI708" s="24">
        <f t="shared" si="74"/>
        <v>1</v>
      </c>
      <c r="BJ708" s="24" t="str">
        <f t="shared" si="71"/>
        <v/>
      </c>
    </row>
    <row r="709" spans="1:62" ht="15" customHeight="1" x14ac:dyDescent="0.25">
      <c r="A709" t="str">
        <f>"1790098655"</f>
        <v>1790098655</v>
      </c>
      <c r="B709" t="str">
        <f>"03619610"</f>
        <v>03619610</v>
      </c>
      <c r="C709" t="s">
        <v>2923</v>
      </c>
      <c r="D709" t="s">
        <v>2924</v>
      </c>
      <c r="E709" t="s">
        <v>2925</v>
      </c>
      <c r="G709" t="s">
        <v>177</v>
      </c>
      <c r="H709" t="s">
        <v>178</v>
      </c>
      <c r="J709" t="s">
        <v>179</v>
      </c>
      <c r="L709" t="s">
        <v>138</v>
      </c>
      <c r="M709" t="s">
        <v>108</v>
      </c>
      <c r="R709" t="s">
        <v>2923</v>
      </c>
      <c r="W709" t="s">
        <v>2925</v>
      </c>
      <c r="X709" t="s">
        <v>196</v>
      </c>
      <c r="Y709" t="s">
        <v>181</v>
      </c>
      <c r="Z709" t="s">
        <v>182</v>
      </c>
      <c r="AA709" t="str">
        <f>"18840-1625"</f>
        <v>18840-1625</v>
      </c>
      <c r="AB709" t="s">
        <v>123</v>
      </c>
      <c r="AC709" t="s">
        <v>113</v>
      </c>
      <c r="AD709" t="s">
        <v>108</v>
      </c>
      <c r="AE709" t="s">
        <v>114</v>
      </c>
      <c r="AF709" t="s">
        <v>115</v>
      </c>
      <c r="AG709" t="s">
        <v>116</v>
      </c>
      <c r="AK709" t="str">
        <f t="shared" si="75"/>
        <v/>
      </c>
      <c r="AL709" t="s">
        <v>2924</v>
      </c>
      <c r="AM709">
        <v>0</v>
      </c>
      <c r="AN709">
        <v>0</v>
      </c>
      <c r="AO709">
        <v>0</v>
      </c>
      <c r="AP709">
        <v>0</v>
      </c>
      <c r="AQ709">
        <v>0</v>
      </c>
      <c r="AR709">
        <v>0</v>
      </c>
      <c r="AS709">
        <v>0</v>
      </c>
      <c r="AT709">
        <v>0</v>
      </c>
      <c r="AU709">
        <v>0</v>
      </c>
      <c r="AV709">
        <v>0</v>
      </c>
      <c r="AW709">
        <v>0</v>
      </c>
      <c r="AX709" s="24" t="str">
        <f t="shared" si="73"/>
        <v/>
      </c>
      <c r="AY709" s="24">
        <f t="shared" si="73"/>
        <v>1</v>
      </c>
      <c r="AZ709" s="24" t="str">
        <f t="shared" si="74"/>
        <v/>
      </c>
      <c r="BA709" s="24" t="str">
        <f t="shared" si="74"/>
        <v/>
      </c>
      <c r="BB709" s="24" t="str">
        <f t="shared" si="74"/>
        <v/>
      </c>
      <c r="BC709" s="24" t="str">
        <f t="shared" si="74"/>
        <v/>
      </c>
      <c r="BD709" s="24" t="str">
        <f t="shared" si="74"/>
        <v/>
      </c>
      <c r="BE709" s="24" t="str">
        <f t="shared" si="74"/>
        <v/>
      </c>
      <c r="BF709" s="24" t="str">
        <f t="shared" si="74"/>
        <v/>
      </c>
      <c r="BG709" s="24" t="str">
        <f t="shared" si="74"/>
        <v/>
      </c>
      <c r="BH709" s="24" t="str">
        <f t="shared" si="76"/>
        <v/>
      </c>
      <c r="BI709" s="24">
        <f t="shared" si="74"/>
        <v>1</v>
      </c>
      <c r="BJ709" s="24" t="str">
        <f t="shared" si="71"/>
        <v/>
      </c>
    </row>
    <row r="710" spans="1:62" ht="15" customHeight="1" x14ac:dyDescent="0.25">
      <c r="A710" t="str">
        <f>"1265503064"</f>
        <v>1265503064</v>
      </c>
      <c r="B710" t="str">
        <f>"01965824"</f>
        <v>01965824</v>
      </c>
      <c r="C710" t="s">
        <v>6789</v>
      </c>
      <c r="D710" t="s">
        <v>7064</v>
      </c>
      <c r="E710" t="s">
        <v>6924</v>
      </c>
      <c r="G710" t="s">
        <v>815</v>
      </c>
      <c r="H710" t="s">
        <v>816</v>
      </c>
      <c r="J710" t="s">
        <v>817</v>
      </c>
      <c r="L710" t="s">
        <v>138</v>
      </c>
      <c r="M710" t="s">
        <v>139</v>
      </c>
      <c r="R710" t="s">
        <v>6789</v>
      </c>
      <c r="W710" t="s">
        <v>6924</v>
      </c>
      <c r="X710" t="s">
        <v>1781</v>
      </c>
      <c r="Y710" t="s">
        <v>110</v>
      </c>
      <c r="Z710" t="s">
        <v>111</v>
      </c>
      <c r="AA710" t="str">
        <f>"13904-1659"</f>
        <v>13904-1659</v>
      </c>
      <c r="AB710" t="s">
        <v>123</v>
      </c>
      <c r="AC710" t="s">
        <v>113</v>
      </c>
      <c r="AD710" t="s">
        <v>108</v>
      </c>
      <c r="AE710" t="s">
        <v>114</v>
      </c>
      <c r="AF710" t="s">
        <v>115</v>
      </c>
      <c r="AG710" t="s">
        <v>116</v>
      </c>
      <c r="AK710" t="str">
        <f t="shared" si="75"/>
        <v>JOWETT LINDA MRS.</v>
      </c>
      <c r="AL710" t="s">
        <v>7064</v>
      </c>
      <c r="AM710" t="s">
        <v>108</v>
      </c>
      <c r="AN710" t="s">
        <v>108</v>
      </c>
      <c r="AO710" t="s">
        <v>108</v>
      </c>
      <c r="AP710" t="s">
        <v>108</v>
      </c>
      <c r="AQ710" t="s">
        <v>108</v>
      </c>
      <c r="AR710" t="s">
        <v>108</v>
      </c>
      <c r="AS710" t="s">
        <v>108</v>
      </c>
      <c r="AT710" t="s">
        <v>108</v>
      </c>
      <c r="AU710">
        <v>0</v>
      </c>
      <c r="AV710" t="s">
        <v>108</v>
      </c>
      <c r="AW710" t="s">
        <v>108</v>
      </c>
      <c r="AX710" s="24" t="str">
        <f t="shared" si="73"/>
        <v/>
      </c>
      <c r="AY710" s="24">
        <f t="shared" si="73"/>
        <v>1</v>
      </c>
      <c r="AZ710" s="24" t="str">
        <f t="shared" si="74"/>
        <v/>
      </c>
      <c r="BA710" s="24" t="str">
        <f t="shared" si="74"/>
        <v/>
      </c>
      <c r="BB710" s="24" t="str">
        <f t="shared" si="74"/>
        <v/>
      </c>
      <c r="BC710" s="24" t="str">
        <f t="shared" si="74"/>
        <v/>
      </c>
      <c r="BD710" s="24" t="str">
        <f t="shared" si="74"/>
        <v/>
      </c>
      <c r="BE710" s="24" t="str">
        <f t="shared" si="74"/>
        <v/>
      </c>
      <c r="BF710" s="24" t="str">
        <f t="shared" si="74"/>
        <v/>
      </c>
      <c r="BG710" s="24" t="str">
        <f t="shared" si="74"/>
        <v/>
      </c>
      <c r="BH710" s="24" t="str">
        <f t="shared" si="76"/>
        <v/>
      </c>
      <c r="BI710" s="24">
        <f t="shared" si="74"/>
        <v>1</v>
      </c>
      <c r="BJ710" s="24" t="str">
        <f t="shared" si="71"/>
        <v/>
      </c>
    </row>
    <row r="711" spans="1:62" ht="15" customHeight="1" x14ac:dyDescent="0.25">
      <c r="A711" t="str">
        <f>"1255300208"</f>
        <v>1255300208</v>
      </c>
      <c r="B711" t="str">
        <f>"01574116"</f>
        <v>01574116</v>
      </c>
      <c r="C711" t="s">
        <v>190</v>
      </c>
      <c r="D711" t="s">
        <v>191</v>
      </c>
      <c r="E711" t="s">
        <v>192</v>
      </c>
      <c r="G711" t="s">
        <v>177</v>
      </c>
      <c r="H711" t="s">
        <v>178</v>
      </c>
      <c r="J711" t="s">
        <v>179</v>
      </c>
      <c r="L711" t="s">
        <v>138</v>
      </c>
      <c r="M711" t="s">
        <v>108</v>
      </c>
      <c r="R711" t="s">
        <v>190</v>
      </c>
      <c r="W711" t="s">
        <v>192</v>
      </c>
      <c r="X711" t="s">
        <v>186</v>
      </c>
      <c r="Y711" t="s">
        <v>181</v>
      </c>
      <c r="Z711" t="s">
        <v>182</v>
      </c>
      <c r="AA711" t="str">
        <f>"18840-1625"</f>
        <v>18840-1625</v>
      </c>
      <c r="AB711" t="s">
        <v>123</v>
      </c>
      <c r="AC711" t="s">
        <v>113</v>
      </c>
      <c r="AD711" t="s">
        <v>108</v>
      </c>
      <c r="AE711" t="s">
        <v>114</v>
      </c>
      <c r="AF711" t="s">
        <v>115</v>
      </c>
      <c r="AG711" t="s">
        <v>116</v>
      </c>
      <c r="AK711" t="str">
        <f t="shared" si="75"/>
        <v/>
      </c>
      <c r="AL711" t="s">
        <v>191</v>
      </c>
      <c r="AM711">
        <v>1</v>
      </c>
      <c r="AN711">
        <v>1</v>
      </c>
      <c r="AO711">
        <v>0</v>
      </c>
      <c r="AP711">
        <v>0</v>
      </c>
      <c r="AQ711">
        <v>0</v>
      </c>
      <c r="AR711">
        <v>0</v>
      </c>
      <c r="AS711">
        <v>0</v>
      </c>
      <c r="AT711">
        <v>0</v>
      </c>
      <c r="AU711">
        <v>0</v>
      </c>
      <c r="AV711">
        <v>1</v>
      </c>
      <c r="AW711">
        <v>0</v>
      </c>
      <c r="AX711" s="24" t="str">
        <f t="shared" si="73"/>
        <v/>
      </c>
      <c r="AY711" s="24">
        <f t="shared" si="73"/>
        <v>1</v>
      </c>
      <c r="AZ711" s="24" t="str">
        <f t="shared" si="74"/>
        <v/>
      </c>
      <c r="BA711" s="24" t="str">
        <f t="shared" si="74"/>
        <v/>
      </c>
      <c r="BB711" s="24" t="str">
        <f t="shared" si="74"/>
        <v/>
      </c>
      <c r="BC711" s="24" t="str">
        <f t="shared" si="74"/>
        <v/>
      </c>
      <c r="BD711" s="24" t="str">
        <f t="shared" si="74"/>
        <v/>
      </c>
      <c r="BE711" s="24" t="str">
        <f t="shared" si="74"/>
        <v/>
      </c>
      <c r="BF711" s="24" t="str">
        <f t="shared" si="74"/>
        <v/>
      </c>
      <c r="BG711" s="24" t="str">
        <f t="shared" si="74"/>
        <v/>
      </c>
      <c r="BH711" s="24" t="str">
        <f t="shared" si="76"/>
        <v/>
      </c>
      <c r="BI711" s="24">
        <f t="shared" si="74"/>
        <v>1</v>
      </c>
      <c r="BJ711" s="24" t="str">
        <f t="shared" si="71"/>
        <v/>
      </c>
    </row>
    <row r="712" spans="1:62" ht="15" customHeight="1" x14ac:dyDescent="0.25">
      <c r="A712" t="str">
        <f>"1629038211"</f>
        <v>1629038211</v>
      </c>
      <c r="B712" t="str">
        <f>"00899454"</f>
        <v>00899454</v>
      </c>
      <c r="C712" t="s">
        <v>5909</v>
      </c>
      <c r="D712" t="s">
        <v>5910</v>
      </c>
      <c r="E712" t="s">
        <v>5911</v>
      </c>
      <c r="G712" t="s">
        <v>815</v>
      </c>
      <c r="H712" t="s">
        <v>816</v>
      </c>
      <c r="J712" t="s">
        <v>817</v>
      </c>
      <c r="L712" t="s">
        <v>247</v>
      </c>
      <c r="M712" t="s">
        <v>108</v>
      </c>
      <c r="R712" t="s">
        <v>5912</v>
      </c>
      <c r="W712" t="s">
        <v>5913</v>
      </c>
      <c r="X712" t="s">
        <v>5899</v>
      </c>
      <c r="Y712" t="s">
        <v>110</v>
      </c>
      <c r="Z712" t="s">
        <v>111</v>
      </c>
      <c r="AA712" t="str">
        <f>"13905-4178"</f>
        <v>13905-4178</v>
      </c>
      <c r="AB712" t="s">
        <v>123</v>
      </c>
      <c r="AC712" t="s">
        <v>113</v>
      </c>
      <c r="AD712" t="s">
        <v>108</v>
      </c>
      <c r="AE712" t="s">
        <v>114</v>
      </c>
      <c r="AF712" t="s">
        <v>115</v>
      </c>
      <c r="AG712" t="s">
        <v>116</v>
      </c>
      <c r="AK712" t="str">
        <f t="shared" si="75"/>
        <v>Joyleen Earle, MD</v>
      </c>
      <c r="AL712" t="s">
        <v>5910</v>
      </c>
      <c r="AM712" t="s">
        <v>108</v>
      </c>
      <c r="AN712" t="s">
        <v>108</v>
      </c>
      <c r="AO712" t="s">
        <v>108</v>
      </c>
      <c r="AP712" t="s">
        <v>108</v>
      </c>
      <c r="AQ712" t="s">
        <v>108</v>
      </c>
      <c r="AR712" t="s">
        <v>108</v>
      </c>
      <c r="AS712" t="s">
        <v>108</v>
      </c>
      <c r="AT712" t="s">
        <v>108</v>
      </c>
      <c r="AU712">
        <v>0</v>
      </c>
      <c r="AV712" t="s">
        <v>108</v>
      </c>
      <c r="AW712" t="s">
        <v>108</v>
      </c>
      <c r="AX712" s="24" t="str">
        <f t="shared" si="73"/>
        <v/>
      </c>
      <c r="AY712" s="24">
        <f t="shared" si="73"/>
        <v>1</v>
      </c>
      <c r="AZ712" s="24" t="str">
        <f t="shared" si="74"/>
        <v/>
      </c>
      <c r="BA712" s="24" t="str">
        <f t="shared" si="74"/>
        <v/>
      </c>
      <c r="BB712" s="24" t="str">
        <f t="shared" si="74"/>
        <v/>
      </c>
      <c r="BC712" s="24" t="str">
        <f t="shared" si="74"/>
        <v/>
      </c>
      <c r="BD712" s="24" t="str">
        <f t="shared" si="74"/>
        <v/>
      </c>
      <c r="BE712" s="24" t="str">
        <f t="shared" si="74"/>
        <v/>
      </c>
      <c r="BF712" s="24" t="str">
        <f t="shared" si="74"/>
        <v/>
      </c>
      <c r="BG712" s="24" t="str">
        <f t="shared" si="74"/>
        <v/>
      </c>
      <c r="BH712" s="24" t="str">
        <f t="shared" si="76"/>
        <v/>
      </c>
      <c r="BI712" s="24" t="str">
        <f t="shared" si="74"/>
        <v/>
      </c>
      <c r="BJ712" s="24" t="str">
        <f t="shared" si="71"/>
        <v/>
      </c>
    </row>
    <row r="713" spans="1:62" ht="15" customHeight="1" x14ac:dyDescent="0.25">
      <c r="A713" t="str">
        <f>"1114959038"</f>
        <v>1114959038</v>
      </c>
      <c r="B713" t="str">
        <f>"02858157"</f>
        <v>02858157</v>
      </c>
      <c r="C713" t="s">
        <v>3684</v>
      </c>
      <c r="D713" t="s">
        <v>3685</v>
      </c>
      <c r="E713" t="s">
        <v>3686</v>
      </c>
      <c r="G713" t="s">
        <v>3684</v>
      </c>
      <c r="H713" t="s">
        <v>3687</v>
      </c>
      <c r="J713" t="s">
        <v>3688</v>
      </c>
      <c r="L713" t="s">
        <v>138</v>
      </c>
      <c r="M713" t="s">
        <v>108</v>
      </c>
      <c r="R713" t="s">
        <v>3689</v>
      </c>
      <c r="W713" t="s">
        <v>3686</v>
      </c>
      <c r="X713" t="s">
        <v>3690</v>
      </c>
      <c r="Y713" t="s">
        <v>281</v>
      </c>
      <c r="Z713" t="s">
        <v>111</v>
      </c>
      <c r="AA713" t="str">
        <f>"13827-1635"</f>
        <v>13827-1635</v>
      </c>
      <c r="AB713" t="s">
        <v>123</v>
      </c>
      <c r="AC713" t="s">
        <v>113</v>
      </c>
      <c r="AD713" t="s">
        <v>108</v>
      </c>
      <c r="AE713" t="s">
        <v>114</v>
      </c>
      <c r="AF713" t="s">
        <v>115</v>
      </c>
      <c r="AG713" t="s">
        <v>116</v>
      </c>
      <c r="AK713" t="str">
        <f t="shared" si="75"/>
        <v/>
      </c>
      <c r="AL713" t="s">
        <v>3685</v>
      </c>
      <c r="AM713">
        <v>1</v>
      </c>
      <c r="AN713">
        <v>1</v>
      </c>
      <c r="AO713">
        <v>0</v>
      </c>
      <c r="AP713">
        <v>1</v>
      </c>
      <c r="AQ713">
        <v>1</v>
      </c>
      <c r="AR713">
        <v>0</v>
      </c>
      <c r="AS713">
        <v>0</v>
      </c>
      <c r="AT713">
        <v>0</v>
      </c>
      <c r="AU713">
        <v>1</v>
      </c>
      <c r="AV713">
        <v>0</v>
      </c>
      <c r="AW713">
        <v>0</v>
      </c>
      <c r="AX713" s="24" t="str">
        <f t="shared" si="73"/>
        <v/>
      </c>
      <c r="AY713" s="24">
        <f t="shared" si="73"/>
        <v>1</v>
      </c>
      <c r="AZ713" s="24" t="str">
        <f t="shared" si="74"/>
        <v/>
      </c>
      <c r="BA713" s="24" t="str">
        <f t="shared" si="74"/>
        <v/>
      </c>
      <c r="BB713" s="24" t="str">
        <f t="shared" si="74"/>
        <v/>
      </c>
      <c r="BC713" s="24" t="str">
        <f t="shared" si="74"/>
        <v/>
      </c>
      <c r="BD713" s="24" t="str">
        <f t="shared" si="74"/>
        <v/>
      </c>
      <c r="BE713" s="24" t="str">
        <f t="shared" si="74"/>
        <v/>
      </c>
      <c r="BF713" s="24" t="str">
        <f t="shared" si="74"/>
        <v/>
      </c>
      <c r="BG713" s="24" t="str">
        <f t="shared" si="74"/>
        <v/>
      </c>
      <c r="BH713" s="24" t="str">
        <f t="shared" si="76"/>
        <v/>
      </c>
      <c r="BI713" s="24">
        <f t="shared" si="74"/>
        <v>1</v>
      </c>
      <c r="BJ713" s="24" t="str">
        <f t="shared" si="71"/>
        <v/>
      </c>
    </row>
    <row r="714" spans="1:62" ht="15" customHeight="1" x14ac:dyDescent="0.25">
      <c r="A714" t="str">
        <f>"1164628988"</f>
        <v>1164628988</v>
      </c>
      <c r="B714" t="str">
        <f>"03365313"</f>
        <v>03365313</v>
      </c>
      <c r="C714" t="s">
        <v>4207</v>
      </c>
      <c r="D714" t="s">
        <v>4208</v>
      </c>
      <c r="E714" t="s">
        <v>4209</v>
      </c>
      <c r="G714" t="s">
        <v>4202</v>
      </c>
      <c r="H714" t="s">
        <v>4203</v>
      </c>
      <c r="J714" t="s">
        <v>4210</v>
      </c>
      <c r="L714" t="s">
        <v>138</v>
      </c>
      <c r="M714" t="s">
        <v>108</v>
      </c>
      <c r="R714" t="s">
        <v>4209</v>
      </c>
      <c r="W714" t="s">
        <v>4211</v>
      </c>
      <c r="X714" t="s">
        <v>302</v>
      </c>
      <c r="Y714" t="s">
        <v>293</v>
      </c>
      <c r="Z714" t="s">
        <v>111</v>
      </c>
      <c r="AA714" t="str">
        <f>"14850-1342"</f>
        <v>14850-1342</v>
      </c>
      <c r="AB714" t="s">
        <v>123</v>
      </c>
      <c r="AC714" t="s">
        <v>113</v>
      </c>
      <c r="AD714" t="s">
        <v>108</v>
      </c>
      <c r="AE714" t="s">
        <v>114</v>
      </c>
      <c r="AF714" t="s">
        <v>142</v>
      </c>
      <c r="AG714" t="s">
        <v>116</v>
      </c>
      <c r="AK714" t="str">
        <f t="shared" si="75"/>
        <v/>
      </c>
      <c r="AL714" t="s">
        <v>4208</v>
      </c>
      <c r="AM714">
        <v>1</v>
      </c>
      <c r="AN714">
        <v>1</v>
      </c>
      <c r="AO714">
        <v>0</v>
      </c>
      <c r="AP714">
        <v>0</v>
      </c>
      <c r="AQ714">
        <v>0</v>
      </c>
      <c r="AR714">
        <v>0</v>
      </c>
      <c r="AS714">
        <v>0</v>
      </c>
      <c r="AT714">
        <v>0</v>
      </c>
      <c r="AU714">
        <v>0</v>
      </c>
      <c r="AV714">
        <v>0</v>
      </c>
      <c r="AW714">
        <v>0</v>
      </c>
      <c r="AX714" s="24" t="str">
        <f t="shared" si="73"/>
        <v/>
      </c>
      <c r="AY714" s="24">
        <f t="shared" si="73"/>
        <v>1</v>
      </c>
      <c r="AZ714" s="24" t="str">
        <f t="shared" si="74"/>
        <v/>
      </c>
      <c r="BA714" s="24" t="str">
        <f t="shared" si="74"/>
        <v/>
      </c>
      <c r="BB714" s="24" t="str">
        <f t="shared" si="74"/>
        <v/>
      </c>
      <c r="BC714" s="24" t="str">
        <f t="shared" si="74"/>
        <v/>
      </c>
      <c r="BD714" s="24" t="str">
        <f t="shared" si="74"/>
        <v/>
      </c>
      <c r="BE714" s="24" t="str">
        <f t="shared" si="74"/>
        <v/>
      </c>
      <c r="BF714" s="24" t="str">
        <f t="shared" si="74"/>
        <v/>
      </c>
      <c r="BG714" s="24" t="str">
        <f t="shared" si="74"/>
        <v/>
      </c>
      <c r="BH714" s="24" t="str">
        <f t="shared" si="76"/>
        <v/>
      </c>
      <c r="BI714" s="24">
        <f t="shared" si="74"/>
        <v>1</v>
      </c>
      <c r="BJ714" s="24" t="str">
        <f t="shared" si="71"/>
        <v/>
      </c>
    </row>
    <row r="715" spans="1:62" ht="15" customHeight="1" x14ac:dyDescent="0.25">
      <c r="A715" t="str">
        <f>"1982671442"</f>
        <v>1982671442</v>
      </c>
      <c r="B715" t="str">
        <f>"02674239"</f>
        <v>02674239</v>
      </c>
      <c r="C715" t="s">
        <v>3052</v>
      </c>
      <c r="D715" t="s">
        <v>3053</v>
      </c>
      <c r="E715" t="s">
        <v>3054</v>
      </c>
      <c r="G715" t="s">
        <v>3037</v>
      </c>
      <c r="H715" t="s">
        <v>3038</v>
      </c>
      <c r="J715" t="s">
        <v>3055</v>
      </c>
      <c r="L715" t="s">
        <v>138</v>
      </c>
      <c r="M715" t="s">
        <v>108</v>
      </c>
      <c r="R715" t="s">
        <v>3056</v>
      </c>
      <c r="W715" t="s">
        <v>3054</v>
      </c>
      <c r="X715" t="s">
        <v>3041</v>
      </c>
      <c r="Y715" t="s">
        <v>293</v>
      </c>
      <c r="Z715" t="s">
        <v>111</v>
      </c>
      <c r="AA715" t="str">
        <f>"14850-1589"</f>
        <v>14850-1589</v>
      </c>
      <c r="AB715" t="s">
        <v>123</v>
      </c>
      <c r="AC715" t="s">
        <v>113</v>
      </c>
      <c r="AD715" t="s">
        <v>108</v>
      </c>
      <c r="AE715" t="s">
        <v>114</v>
      </c>
      <c r="AF715" t="s">
        <v>142</v>
      </c>
      <c r="AG715" t="s">
        <v>116</v>
      </c>
      <c r="AK715" t="str">
        <f t="shared" si="75"/>
        <v/>
      </c>
      <c r="AL715" t="s">
        <v>3053</v>
      </c>
      <c r="AM715">
        <v>1</v>
      </c>
      <c r="AN715">
        <v>1</v>
      </c>
      <c r="AO715">
        <v>0</v>
      </c>
      <c r="AP715">
        <v>1</v>
      </c>
      <c r="AQ715">
        <v>1</v>
      </c>
      <c r="AR715">
        <v>0</v>
      </c>
      <c r="AS715">
        <v>0</v>
      </c>
      <c r="AT715">
        <v>0</v>
      </c>
      <c r="AU715">
        <v>0</v>
      </c>
      <c r="AV715">
        <v>0</v>
      </c>
      <c r="AW715">
        <v>0</v>
      </c>
      <c r="AX715" s="24" t="str">
        <f t="shared" si="73"/>
        <v/>
      </c>
      <c r="AY715" s="24">
        <f t="shared" si="73"/>
        <v>1</v>
      </c>
      <c r="AZ715" s="24" t="str">
        <f t="shared" si="74"/>
        <v/>
      </c>
      <c r="BA715" s="24" t="str">
        <f t="shared" si="74"/>
        <v/>
      </c>
      <c r="BB715" s="24" t="str">
        <f t="shared" si="74"/>
        <v/>
      </c>
      <c r="BC715" s="24" t="str">
        <f t="shared" si="74"/>
        <v/>
      </c>
      <c r="BD715" s="24" t="str">
        <f t="shared" si="74"/>
        <v/>
      </c>
      <c r="BE715" s="24" t="str">
        <f t="shared" si="74"/>
        <v/>
      </c>
      <c r="BF715" s="24" t="str">
        <f t="shared" si="74"/>
        <v/>
      </c>
      <c r="BG715" s="24" t="str">
        <f t="shared" si="74"/>
        <v/>
      </c>
      <c r="BH715" s="24" t="str">
        <f t="shared" si="76"/>
        <v/>
      </c>
      <c r="BI715" s="24">
        <f t="shared" si="74"/>
        <v>1</v>
      </c>
      <c r="BJ715" s="24" t="str">
        <f t="shared" si="71"/>
        <v/>
      </c>
    </row>
    <row r="716" spans="1:62" ht="15" customHeight="1" x14ac:dyDescent="0.25">
      <c r="A716" t="str">
        <f>"1427049030"</f>
        <v>1427049030</v>
      </c>
      <c r="B716" t="str">
        <f>"02900796"</f>
        <v>02900796</v>
      </c>
      <c r="C716" t="s">
        <v>2436</v>
      </c>
      <c r="D716" t="s">
        <v>2437</v>
      </c>
      <c r="E716" t="s">
        <v>2438</v>
      </c>
      <c r="G716" t="s">
        <v>2420</v>
      </c>
      <c r="H716" t="s">
        <v>2421</v>
      </c>
      <c r="J716" t="s">
        <v>2439</v>
      </c>
      <c r="L716" t="s">
        <v>138</v>
      </c>
      <c r="M716" t="s">
        <v>108</v>
      </c>
      <c r="R716" t="s">
        <v>2440</v>
      </c>
      <c r="W716" t="s">
        <v>2438</v>
      </c>
      <c r="X716" t="s">
        <v>140</v>
      </c>
      <c r="Y716" t="s">
        <v>141</v>
      </c>
      <c r="Z716" t="s">
        <v>111</v>
      </c>
      <c r="AA716" t="str">
        <f>"13210-2342"</f>
        <v>13210-2342</v>
      </c>
      <c r="AB716" t="s">
        <v>123</v>
      </c>
      <c r="AC716" t="s">
        <v>113</v>
      </c>
      <c r="AD716" t="s">
        <v>108</v>
      </c>
      <c r="AE716" t="s">
        <v>114</v>
      </c>
      <c r="AF716" t="s">
        <v>142</v>
      </c>
      <c r="AG716" t="s">
        <v>116</v>
      </c>
      <c r="AK716" t="str">
        <f t="shared" si="75"/>
        <v/>
      </c>
      <c r="AL716" t="s">
        <v>2437</v>
      </c>
      <c r="AM716">
        <v>0</v>
      </c>
      <c r="AN716">
        <v>0</v>
      </c>
      <c r="AO716">
        <v>0</v>
      </c>
      <c r="AP716">
        <v>0</v>
      </c>
      <c r="AQ716">
        <v>0</v>
      </c>
      <c r="AR716">
        <v>0</v>
      </c>
      <c r="AS716">
        <v>0</v>
      </c>
      <c r="AT716">
        <v>0</v>
      </c>
      <c r="AU716">
        <v>0</v>
      </c>
      <c r="AV716">
        <v>0</v>
      </c>
      <c r="AW716">
        <v>0</v>
      </c>
      <c r="AX716" s="24" t="str">
        <f t="shared" si="73"/>
        <v/>
      </c>
      <c r="AY716" s="24">
        <f t="shared" si="73"/>
        <v>1</v>
      </c>
      <c r="AZ716" s="24" t="str">
        <f t="shared" si="74"/>
        <v/>
      </c>
      <c r="BA716" s="24" t="str">
        <f t="shared" si="74"/>
        <v/>
      </c>
      <c r="BB716" s="24" t="str">
        <f t="shared" si="74"/>
        <v/>
      </c>
      <c r="BC716" s="24" t="str">
        <f t="shared" si="74"/>
        <v/>
      </c>
      <c r="BD716" s="24" t="str">
        <f t="shared" si="74"/>
        <v/>
      </c>
      <c r="BE716" s="24" t="str">
        <f t="shared" si="74"/>
        <v/>
      </c>
      <c r="BF716" s="24" t="str">
        <f t="shared" si="74"/>
        <v/>
      </c>
      <c r="BG716" s="24" t="str">
        <f t="shared" si="74"/>
        <v/>
      </c>
      <c r="BH716" s="24" t="str">
        <f t="shared" si="76"/>
        <v/>
      </c>
      <c r="BI716" s="24">
        <f t="shared" si="74"/>
        <v>1</v>
      </c>
      <c r="BJ716" s="24" t="str">
        <f t="shared" si="71"/>
        <v/>
      </c>
    </row>
    <row r="717" spans="1:62" ht="15" customHeight="1" x14ac:dyDescent="0.25">
      <c r="A717" t="str">
        <f>"1982831483"</f>
        <v>1982831483</v>
      </c>
      <c r="B717" t="str">
        <f>"03573140"</f>
        <v>03573140</v>
      </c>
      <c r="C717" t="s">
        <v>914</v>
      </c>
      <c r="D717" t="s">
        <v>915</v>
      </c>
      <c r="E717" t="s">
        <v>916</v>
      </c>
      <c r="G717" t="s">
        <v>638</v>
      </c>
      <c r="H717" t="s">
        <v>645</v>
      </c>
      <c r="J717" t="s">
        <v>917</v>
      </c>
      <c r="L717" t="s">
        <v>247</v>
      </c>
      <c r="M717" t="s">
        <v>108</v>
      </c>
      <c r="R717" t="s">
        <v>918</v>
      </c>
      <c r="W717" t="s">
        <v>919</v>
      </c>
      <c r="X717" t="s">
        <v>920</v>
      </c>
      <c r="Y717" t="s">
        <v>921</v>
      </c>
      <c r="Z717" t="s">
        <v>111</v>
      </c>
      <c r="AA717" t="str">
        <f>"13039-3504"</f>
        <v>13039-3504</v>
      </c>
      <c r="AB717" t="s">
        <v>123</v>
      </c>
      <c r="AC717" t="s">
        <v>113</v>
      </c>
      <c r="AD717" t="s">
        <v>108</v>
      </c>
      <c r="AE717" t="s">
        <v>114</v>
      </c>
      <c r="AF717" t="s">
        <v>142</v>
      </c>
      <c r="AG717" t="s">
        <v>116</v>
      </c>
      <c r="AK717" t="str">
        <f t="shared" si="75"/>
        <v/>
      </c>
      <c r="AL717" t="s">
        <v>915</v>
      </c>
      <c r="AM717">
        <v>1</v>
      </c>
      <c r="AN717">
        <v>1</v>
      </c>
      <c r="AO717">
        <v>0</v>
      </c>
      <c r="AP717">
        <v>0</v>
      </c>
      <c r="AQ717">
        <v>0</v>
      </c>
      <c r="AR717">
        <v>0</v>
      </c>
      <c r="AS717">
        <v>0</v>
      </c>
      <c r="AT717">
        <v>0</v>
      </c>
      <c r="AU717">
        <v>0</v>
      </c>
      <c r="AV717">
        <v>0</v>
      </c>
      <c r="AW717">
        <v>0</v>
      </c>
      <c r="AX717" s="24" t="str">
        <f t="shared" si="73"/>
        <v/>
      </c>
      <c r="AY717" s="24">
        <f t="shared" si="73"/>
        <v>1</v>
      </c>
      <c r="AZ717" s="24" t="str">
        <f t="shared" si="74"/>
        <v/>
      </c>
      <c r="BA717" s="24" t="str">
        <f t="shared" si="74"/>
        <v/>
      </c>
      <c r="BB717" s="24" t="str">
        <f t="shared" si="74"/>
        <v/>
      </c>
      <c r="BC717" s="24" t="str">
        <f t="shared" si="74"/>
        <v/>
      </c>
      <c r="BD717" s="24" t="str">
        <f t="shared" si="74"/>
        <v/>
      </c>
      <c r="BE717" s="24" t="str">
        <f t="shared" si="74"/>
        <v/>
      </c>
      <c r="BF717" s="24" t="str">
        <f t="shared" si="74"/>
        <v/>
      </c>
      <c r="BG717" s="24" t="str">
        <f t="shared" si="74"/>
        <v/>
      </c>
      <c r="BH717" s="24" t="str">
        <f t="shared" si="76"/>
        <v/>
      </c>
      <c r="BI717" s="24" t="str">
        <f t="shared" si="74"/>
        <v/>
      </c>
      <c r="BJ717" s="24" t="str">
        <f t="shared" si="71"/>
        <v/>
      </c>
    </row>
    <row r="718" spans="1:62" ht="15" customHeight="1" x14ac:dyDescent="0.25">
      <c r="A718" t="str">
        <f>"1659471845"</f>
        <v>1659471845</v>
      </c>
      <c r="B718" t="str">
        <f>"02298626"</f>
        <v>02298626</v>
      </c>
      <c r="C718" t="s">
        <v>5275</v>
      </c>
      <c r="D718" t="s">
        <v>5276</v>
      </c>
      <c r="E718" t="s">
        <v>5277</v>
      </c>
      <c r="G718" t="s">
        <v>5278</v>
      </c>
      <c r="H718" t="s">
        <v>5279</v>
      </c>
      <c r="J718" t="s">
        <v>5280</v>
      </c>
      <c r="L718" t="s">
        <v>138</v>
      </c>
      <c r="M718" t="s">
        <v>108</v>
      </c>
      <c r="R718" t="s">
        <v>5281</v>
      </c>
      <c r="W718" t="s">
        <v>5282</v>
      </c>
      <c r="X718" t="s">
        <v>5283</v>
      </c>
      <c r="Y718" t="s">
        <v>5284</v>
      </c>
      <c r="Z718" t="s">
        <v>111</v>
      </c>
      <c r="AA718" t="str">
        <f>"12401-5848"</f>
        <v>12401-5848</v>
      </c>
      <c r="AB718" t="s">
        <v>123</v>
      </c>
      <c r="AC718" t="s">
        <v>113</v>
      </c>
      <c r="AD718" t="s">
        <v>108</v>
      </c>
      <c r="AE718" t="s">
        <v>114</v>
      </c>
      <c r="AF718" t="s">
        <v>142</v>
      </c>
      <c r="AG718" t="s">
        <v>116</v>
      </c>
      <c r="AK718" t="str">
        <f t="shared" si="75"/>
        <v/>
      </c>
      <c r="AL718" t="s">
        <v>5276</v>
      </c>
      <c r="AM718">
        <v>0</v>
      </c>
      <c r="AN718">
        <v>0</v>
      </c>
      <c r="AO718">
        <v>0</v>
      </c>
      <c r="AP718">
        <v>0</v>
      </c>
      <c r="AQ718">
        <v>0</v>
      </c>
      <c r="AR718">
        <v>0</v>
      </c>
      <c r="AS718">
        <v>0</v>
      </c>
      <c r="AT718">
        <v>0</v>
      </c>
      <c r="AU718">
        <v>0</v>
      </c>
      <c r="AV718">
        <v>0</v>
      </c>
      <c r="AW718">
        <v>0</v>
      </c>
      <c r="AX718" s="24" t="str">
        <f t="shared" si="73"/>
        <v/>
      </c>
      <c r="AY718" s="24">
        <f t="shared" si="73"/>
        <v>1</v>
      </c>
      <c r="AZ718" s="24" t="str">
        <f t="shared" si="74"/>
        <v/>
      </c>
      <c r="BA718" s="24" t="str">
        <f t="shared" si="74"/>
        <v/>
      </c>
      <c r="BB718" s="24" t="str">
        <f t="shared" si="74"/>
        <v/>
      </c>
      <c r="BC718" s="24" t="str">
        <f t="shared" si="74"/>
        <v/>
      </c>
      <c r="BD718" s="24" t="str">
        <f t="shared" si="74"/>
        <v/>
      </c>
      <c r="BE718" s="24" t="str">
        <f t="shared" si="74"/>
        <v/>
      </c>
      <c r="BF718" s="24" t="str">
        <f t="shared" si="74"/>
        <v/>
      </c>
      <c r="BG718" s="24" t="str">
        <f t="shared" si="74"/>
        <v/>
      </c>
      <c r="BH718" s="24" t="str">
        <f t="shared" si="76"/>
        <v/>
      </c>
      <c r="BI718" s="24">
        <f t="shared" si="74"/>
        <v>1</v>
      </c>
      <c r="BJ718" s="24" t="str">
        <f t="shared" si="71"/>
        <v/>
      </c>
    </row>
    <row r="719" spans="1:62" ht="15" customHeight="1" x14ac:dyDescent="0.25">
      <c r="A719" t="str">
        <f>"1750682894"</f>
        <v>1750682894</v>
      </c>
      <c r="B719" t="str">
        <f>"03291274"</f>
        <v>03291274</v>
      </c>
      <c r="C719" t="s">
        <v>5919</v>
      </c>
      <c r="D719" t="s">
        <v>5920</v>
      </c>
      <c r="E719" t="s">
        <v>5921</v>
      </c>
      <c r="G719" t="s">
        <v>815</v>
      </c>
      <c r="H719" t="s">
        <v>816</v>
      </c>
      <c r="J719" t="s">
        <v>817</v>
      </c>
      <c r="L719" t="s">
        <v>120</v>
      </c>
      <c r="M719" t="s">
        <v>108</v>
      </c>
      <c r="R719" t="s">
        <v>5922</v>
      </c>
      <c r="W719" t="s">
        <v>5923</v>
      </c>
      <c r="X719" t="s">
        <v>1048</v>
      </c>
      <c r="Y719" t="s">
        <v>966</v>
      </c>
      <c r="Z719" t="s">
        <v>111</v>
      </c>
      <c r="AA719" t="str">
        <f>"13850-3514"</f>
        <v>13850-3514</v>
      </c>
      <c r="AB719" t="s">
        <v>123</v>
      </c>
      <c r="AC719" t="s">
        <v>113</v>
      </c>
      <c r="AD719" t="s">
        <v>108</v>
      </c>
      <c r="AE719" t="s">
        <v>114</v>
      </c>
      <c r="AF719" t="s">
        <v>115</v>
      </c>
      <c r="AG719" t="s">
        <v>116</v>
      </c>
      <c r="AK719" t="str">
        <f t="shared" si="75"/>
        <v>Kacy H. Zelesnikar, RPA-C</v>
      </c>
      <c r="AL719" t="s">
        <v>5920</v>
      </c>
      <c r="AM719" t="s">
        <v>108</v>
      </c>
      <c r="AN719" t="s">
        <v>108</v>
      </c>
      <c r="AO719" t="s">
        <v>108</v>
      </c>
      <c r="AP719" t="s">
        <v>108</v>
      </c>
      <c r="AQ719" t="s">
        <v>108</v>
      </c>
      <c r="AR719" t="s">
        <v>108</v>
      </c>
      <c r="AS719" t="s">
        <v>108</v>
      </c>
      <c r="AT719" t="s">
        <v>108</v>
      </c>
      <c r="AU719">
        <v>0</v>
      </c>
      <c r="AV719" t="s">
        <v>108</v>
      </c>
      <c r="AW719" t="s">
        <v>108</v>
      </c>
      <c r="AX719" s="24">
        <f t="shared" si="73"/>
        <v>1</v>
      </c>
      <c r="AY719" s="24" t="str">
        <f t="shared" si="73"/>
        <v/>
      </c>
      <c r="AZ719" s="24" t="str">
        <f t="shared" si="74"/>
        <v/>
      </c>
      <c r="BA719" s="24" t="str">
        <f t="shared" si="74"/>
        <v/>
      </c>
      <c r="BB719" s="24" t="str">
        <f t="shared" si="74"/>
        <v/>
      </c>
      <c r="BC719" s="24" t="str">
        <f t="shared" si="74"/>
        <v/>
      </c>
      <c r="BD719" s="24" t="str">
        <f t="shared" si="74"/>
        <v/>
      </c>
      <c r="BE719" s="24" t="str">
        <f t="shared" si="74"/>
        <v/>
      </c>
      <c r="BF719" s="24" t="str">
        <f t="shared" si="74"/>
        <v/>
      </c>
      <c r="BG719" s="24" t="str">
        <f t="shared" si="74"/>
        <v/>
      </c>
      <c r="BH719" s="24" t="str">
        <f t="shared" si="76"/>
        <v/>
      </c>
      <c r="BI719" s="24">
        <f t="shared" si="74"/>
        <v>1</v>
      </c>
      <c r="BJ719" s="24" t="str">
        <f t="shared" si="71"/>
        <v/>
      </c>
    </row>
    <row r="720" spans="1:62" ht="15" customHeight="1" x14ac:dyDescent="0.25">
      <c r="A720" t="str">
        <f>"1457433666"</f>
        <v>1457433666</v>
      </c>
      <c r="B720" t="str">
        <f>"00783160"</f>
        <v>00783160</v>
      </c>
      <c r="C720" t="s">
        <v>5189</v>
      </c>
      <c r="D720" t="s">
        <v>5190</v>
      </c>
      <c r="E720" t="s">
        <v>5191</v>
      </c>
      <c r="L720" t="s">
        <v>138</v>
      </c>
      <c r="M720" t="s">
        <v>108</v>
      </c>
      <c r="R720" t="s">
        <v>5189</v>
      </c>
      <c r="W720" t="s">
        <v>5191</v>
      </c>
      <c r="Y720" t="s">
        <v>122</v>
      </c>
      <c r="Z720" t="s">
        <v>111</v>
      </c>
      <c r="AA720" t="str">
        <f>"13815-1756"</f>
        <v>13815-1756</v>
      </c>
      <c r="AB720" t="s">
        <v>123</v>
      </c>
      <c r="AC720" t="s">
        <v>113</v>
      </c>
      <c r="AD720" t="s">
        <v>108</v>
      </c>
      <c r="AE720" t="s">
        <v>114</v>
      </c>
      <c r="AF720" t="s">
        <v>124</v>
      </c>
      <c r="AG720" t="s">
        <v>116</v>
      </c>
      <c r="AK720" t="str">
        <f t="shared" si="75"/>
        <v/>
      </c>
      <c r="AL720" t="s">
        <v>5190</v>
      </c>
      <c r="AM720">
        <v>0</v>
      </c>
      <c r="AN720">
        <v>0</v>
      </c>
      <c r="AO720">
        <v>0</v>
      </c>
      <c r="AP720">
        <v>0</v>
      </c>
      <c r="AQ720">
        <v>0</v>
      </c>
      <c r="AR720">
        <v>0</v>
      </c>
      <c r="AS720">
        <v>0</v>
      </c>
      <c r="AT720">
        <v>0</v>
      </c>
      <c r="AU720">
        <v>0</v>
      </c>
      <c r="AV720">
        <v>0</v>
      </c>
      <c r="AW720">
        <v>0</v>
      </c>
      <c r="AX720" s="24" t="str">
        <f t="shared" si="73"/>
        <v/>
      </c>
      <c r="AY720" s="24">
        <f t="shared" si="73"/>
        <v>1</v>
      </c>
      <c r="AZ720" s="24" t="str">
        <f t="shared" si="74"/>
        <v/>
      </c>
      <c r="BA720" s="24" t="str">
        <f t="shared" si="74"/>
        <v/>
      </c>
      <c r="BB720" s="24" t="str">
        <f t="shared" si="74"/>
        <v/>
      </c>
      <c r="BC720" s="24" t="str">
        <f t="shared" si="74"/>
        <v/>
      </c>
      <c r="BD720" s="24" t="str">
        <f t="shared" si="74"/>
        <v/>
      </c>
      <c r="BE720" s="24" t="str">
        <f t="shared" si="74"/>
        <v/>
      </c>
      <c r="BF720" s="24" t="str">
        <f t="shared" si="74"/>
        <v/>
      </c>
      <c r="BG720" s="24" t="str">
        <f t="shared" si="74"/>
        <v/>
      </c>
      <c r="BH720" s="24" t="str">
        <f t="shared" si="76"/>
        <v/>
      </c>
      <c r="BI720" s="24">
        <f t="shared" si="74"/>
        <v>1</v>
      </c>
      <c r="BJ720" s="24" t="str">
        <f t="shared" si="71"/>
        <v/>
      </c>
    </row>
    <row r="721" spans="1:62" ht="15" customHeight="1" x14ac:dyDescent="0.25">
      <c r="A721" t="str">
        <f>"1750583084"</f>
        <v>1750583084</v>
      </c>
      <c r="B721" t="str">
        <f>"01614855"</f>
        <v>01614855</v>
      </c>
      <c r="C721" t="s">
        <v>2673</v>
      </c>
      <c r="D721" t="s">
        <v>2674</v>
      </c>
      <c r="E721" t="s">
        <v>2675</v>
      </c>
      <c r="L721" t="s">
        <v>120</v>
      </c>
      <c r="M721" t="s">
        <v>139</v>
      </c>
      <c r="R721" t="s">
        <v>2673</v>
      </c>
      <c r="W721" t="s">
        <v>2676</v>
      </c>
      <c r="X721" t="s">
        <v>1237</v>
      </c>
      <c r="Y721" t="s">
        <v>129</v>
      </c>
      <c r="Z721" t="s">
        <v>111</v>
      </c>
      <c r="AA721" t="str">
        <f>"13790-2102"</f>
        <v>13790-2102</v>
      </c>
      <c r="AB721" t="s">
        <v>123</v>
      </c>
      <c r="AC721" t="s">
        <v>113</v>
      </c>
      <c r="AD721" t="s">
        <v>108</v>
      </c>
      <c r="AE721" t="s">
        <v>114</v>
      </c>
      <c r="AF721" t="s">
        <v>115</v>
      </c>
      <c r="AG721" t="s">
        <v>116</v>
      </c>
      <c r="AK721" t="str">
        <f t="shared" si="75"/>
        <v/>
      </c>
      <c r="AL721" t="s">
        <v>2674</v>
      </c>
      <c r="AM721">
        <v>0</v>
      </c>
      <c r="AN721">
        <v>0</v>
      </c>
      <c r="AO721">
        <v>0</v>
      </c>
      <c r="AP721">
        <v>0</v>
      </c>
      <c r="AQ721">
        <v>0</v>
      </c>
      <c r="AR721">
        <v>0</v>
      </c>
      <c r="AS721">
        <v>0</v>
      </c>
      <c r="AT721">
        <v>0</v>
      </c>
      <c r="AU721">
        <v>0</v>
      </c>
      <c r="AV721">
        <v>0</v>
      </c>
      <c r="AW721">
        <v>0</v>
      </c>
      <c r="AX721" s="24">
        <f t="shared" si="73"/>
        <v>1</v>
      </c>
      <c r="AY721" s="24" t="str">
        <f t="shared" si="73"/>
        <v/>
      </c>
      <c r="AZ721" s="24" t="str">
        <f t="shared" si="74"/>
        <v/>
      </c>
      <c r="BA721" s="24" t="str">
        <f t="shared" si="74"/>
        <v/>
      </c>
      <c r="BB721" s="24" t="str">
        <f t="shared" si="74"/>
        <v/>
      </c>
      <c r="BC721" s="24" t="str">
        <f t="shared" si="74"/>
        <v/>
      </c>
      <c r="BD721" s="24" t="str">
        <f t="shared" si="74"/>
        <v/>
      </c>
      <c r="BE721" s="24" t="str">
        <f t="shared" si="74"/>
        <v/>
      </c>
      <c r="BF721" s="24" t="str">
        <f t="shared" si="74"/>
        <v/>
      </c>
      <c r="BG721" s="24" t="str">
        <f t="shared" si="74"/>
        <v/>
      </c>
      <c r="BH721" s="24" t="str">
        <f t="shared" si="76"/>
        <v/>
      </c>
      <c r="BI721" s="24">
        <f t="shared" si="74"/>
        <v>1</v>
      </c>
      <c r="BJ721" s="24" t="str">
        <f t="shared" si="71"/>
        <v/>
      </c>
    </row>
    <row r="722" spans="1:62" ht="15" customHeight="1" x14ac:dyDescent="0.25">
      <c r="A722" t="str">
        <f>"1568431336"</f>
        <v>1568431336</v>
      </c>
      <c r="B722" t="str">
        <f>"00483490"</f>
        <v>00483490</v>
      </c>
      <c r="C722" t="s">
        <v>882</v>
      </c>
      <c r="D722" t="s">
        <v>883</v>
      </c>
      <c r="E722" t="s">
        <v>884</v>
      </c>
      <c r="L722" t="s">
        <v>442</v>
      </c>
      <c r="M722" t="s">
        <v>108</v>
      </c>
      <c r="R722" t="s">
        <v>882</v>
      </c>
      <c r="W722" t="s">
        <v>884</v>
      </c>
      <c r="X722" t="s">
        <v>180</v>
      </c>
      <c r="Y722" t="s">
        <v>181</v>
      </c>
      <c r="Z722" t="s">
        <v>182</v>
      </c>
      <c r="AA722" t="str">
        <f>"18840"</f>
        <v>18840</v>
      </c>
      <c r="AB722" t="s">
        <v>123</v>
      </c>
      <c r="AC722" t="s">
        <v>113</v>
      </c>
      <c r="AD722" t="s">
        <v>108</v>
      </c>
      <c r="AE722" t="s">
        <v>114</v>
      </c>
      <c r="AF722" t="s">
        <v>115</v>
      </c>
      <c r="AG722" t="s">
        <v>116</v>
      </c>
      <c r="AK722" t="str">
        <f t="shared" si="75"/>
        <v/>
      </c>
      <c r="AL722" t="s">
        <v>883</v>
      </c>
      <c r="AM722">
        <v>1</v>
      </c>
      <c r="AN722">
        <v>1</v>
      </c>
      <c r="AO722">
        <v>0</v>
      </c>
      <c r="AP722">
        <v>1</v>
      </c>
      <c r="AQ722">
        <v>1</v>
      </c>
      <c r="AR722">
        <v>0</v>
      </c>
      <c r="AS722">
        <v>0</v>
      </c>
      <c r="AT722">
        <v>0</v>
      </c>
      <c r="AU722">
        <v>0</v>
      </c>
      <c r="AV722">
        <v>0</v>
      </c>
      <c r="AW722">
        <v>0</v>
      </c>
      <c r="AX722" s="24">
        <f t="shared" si="73"/>
        <v>1</v>
      </c>
      <c r="AY722" s="24" t="str">
        <f t="shared" si="73"/>
        <v/>
      </c>
      <c r="AZ722" s="24" t="str">
        <f t="shared" si="74"/>
        <v/>
      </c>
      <c r="BA722" s="24" t="str">
        <f t="shared" si="74"/>
        <v/>
      </c>
      <c r="BB722" s="24" t="str">
        <f t="shared" si="74"/>
        <v/>
      </c>
      <c r="BC722" s="24" t="str">
        <f t="shared" si="74"/>
        <v/>
      </c>
      <c r="BD722" s="24" t="str">
        <f t="shared" si="74"/>
        <v/>
      </c>
      <c r="BE722" s="24" t="str">
        <f t="shared" si="74"/>
        <v/>
      </c>
      <c r="BF722" s="24" t="str">
        <f t="shared" si="74"/>
        <v/>
      </c>
      <c r="BG722" s="24" t="str">
        <f t="shared" si="74"/>
        <v/>
      </c>
      <c r="BH722" s="24" t="str">
        <f t="shared" si="76"/>
        <v/>
      </c>
      <c r="BI722" s="24" t="str">
        <f t="shared" si="74"/>
        <v/>
      </c>
      <c r="BJ722" s="24" t="str">
        <f t="shared" ref="BJ722:BJ785" si="77">IF(ISERROR(FIND(BJ$1,$L722,1)),"",1)</f>
        <v/>
      </c>
    </row>
    <row r="723" spans="1:62" ht="15" customHeight="1" x14ac:dyDescent="0.25">
      <c r="A723" t="str">
        <f>"1245321249"</f>
        <v>1245321249</v>
      </c>
      <c r="B723" t="str">
        <f>"03512181"</f>
        <v>03512181</v>
      </c>
      <c r="C723" t="s">
        <v>2231</v>
      </c>
      <c r="D723" t="s">
        <v>2232</v>
      </c>
      <c r="E723" t="s">
        <v>2231</v>
      </c>
      <c r="G723" t="s">
        <v>177</v>
      </c>
      <c r="H723" t="s">
        <v>178</v>
      </c>
      <c r="J723" t="s">
        <v>179</v>
      </c>
      <c r="L723" t="s">
        <v>138</v>
      </c>
      <c r="M723" t="s">
        <v>108</v>
      </c>
      <c r="R723" t="s">
        <v>2231</v>
      </c>
      <c r="W723" t="s">
        <v>2231</v>
      </c>
      <c r="X723" t="s">
        <v>196</v>
      </c>
      <c r="Y723" t="s">
        <v>181</v>
      </c>
      <c r="Z723" t="s">
        <v>182</v>
      </c>
      <c r="AA723" t="str">
        <f>"18840-1625"</f>
        <v>18840-1625</v>
      </c>
      <c r="AB723" t="s">
        <v>123</v>
      </c>
      <c r="AC723" t="s">
        <v>113</v>
      </c>
      <c r="AD723" t="s">
        <v>108</v>
      </c>
      <c r="AE723" t="s">
        <v>114</v>
      </c>
      <c r="AF723" t="s">
        <v>115</v>
      </c>
      <c r="AG723" t="s">
        <v>116</v>
      </c>
      <c r="AK723" t="str">
        <f t="shared" si="75"/>
        <v/>
      </c>
      <c r="AL723" t="s">
        <v>2232</v>
      </c>
      <c r="AM723">
        <v>1</v>
      </c>
      <c r="AN723">
        <v>1</v>
      </c>
      <c r="AO723">
        <v>0</v>
      </c>
      <c r="AP723">
        <v>0</v>
      </c>
      <c r="AQ723">
        <v>0</v>
      </c>
      <c r="AR723">
        <v>0</v>
      </c>
      <c r="AS723">
        <v>0</v>
      </c>
      <c r="AT723">
        <v>0</v>
      </c>
      <c r="AU723">
        <v>0</v>
      </c>
      <c r="AV723">
        <v>1</v>
      </c>
      <c r="AW723">
        <v>0</v>
      </c>
      <c r="AX723" s="24" t="str">
        <f t="shared" si="73"/>
        <v/>
      </c>
      <c r="AY723" s="24">
        <f t="shared" si="73"/>
        <v>1</v>
      </c>
      <c r="AZ723" s="24" t="str">
        <f t="shared" si="74"/>
        <v/>
      </c>
      <c r="BA723" s="24" t="str">
        <f t="shared" si="74"/>
        <v/>
      </c>
      <c r="BB723" s="24" t="str">
        <f t="shared" si="74"/>
        <v/>
      </c>
      <c r="BC723" s="24" t="str">
        <f t="shared" si="74"/>
        <v/>
      </c>
      <c r="BD723" s="24" t="str">
        <f t="shared" si="74"/>
        <v/>
      </c>
      <c r="BE723" s="24" t="str">
        <f t="shared" si="74"/>
        <v/>
      </c>
      <c r="BF723" s="24" t="str">
        <f t="shared" si="74"/>
        <v/>
      </c>
      <c r="BG723" s="24" t="str">
        <f t="shared" si="74"/>
        <v/>
      </c>
      <c r="BH723" s="24" t="str">
        <f t="shared" si="76"/>
        <v/>
      </c>
      <c r="BI723" s="24">
        <f t="shared" si="74"/>
        <v>1</v>
      </c>
      <c r="BJ723" s="24" t="str">
        <f t="shared" si="77"/>
        <v/>
      </c>
    </row>
    <row r="724" spans="1:62" ht="15" customHeight="1" x14ac:dyDescent="0.25">
      <c r="A724" t="str">
        <f>"1013004555"</f>
        <v>1013004555</v>
      </c>
      <c r="B724" t="str">
        <f>"01271416"</f>
        <v>01271416</v>
      </c>
      <c r="C724" t="s">
        <v>4617</v>
      </c>
      <c r="D724" t="s">
        <v>4618</v>
      </c>
      <c r="E724" t="s">
        <v>4619</v>
      </c>
      <c r="G724" t="s">
        <v>2412</v>
      </c>
      <c r="H724" t="s">
        <v>2413</v>
      </c>
      <c r="I724">
        <v>2359</v>
      </c>
      <c r="J724" t="s">
        <v>4620</v>
      </c>
      <c r="L724" t="s">
        <v>247</v>
      </c>
      <c r="M724" t="s">
        <v>108</v>
      </c>
      <c r="R724" t="s">
        <v>4621</v>
      </c>
      <c r="W724" t="s">
        <v>4622</v>
      </c>
      <c r="X724" t="s">
        <v>302</v>
      </c>
      <c r="Y724" t="s">
        <v>293</v>
      </c>
      <c r="Z724" t="s">
        <v>111</v>
      </c>
      <c r="AA724" t="str">
        <f>"14850-1342"</f>
        <v>14850-1342</v>
      </c>
      <c r="AB724" t="s">
        <v>123</v>
      </c>
      <c r="AC724" t="s">
        <v>113</v>
      </c>
      <c r="AD724" t="s">
        <v>108</v>
      </c>
      <c r="AE724" t="s">
        <v>114</v>
      </c>
      <c r="AF724" t="s">
        <v>142</v>
      </c>
      <c r="AG724" t="s">
        <v>116</v>
      </c>
      <c r="AK724" t="str">
        <f t="shared" si="75"/>
        <v/>
      </c>
      <c r="AL724" t="s">
        <v>4618</v>
      </c>
      <c r="AM724">
        <v>0</v>
      </c>
      <c r="AN724">
        <v>0</v>
      </c>
      <c r="AO724">
        <v>0</v>
      </c>
      <c r="AP724">
        <v>0</v>
      </c>
      <c r="AQ724">
        <v>0</v>
      </c>
      <c r="AR724">
        <v>0</v>
      </c>
      <c r="AS724">
        <v>0</v>
      </c>
      <c r="AT724">
        <v>0</v>
      </c>
      <c r="AU724">
        <v>0</v>
      </c>
      <c r="AV724">
        <v>0</v>
      </c>
      <c r="AW724">
        <v>0</v>
      </c>
      <c r="AX724" s="24" t="str">
        <f t="shared" si="73"/>
        <v/>
      </c>
      <c r="AY724" s="24">
        <f t="shared" si="73"/>
        <v>1</v>
      </c>
      <c r="AZ724" s="24" t="str">
        <f t="shared" si="74"/>
        <v/>
      </c>
      <c r="BA724" s="24" t="str">
        <f t="shared" si="74"/>
        <v/>
      </c>
      <c r="BB724" s="24" t="str">
        <f t="shared" si="74"/>
        <v/>
      </c>
      <c r="BC724" s="24" t="str">
        <f t="shared" si="74"/>
        <v/>
      </c>
      <c r="BD724" s="24" t="str">
        <f t="shared" si="74"/>
        <v/>
      </c>
      <c r="BE724" s="24" t="str">
        <f t="shared" si="74"/>
        <v/>
      </c>
      <c r="BF724" s="24" t="str">
        <f t="shared" si="74"/>
        <v/>
      </c>
      <c r="BG724" s="24" t="str">
        <f t="shared" si="74"/>
        <v/>
      </c>
      <c r="BH724" s="24" t="str">
        <f t="shared" si="76"/>
        <v/>
      </c>
      <c r="BI724" s="24" t="str">
        <f t="shared" si="74"/>
        <v/>
      </c>
      <c r="BJ724" s="24" t="str">
        <f t="shared" si="77"/>
        <v/>
      </c>
    </row>
    <row r="725" spans="1:62" ht="15" customHeight="1" x14ac:dyDescent="0.25">
      <c r="A725" t="str">
        <f>"1982675765"</f>
        <v>1982675765</v>
      </c>
      <c r="B725" t="str">
        <f>"02008799"</f>
        <v>02008799</v>
      </c>
      <c r="C725" t="s">
        <v>535</v>
      </c>
      <c r="D725" t="s">
        <v>536</v>
      </c>
      <c r="E725" t="s">
        <v>537</v>
      </c>
      <c r="G725" t="s">
        <v>538</v>
      </c>
      <c r="H725" t="s">
        <v>539</v>
      </c>
      <c r="J725" t="s">
        <v>540</v>
      </c>
      <c r="L725" t="s">
        <v>120</v>
      </c>
      <c r="M725" t="s">
        <v>108</v>
      </c>
      <c r="R725" t="s">
        <v>541</v>
      </c>
      <c r="W725" t="s">
        <v>542</v>
      </c>
      <c r="X725" t="s">
        <v>543</v>
      </c>
      <c r="Y725" t="s">
        <v>293</v>
      </c>
      <c r="Z725" t="s">
        <v>111</v>
      </c>
      <c r="AA725" t="str">
        <f>"14850-9105"</f>
        <v>14850-9105</v>
      </c>
      <c r="AB725" t="s">
        <v>123</v>
      </c>
      <c r="AC725" t="s">
        <v>113</v>
      </c>
      <c r="AD725" t="s">
        <v>108</v>
      </c>
      <c r="AE725" t="s">
        <v>114</v>
      </c>
      <c r="AF725" t="s">
        <v>142</v>
      </c>
      <c r="AG725" t="s">
        <v>116</v>
      </c>
      <c r="AK725" t="str">
        <f t="shared" si="75"/>
        <v/>
      </c>
      <c r="AL725" t="s">
        <v>536</v>
      </c>
      <c r="AM725">
        <v>1</v>
      </c>
      <c r="AN725">
        <v>1</v>
      </c>
      <c r="AO725">
        <v>0</v>
      </c>
      <c r="AP725">
        <v>0</v>
      </c>
      <c r="AQ725">
        <v>0</v>
      </c>
      <c r="AR725">
        <v>0</v>
      </c>
      <c r="AS725">
        <v>0</v>
      </c>
      <c r="AT725">
        <v>0</v>
      </c>
      <c r="AU725">
        <v>0</v>
      </c>
      <c r="AV725">
        <v>0</v>
      </c>
      <c r="AW725">
        <v>0</v>
      </c>
      <c r="AX725" s="24">
        <f t="shared" si="73"/>
        <v>1</v>
      </c>
      <c r="AY725" s="24" t="str">
        <f t="shared" si="73"/>
        <v/>
      </c>
      <c r="AZ725" s="24" t="str">
        <f t="shared" si="74"/>
        <v/>
      </c>
      <c r="BA725" s="24" t="str">
        <f t="shared" si="74"/>
        <v/>
      </c>
      <c r="BB725" s="24" t="str">
        <f t="shared" si="74"/>
        <v/>
      </c>
      <c r="BC725" s="24" t="str">
        <f t="shared" si="74"/>
        <v/>
      </c>
      <c r="BD725" s="24" t="str">
        <f t="shared" si="74"/>
        <v/>
      </c>
      <c r="BE725" s="24" t="str">
        <f t="shared" si="74"/>
        <v/>
      </c>
      <c r="BF725" s="24" t="str">
        <f t="shared" si="74"/>
        <v/>
      </c>
      <c r="BG725" s="24" t="str">
        <f t="shared" si="74"/>
        <v/>
      </c>
      <c r="BH725" s="24" t="str">
        <f t="shared" si="76"/>
        <v/>
      </c>
      <c r="BI725" s="24">
        <f t="shared" si="74"/>
        <v>1</v>
      </c>
      <c r="BJ725" s="24" t="str">
        <f t="shared" si="77"/>
        <v/>
      </c>
    </row>
    <row r="726" spans="1:62" ht="15" customHeight="1" x14ac:dyDescent="0.25">
      <c r="A726" t="str">
        <f>"1619973575"</f>
        <v>1619973575</v>
      </c>
      <c r="B726" t="str">
        <f>"03279421"</f>
        <v>03279421</v>
      </c>
      <c r="C726" t="s">
        <v>4531</v>
      </c>
      <c r="D726" t="s">
        <v>4532</v>
      </c>
      <c r="E726" t="s">
        <v>4533</v>
      </c>
      <c r="G726" t="s">
        <v>1488</v>
      </c>
      <c r="H726" t="s">
        <v>787</v>
      </c>
      <c r="J726" t="s">
        <v>1489</v>
      </c>
      <c r="L726" t="s">
        <v>120</v>
      </c>
      <c r="M726" t="s">
        <v>139</v>
      </c>
      <c r="R726" t="s">
        <v>4534</v>
      </c>
      <c r="W726" t="s">
        <v>4531</v>
      </c>
      <c r="X726" t="s">
        <v>4535</v>
      </c>
      <c r="Y726" t="s">
        <v>4536</v>
      </c>
      <c r="Z726" t="s">
        <v>111</v>
      </c>
      <c r="AA726" t="str">
        <f>"13118-3427"</f>
        <v>13118-3427</v>
      </c>
      <c r="AB726" t="s">
        <v>123</v>
      </c>
      <c r="AC726" t="s">
        <v>113</v>
      </c>
      <c r="AD726" t="s">
        <v>108</v>
      </c>
      <c r="AE726" t="s">
        <v>114</v>
      </c>
      <c r="AF726" t="s">
        <v>142</v>
      </c>
      <c r="AG726" t="s">
        <v>116</v>
      </c>
      <c r="AK726" t="str">
        <f t="shared" si="75"/>
        <v/>
      </c>
      <c r="AL726" t="s">
        <v>4532</v>
      </c>
      <c r="AM726">
        <v>1</v>
      </c>
      <c r="AN726">
        <v>1</v>
      </c>
      <c r="AO726">
        <v>0</v>
      </c>
      <c r="AP726">
        <v>0</v>
      </c>
      <c r="AQ726">
        <v>1</v>
      </c>
      <c r="AR726">
        <v>1</v>
      </c>
      <c r="AS726">
        <v>0</v>
      </c>
      <c r="AT726">
        <v>0</v>
      </c>
      <c r="AU726">
        <v>1</v>
      </c>
      <c r="AV726">
        <v>0</v>
      </c>
      <c r="AW726">
        <v>0</v>
      </c>
      <c r="AX726" s="24">
        <f t="shared" si="73"/>
        <v>1</v>
      </c>
      <c r="AY726" s="24" t="str">
        <f t="shared" si="73"/>
        <v/>
      </c>
      <c r="AZ726" s="24" t="str">
        <f t="shared" si="74"/>
        <v/>
      </c>
      <c r="BA726" s="24" t="str">
        <f t="shared" si="74"/>
        <v/>
      </c>
      <c r="BB726" s="24" t="str">
        <f t="shared" si="74"/>
        <v/>
      </c>
      <c r="BC726" s="24" t="str">
        <f t="shared" si="74"/>
        <v/>
      </c>
      <c r="BD726" s="24" t="str">
        <f t="shared" si="74"/>
        <v/>
      </c>
      <c r="BE726" s="24" t="str">
        <f t="shared" si="74"/>
        <v/>
      </c>
      <c r="BF726" s="24" t="str">
        <f t="shared" si="74"/>
        <v/>
      </c>
      <c r="BG726" s="24" t="str">
        <f t="shared" si="74"/>
        <v/>
      </c>
      <c r="BH726" s="24" t="str">
        <f t="shared" si="76"/>
        <v/>
      </c>
      <c r="BI726" s="24">
        <f t="shared" si="74"/>
        <v>1</v>
      </c>
      <c r="BJ726" s="24" t="str">
        <f t="shared" si="77"/>
        <v/>
      </c>
    </row>
    <row r="727" spans="1:62" ht="15" customHeight="1" x14ac:dyDescent="0.25">
      <c r="A727" t="str">
        <f>"1467579896"</f>
        <v>1467579896</v>
      </c>
      <c r="B727" t="str">
        <f>"03075514"</f>
        <v>03075514</v>
      </c>
      <c r="C727" t="s">
        <v>479</v>
      </c>
      <c r="D727" t="s">
        <v>480</v>
      </c>
      <c r="E727" t="s">
        <v>481</v>
      </c>
      <c r="L727" t="s">
        <v>133</v>
      </c>
      <c r="M727" t="s">
        <v>108</v>
      </c>
      <c r="R727" t="s">
        <v>479</v>
      </c>
      <c r="W727" t="s">
        <v>482</v>
      </c>
      <c r="X727" t="s">
        <v>483</v>
      </c>
      <c r="Y727" t="s">
        <v>110</v>
      </c>
      <c r="Z727" t="s">
        <v>111</v>
      </c>
      <c r="AA727" t="str">
        <f>"13903-1642"</f>
        <v>13903-1642</v>
      </c>
      <c r="AB727" t="s">
        <v>123</v>
      </c>
      <c r="AC727" t="s">
        <v>113</v>
      </c>
      <c r="AD727" t="s">
        <v>108</v>
      </c>
      <c r="AE727" t="s">
        <v>114</v>
      </c>
      <c r="AF727" t="s">
        <v>115</v>
      </c>
      <c r="AG727" t="s">
        <v>116</v>
      </c>
      <c r="AK727" t="str">
        <f t="shared" si="75"/>
        <v>KARP JEANNE</v>
      </c>
      <c r="AL727" t="s">
        <v>480</v>
      </c>
      <c r="AM727" t="s">
        <v>108</v>
      </c>
      <c r="AN727" t="s">
        <v>108</v>
      </c>
      <c r="AO727" t="s">
        <v>108</v>
      </c>
      <c r="AP727" t="s">
        <v>108</v>
      </c>
      <c r="AQ727" t="s">
        <v>108</v>
      </c>
      <c r="AR727" t="s">
        <v>108</v>
      </c>
      <c r="AS727" t="s">
        <v>108</v>
      </c>
      <c r="AT727" t="s">
        <v>108</v>
      </c>
      <c r="AU727">
        <v>0</v>
      </c>
      <c r="AV727" t="s">
        <v>108</v>
      </c>
      <c r="AW727" t="s">
        <v>108</v>
      </c>
      <c r="AX727" s="24" t="str">
        <f t="shared" si="73"/>
        <v/>
      </c>
      <c r="AY727" s="24" t="str">
        <f t="shared" si="73"/>
        <v/>
      </c>
      <c r="AZ727" s="24" t="str">
        <f t="shared" si="74"/>
        <v/>
      </c>
      <c r="BA727" s="24" t="str">
        <f t="shared" si="74"/>
        <v/>
      </c>
      <c r="BB727" s="24" t="str">
        <f t="shared" si="74"/>
        <v/>
      </c>
      <c r="BC727" s="24" t="str">
        <f t="shared" si="74"/>
        <v/>
      </c>
      <c r="BD727" s="24" t="str">
        <f t="shared" si="74"/>
        <v/>
      </c>
      <c r="BE727" s="24" t="str">
        <f t="shared" si="74"/>
        <v/>
      </c>
      <c r="BF727" s="24" t="str">
        <f t="shared" ref="AZ727:BI753" si="78">IF(ISERROR(FIND(BF$1,$L727,1)),"",1)</f>
        <v/>
      </c>
      <c r="BG727" s="24" t="str">
        <f t="shared" si="78"/>
        <v/>
      </c>
      <c r="BH727" s="24" t="str">
        <f t="shared" si="76"/>
        <v/>
      </c>
      <c r="BI727" s="24" t="str">
        <f t="shared" si="78"/>
        <v/>
      </c>
      <c r="BJ727" s="24">
        <f t="shared" si="77"/>
        <v>1</v>
      </c>
    </row>
    <row r="728" spans="1:62" ht="15" customHeight="1" x14ac:dyDescent="0.25">
      <c r="A728" t="str">
        <f>"1710988266"</f>
        <v>1710988266</v>
      </c>
      <c r="B728" t="str">
        <f>"01166852"</f>
        <v>01166852</v>
      </c>
      <c r="C728" t="s">
        <v>2464</v>
      </c>
      <c r="D728" t="s">
        <v>2465</v>
      </c>
      <c r="E728" t="s">
        <v>2466</v>
      </c>
      <c r="L728" t="s">
        <v>6868</v>
      </c>
      <c r="M728" t="s">
        <v>108</v>
      </c>
      <c r="R728" t="s">
        <v>2464</v>
      </c>
      <c r="W728" t="s">
        <v>2466</v>
      </c>
      <c r="X728" t="s">
        <v>128</v>
      </c>
      <c r="Y728" t="s">
        <v>129</v>
      </c>
      <c r="Z728" t="s">
        <v>111</v>
      </c>
      <c r="AA728" t="str">
        <f>"13790-2597"</f>
        <v>13790-2597</v>
      </c>
      <c r="AB728" t="s">
        <v>123</v>
      </c>
      <c r="AC728" t="s">
        <v>113</v>
      </c>
      <c r="AD728" t="s">
        <v>108</v>
      </c>
      <c r="AE728" t="s">
        <v>114</v>
      </c>
      <c r="AF728" t="s">
        <v>115</v>
      </c>
      <c r="AG728" t="s">
        <v>116</v>
      </c>
      <c r="AK728" t="str">
        <f t="shared" si="75"/>
        <v/>
      </c>
      <c r="AL728" t="s">
        <v>2465</v>
      </c>
      <c r="AM728">
        <v>1</v>
      </c>
      <c r="AN728">
        <v>1</v>
      </c>
      <c r="AO728">
        <v>0</v>
      </c>
      <c r="AP728">
        <v>1</v>
      </c>
      <c r="AQ728">
        <v>1</v>
      </c>
      <c r="AR728">
        <v>0</v>
      </c>
      <c r="AS728">
        <v>0</v>
      </c>
      <c r="AT728">
        <v>0</v>
      </c>
      <c r="AU728">
        <v>0</v>
      </c>
      <c r="AV728">
        <v>0</v>
      </c>
      <c r="AW728">
        <v>0</v>
      </c>
      <c r="AX728" s="24">
        <f t="shared" si="73"/>
        <v>1</v>
      </c>
      <c r="AY728" s="24">
        <f t="shared" si="73"/>
        <v>1</v>
      </c>
      <c r="AZ728" s="24" t="str">
        <f t="shared" si="78"/>
        <v/>
      </c>
      <c r="BA728" s="24" t="str">
        <f t="shared" si="78"/>
        <v/>
      </c>
      <c r="BB728" s="24" t="str">
        <f t="shared" si="78"/>
        <v/>
      </c>
      <c r="BC728" s="24" t="str">
        <f t="shared" si="78"/>
        <v/>
      </c>
      <c r="BD728" s="24" t="str">
        <f t="shared" si="78"/>
        <v/>
      </c>
      <c r="BE728" s="24" t="str">
        <f t="shared" si="78"/>
        <v/>
      </c>
      <c r="BF728" s="24" t="str">
        <f t="shared" si="78"/>
        <v/>
      </c>
      <c r="BG728" s="24" t="str">
        <f t="shared" si="78"/>
        <v/>
      </c>
      <c r="BH728" s="24" t="str">
        <f t="shared" si="76"/>
        <v/>
      </c>
      <c r="BI728" s="24" t="str">
        <f t="shared" si="78"/>
        <v/>
      </c>
      <c r="BJ728" s="24" t="str">
        <f t="shared" si="77"/>
        <v/>
      </c>
    </row>
    <row r="729" spans="1:62" ht="15" customHeight="1" x14ac:dyDescent="0.25">
      <c r="A729" t="str">
        <f>"1558673434"</f>
        <v>1558673434</v>
      </c>
      <c r="B729" t="str">
        <f>"04012819"</f>
        <v>04012819</v>
      </c>
      <c r="C729" t="s">
        <v>6764</v>
      </c>
      <c r="D729" t="s">
        <v>7033</v>
      </c>
      <c r="E729" t="s">
        <v>6764</v>
      </c>
      <c r="G729" t="s">
        <v>6330</v>
      </c>
      <c r="H729" t="s">
        <v>6331</v>
      </c>
      <c r="J729" t="s">
        <v>6332</v>
      </c>
      <c r="L729" t="s">
        <v>6867</v>
      </c>
      <c r="M729" t="s">
        <v>108</v>
      </c>
      <c r="R729" t="s">
        <v>6764</v>
      </c>
      <c r="W729" t="s">
        <v>6764</v>
      </c>
      <c r="X729" t="s">
        <v>6889</v>
      </c>
      <c r="Y729" t="s">
        <v>129</v>
      </c>
      <c r="Z729" t="s">
        <v>111</v>
      </c>
      <c r="AA729" t="str">
        <f>"13790-1805"</f>
        <v>13790-1805</v>
      </c>
      <c r="AB729" t="s">
        <v>123</v>
      </c>
      <c r="AC729" t="s">
        <v>113</v>
      </c>
      <c r="AD729" t="s">
        <v>108</v>
      </c>
      <c r="AE729" t="s">
        <v>114</v>
      </c>
      <c r="AF729" t="s">
        <v>115</v>
      </c>
      <c r="AG729" t="s">
        <v>116</v>
      </c>
      <c r="AK729" t="str">
        <f t="shared" si="75"/>
        <v>KASIVAJJULA HIMABINDU</v>
      </c>
      <c r="AL729" t="s">
        <v>7033</v>
      </c>
      <c r="AM729" t="s">
        <v>108</v>
      </c>
      <c r="AN729" t="s">
        <v>108</v>
      </c>
      <c r="AO729" t="s">
        <v>108</v>
      </c>
      <c r="AP729" t="s">
        <v>108</v>
      </c>
      <c r="AQ729" t="s">
        <v>108</v>
      </c>
      <c r="AR729" t="s">
        <v>108</v>
      </c>
      <c r="AS729" t="s">
        <v>108</v>
      </c>
      <c r="AT729" t="s">
        <v>108</v>
      </c>
      <c r="AU729">
        <v>0</v>
      </c>
      <c r="AV729" t="s">
        <v>108</v>
      </c>
      <c r="AW729" t="s">
        <v>108</v>
      </c>
      <c r="AX729" s="24">
        <f t="shared" si="73"/>
        <v>1</v>
      </c>
      <c r="AY729" s="24">
        <f t="shared" si="73"/>
        <v>1</v>
      </c>
      <c r="AZ729" s="24" t="str">
        <f t="shared" si="78"/>
        <v/>
      </c>
      <c r="BA729" s="24" t="str">
        <f t="shared" si="78"/>
        <v/>
      </c>
      <c r="BB729" s="24" t="str">
        <f t="shared" si="78"/>
        <v/>
      </c>
      <c r="BC729" s="24" t="str">
        <f t="shared" si="78"/>
        <v/>
      </c>
      <c r="BD729" s="24" t="str">
        <f t="shared" si="78"/>
        <v/>
      </c>
      <c r="BE729" s="24" t="str">
        <f t="shared" si="78"/>
        <v/>
      </c>
      <c r="BF729" s="24" t="str">
        <f t="shared" si="78"/>
        <v/>
      </c>
      <c r="BG729" s="24" t="str">
        <f t="shared" si="78"/>
        <v/>
      </c>
      <c r="BH729" s="24" t="str">
        <f t="shared" si="76"/>
        <v/>
      </c>
      <c r="BI729" s="24">
        <f t="shared" si="78"/>
        <v>1</v>
      </c>
      <c r="BJ729" s="24" t="str">
        <f t="shared" si="77"/>
        <v/>
      </c>
    </row>
    <row r="730" spans="1:62" ht="15" customHeight="1" x14ac:dyDescent="0.25">
      <c r="A730" t="str">
        <f>"1861450496"</f>
        <v>1861450496</v>
      </c>
      <c r="B730" t="str">
        <f>"00839634"</f>
        <v>00839634</v>
      </c>
      <c r="C730" t="s">
        <v>3493</v>
      </c>
      <c r="D730" t="s">
        <v>3494</v>
      </c>
      <c r="E730" t="s">
        <v>3495</v>
      </c>
      <c r="L730" t="s">
        <v>6867</v>
      </c>
      <c r="M730" t="s">
        <v>108</v>
      </c>
      <c r="R730" t="s">
        <v>3493</v>
      </c>
      <c r="W730" t="s">
        <v>3495</v>
      </c>
      <c r="X730" t="s">
        <v>1237</v>
      </c>
      <c r="Y730" t="s">
        <v>129</v>
      </c>
      <c r="Z730" t="s">
        <v>111</v>
      </c>
      <c r="AA730" t="str">
        <f>"13790-2102"</f>
        <v>13790-2102</v>
      </c>
      <c r="AB730" t="s">
        <v>123</v>
      </c>
      <c r="AC730" t="s">
        <v>113</v>
      </c>
      <c r="AD730" t="s">
        <v>108</v>
      </c>
      <c r="AE730" t="s">
        <v>114</v>
      </c>
      <c r="AF730" t="s">
        <v>115</v>
      </c>
      <c r="AG730" t="s">
        <v>116</v>
      </c>
      <c r="AK730" t="str">
        <f t="shared" si="75"/>
        <v/>
      </c>
      <c r="AL730" t="s">
        <v>3494</v>
      </c>
      <c r="AM730">
        <v>1</v>
      </c>
      <c r="AN730">
        <v>1</v>
      </c>
      <c r="AO730">
        <v>0</v>
      </c>
      <c r="AP730">
        <v>1</v>
      </c>
      <c r="AQ730">
        <v>1</v>
      </c>
      <c r="AR730">
        <v>0</v>
      </c>
      <c r="AS730">
        <v>0</v>
      </c>
      <c r="AT730">
        <v>0</v>
      </c>
      <c r="AU730">
        <v>0</v>
      </c>
      <c r="AV730">
        <v>0</v>
      </c>
      <c r="AW730">
        <v>0</v>
      </c>
      <c r="AX730" s="24">
        <f t="shared" si="73"/>
        <v>1</v>
      </c>
      <c r="AY730" s="24">
        <f t="shared" si="73"/>
        <v>1</v>
      </c>
      <c r="AZ730" s="24" t="str">
        <f t="shared" si="78"/>
        <v/>
      </c>
      <c r="BA730" s="24" t="str">
        <f t="shared" si="78"/>
        <v/>
      </c>
      <c r="BB730" s="24" t="str">
        <f t="shared" si="78"/>
        <v/>
      </c>
      <c r="BC730" s="24" t="str">
        <f t="shared" si="78"/>
        <v/>
      </c>
      <c r="BD730" s="24" t="str">
        <f t="shared" si="78"/>
        <v/>
      </c>
      <c r="BE730" s="24" t="str">
        <f t="shared" si="78"/>
        <v/>
      </c>
      <c r="BF730" s="24" t="str">
        <f t="shared" si="78"/>
        <v/>
      </c>
      <c r="BG730" s="24" t="str">
        <f t="shared" si="78"/>
        <v/>
      </c>
      <c r="BH730" s="24" t="str">
        <f t="shared" si="76"/>
        <v/>
      </c>
      <c r="BI730" s="24">
        <f t="shared" si="78"/>
        <v>1</v>
      </c>
      <c r="BJ730" s="24" t="str">
        <f t="shared" si="77"/>
        <v/>
      </c>
    </row>
    <row r="731" spans="1:62" ht="15" customHeight="1" x14ac:dyDescent="0.25">
      <c r="A731" t="str">
        <f>"1205823705"</f>
        <v>1205823705</v>
      </c>
      <c r="B731" t="str">
        <f>"03371648"</f>
        <v>03371648</v>
      </c>
      <c r="C731" t="s">
        <v>3725</v>
      </c>
      <c r="D731" t="s">
        <v>3726</v>
      </c>
      <c r="E731" t="s">
        <v>3727</v>
      </c>
      <c r="G731" t="s">
        <v>2363</v>
      </c>
      <c r="H731" t="s">
        <v>2364</v>
      </c>
      <c r="J731" t="s">
        <v>3728</v>
      </c>
      <c r="L731" t="s">
        <v>120</v>
      </c>
      <c r="M731" t="s">
        <v>108</v>
      </c>
      <c r="R731" t="s">
        <v>3729</v>
      </c>
      <c r="W731" t="s">
        <v>3727</v>
      </c>
      <c r="X731" t="s">
        <v>2367</v>
      </c>
      <c r="Y731" t="s">
        <v>2368</v>
      </c>
      <c r="Z731" t="s">
        <v>111</v>
      </c>
      <c r="AA731" t="str">
        <f>"14886-9201"</f>
        <v>14886-9201</v>
      </c>
      <c r="AB731" t="s">
        <v>123</v>
      </c>
      <c r="AC731" t="s">
        <v>113</v>
      </c>
      <c r="AD731" t="s">
        <v>108</v>
      </c>
      <c r="AE731" t="s">
        <v>114</v>
      </c>
      <c r="AF731" t="s">
        <v>142</v>
      </c>
      <c r="AG731" t="s">
        <v>116</v>
      </c>
      <c r="AK731" t="str">
        <f t="shared" si="75"/>
        <v/>
      </c>
      <c r="AL731" t="s">
        <v>3726</v>
      </c>
      <c r="AM731">
        <v>1</v>
      </c>
      <c r="AN731">
        <v>1</v>
      </c>
      <c r="AO731">
        <v>0</v>
      </c>
      <c r="AP731">
        <v>1</v>
      </c>
      <c r="AQ731">
        <v>1</v>
      </c>
      <c r="AR731">
        <v>1</v>
      </c>
      <c r="AS731">
        <v>0</v>
      </c>
      <c r="AT731">
        <v>0</v>
      </c>
      <c r="AU731">
        <v>1</v>
      </c>
      <c r="AV731">
        <v>0</v>
      </c>
      <c r="AW731">
        <v>0</v>
      </c>
      <c r="AX731" s="24">
        <f t="shared" si="73"/>
        <v>1</v>
      </c>
      <c r="AY731" s="24" t="str">
        <f t="shared" si="73"/>
        <v/>
      </c>
      <c r="AZ731" s="24" t="str">
        <f t="shared" si="78"/>
        <v/>
      </c>
      <c r="BA731" s="24" t="str">
        <f t="shared" si="78"/>
        <v/>
      </c>
      <c r="BB731" s="24" t="str">
        <f t="shared" si="78"/>
        <v/>
      </c>
      <c r="BC731" s="24" t="str">
        <f t="shared" si="78"/>
        <v/>
      </c>
      <c r="BD731" s="24" t="str">
        <f t="shared" si="78"/>
        <v/>
      </c>
      <c r="BE731" s="24" t="str">
        <f t="shared" si="78"/>
        <v/>
      </c>
      <c r="BF731" s="24" t="str">
        <f t="shared" si="78"/>
        <v/>
      </c>
      <c r="BG731" s="24" t="str">
        <f t="shared" si="78"/>
        <v/>
      </c>
      <c r="BH731" s="24" t="str">
        <f t="shared" si="76"/>
        <v/>
      </c>
      <c r="BI731" s="24">
        <f t="shared" si="78"/>
        <v>1</v>
      </c>
      <c r="BJ731" s="24" t="str">
        <f t="shared" si="77"/>
        <v/>
      </c>
    </row>
    <row r="732" spans="1:62" ht="15" customHeight="1" x14ac:dyDescent="0.25">
      <c r="A732" t="str">
        <f>"1528476629"</f>
        <v>1528476629</v>
      </c>
      <c r="B732" t="str">
        <f>"03940181"</f>
        <v>03940181</v>
      </c>
      <c r="C732" t="s">
        <v>6581</v>
      </c>
      <c r="D732" t="s">
        <v>6582</v>
      </c>
      <c r="E732" t="s">
        <v>6583</v>
      </c>
      <c r="G732" t="s">
        <v>6302</v>
      </c>
      <c r="H732" t="s">
        <v>3155</v>
      </c>
      <c r="J732" t="s">
        <v>6303</v>
      </c>
      <c r="L732" t="s">
        <v>247</v>
      </c>
      <c r="M732" t="s">
        <v>108</v>
      </c>
      <c r="R732" t="s">
        <v>6584</v>
      </c>
      <c r="W732" t="s">
        <v>6583</v>
      </c>
      <c r="X732" t="s">
        <v>3158</v>
      </c>
      <c r="Y732" t="s">
        <v>293</v>
      </c>
      <c r="Z732" t="s">
        <v>111</v>
      </c>
      <c r="AA732" t="str">
        <f>"14850-1055"</f>
        <v>14850-1055</v>
      </c>
      <c r="AB732" t="s">
        <v>123</v>
      </c>
      <c r="AC732" t="s">
        <v>113</v>
      </c>
      <c r="AD732" t="s">
        <v>108</v>
      </c>
      <c r="AE732" t="s">
        <v>114</v>
      </c>
      <c r="AF732" t="s">
        <v>142</v>
      </c>
      <c r="AG732" t="s">
        <v>116</v>
      </c>
      <c r="AK732" t="str">
        <f t="shared" si="75"/>
        <v>Katherine Rudert</v>
      </c>
      <c r="AL732" t="s">
        <v>6582</v>
      </c>
      <c r="AM732" t="s">
        <v>108</v>
      </c>
      <c r="AN732" t="s">
        <v>108</v>
      </c>
      <c r="AO732" t="s">
        <v>108</v>
      </c>
      <c r="AP732" t="s">
        <v>108</v>
      </c>
      <c r="AQ732" t="s">
        <v>108</v>
      </c>
      <c r="AR732" t="s">
        <v>108</v>
      </c>
      <c r="AS732" t="s">
        <v>108</v>
      </c>
      <c r="AT732" t="s">
        <v>108</v>
      </c>
      <c r="AU732">
        <v>0</v>
      </c>
      <c r="AV732" t="s">
        <v>108</v>
      </c>
      <c r="AW732" t="s">
        <v>108</v>
      </c>
      <c r="AX732" s="24" t="str">
        <f t="shared" si="73"/>
        <v/>
      </c>
      <c r="AY732" s="24">
        <f t="shared" si="73"/>
        <v>1</v>
      </c>
      <c r="AZ732" s="24" t="str">
        <f t="shared" si="78"/>
        <v/>
      </c>
      <c r="BA732" s="24" t="str">
        <f t="shared" si="78"/>
        <v/>
      </c>
      <c r="BB732" s="24" t="str">
        <f t="shared" si="78"/>
        <v/>
      </c>
      <c r="BC732" s="24" t="str">
        <f t="shared" si="78"/>
        <v/>
      </c>
      <c r="BD732" s="24" t="str">
        <f t="shared" si="78"/>
        <v/>
      </c>
      <c r="BE732" s="24" t="str">
        <f t="shared" si="78"/>
        <v/>
      </c>
      <c r="BF732" s="24" t="str">
        <f t="shared" si="78"/>
        <v/>
      </c>
      <c r="BG732" s="24" t="str">
        <f t="shared" si="78"/>
        <v/>
      </c>
      <c r="BH732" s="24" t="str">
        <f t="shared" si="76"/>
        <v/>
      </c>
      <c r="BI732" s="24" t="str">
        <f t="shared" si="78"/>
        <v/>
      </c>
      <c r="BJ732" s="24" t="str">
        <f t="shared" si="77"/>
        <v/>
      </c>
    </row>
    <row r="733" spans="1:62" ht="15" customHeight="1" x14ac:dyDescent="0.25">
      <c r="A733" t="str">
        <f>"1568718369"</f>
        <v>1568718369</v>
      </c>
      <c r="B733" t="str">
        <f>"03497972"</f>
        <v>03497972</v>
      </c>
      <c r="C733" t="s">
        <v>355</v>
      </c>
      <c r="D733" t="s">
        <v>356</v>
      </c>
      <c r="E733" t="s">
        <v>357</v>
      </c>
      <c r="G733" t="s">
        <v>355</v>
      </c>
      <c r="H733" t="s">
        <v>331</v>
      </c>
      <c r="J733" t="s">
        <v>358</v>
      </c>
      <c r="L733" t="s">
        <v>120</v>
      </c>
      <c r="M733" t="s">
        <v>108</v>
      </c>
      <c r="R733" t="s">
        <v>359</v>
      </c>
      <c r="W733" t="s">
        <v>360</v>
      </c>
      <c r="X733" t="s">
        <v>361</v>
      </c>
      <c r="Y733" t="s">
        <v>110</v>
      </c>
      <c r="Z733" t="s">
        <v>111</v>
      </c>
      <c r="AA733" t="str">
        <f>"13901-3903"</f>
        <v>13901-3903</v>
      </c>
      <c r="AB733" t="s">
        <v>123</v>
      </c>
      <c r="AC733" t="s">
        <v>113</v>
      </c>
      <c r="AD733" t="s">
        <v>108</v>
      </c>
      <c r="AE733" t="s">
        <v>114</v>
      </c>
      <c r="AF733" t="s">
        <v>115</v>
      </c>
      <c r="AG733" t="s">
        <v>116</v>
      </c>
      <c r="AK733" t="str">
        <f t="shared" si="75"/>
        <v/>
      </c>
      <c r="AL733" t="s">
        <v>356</v>
      </c>
      <c r="AM733">
        <v>0</v>
      </c>
      <c r="AN733">
        <v>0</v>
      </c>
      <c r="AO733">
        <v>0</v>
      </c>
      <c r="AP733">
        <v>0</v>
      </c>
      <c r="AQ733">
        <v>0</v>
      </c>
      <c r="AR733">
        <v>0</v>
      </c>
      <c r="AS733">
        <v>0</v>
      </c>
      <c r="AT733">
        <v>0</v>
      </c>
      <c r="AU733">
        <v>0</v>
      </c>
      <c r="AV733">
        <v>0</v>
      </c>
      <c r="AW733">
        <v>0</v>
      </c>
      <c r="AX733" s="24">
        <f t="shared" si="73"/>
        <v>1</v>
      </c>
      <c r="AY733" s="24" t="str">
        <f t="shared" si="73"/>
        <v/>
      </c>
      <c r="AZ733" s="24" t="str">
        <f t="shared" si="78"/>
        <v/>
      </c>
      <c r="BA733" s="24" t="str">
        <f t="shared" si="78"/>
        <v/>
      </c>
      <c r="BB733" s="24" t="str">
        <f t="shared" si="78"/>
        <v/>
      </c>
      <c r="BC733" s="24" t="str">
        <f t="shared" si="78"/>
        <v/>
      </c>
      <c r="BD733" s="24" t="str">
        <f t="shared" si="78"/>
        <v/>
      </c>
      <c r="BE733" s="24" t="str">
        <f t="shared" si="78"/>
        <v/>
      </c>
      <c r="BF733" s="24" t="str">
        <f t="shared" si="78"/>
        <v/>
      </c>
      <c r="BG733" s="24" t="str">
        <f t="shared" si="78"/>
        <v/>
      </c>
      <c r="BH733" s="24" t="str">
        <f t="shared" si="76"/>
        <v/>
      </c>
      <c r="BI733" s="24">
        <f t="shared" si="78"/>
        <v>1</v>
      </c>
      <c r="BJ733" s="24" t="str">
        <f t="shared" si="77"/>
        <v/>
      </c>
    </row>
    <row r="734" spans="1:62" ht="15" customHeight="1" x14ac:dyDescent="0.25">
      <c r="A734" t="str">
        <f>"1528134723"</f>
        <v>1528134723</v>
      </c>
      <c r="B734" t="str">
        <f>"02703184"</f>
        <v>02703184</v>
      </c>
      <c r="C734" t="s">
        <v>3179</v>
      </c>
      <c r="D734" t="s">
        <v>3180</v>
      </c>
      <c r="E734" t="s">
        <v>3181</v>
      </c>
      <c r="G734" t="s">
        <v>3174</v>
      </c>
      <c r="H734" t="s">
        <v>3175</v>
      </c>
      <c r="J734" t="s">
        <v>3182</v>
      </c>
      <c r="L734" t="s">
        <v>138</v>
      </c>
      <c r="M734" t="s">
        <v>108</v>
      </c>
      <c r="R734" t="s">
        <v>3183</v>
      </c>
      <c r="W734" t="s">
        <v>3184</v>
      </c>
      <c r="X734" t="s">
        <v>3178</v>
      </c>
      <c r="Y734" t="s">
        <v>293</v>
      </c>
      <c r="Z734" t="s">
        <v>111</v>
      </c>
      <c r="AA734" t="str">
        <f>"14850-1857"</f>
        <v>14850-1857</v>
      </c>
      <c r="AB734" t="s">
        <v>123</v>
      </c>
      <c r="AC734" t="s">
        <v>113</v>
      </c>
      <c r="AD734" t="s">
        <v>108</v>
      </c>
      <c r="AE734" t="s">
        <v>114</v>
      </c>
      <c r="AF734" t="s">
        <v>142</v>
      </c>
      <c r="AG734" t="s">
        <v>116</v>
      </c>
      <c r="AK734" t="str">
        <f t="shared" si="75"/>
        <v/>
      </c>
      <c r="AL734" t="s">
        <v>3180</v>
      </c>
      <c r="AM734">
        <v>1</v>
      </c>
      <c r="AN734">
        <v>1</v>
      </c>
      <c r="AO734">
        <v>0</v>
      </c>
      <c r="AP734">
        <v>0</v>
      </c>
      <c r="AQ734">
        <v>0</v>
      </c>
      <c r="AR734">
        <v>0</v>
      </c>
      <c r="AS734">
        <v>0</v>
      </c>
      <c r="AT734">
        <v>0</v>
      </c>
      <c r="AU734">
        <v>0</v>
      </c>
      <c r="AV734">
        <v>0</v>
      </c>
      <c r="AW734">
        <v>0</v>
      </c>
      <c r="AX734" s="24" t="str">
        <f t="shared" si="73"/>
        <v/>
      </c>
      <c r="AY734" s="24">
        <f t="shared" si="73"/>
        <v>1</v>
      </c>
      <c r="AZ734" s="24" t="str">
        <f t="shared" si="78"/>
        <v/>
      </c>
      <c r="BA734" s="24" t="str">
        <f t="shared" si="78"/>
        <v/>
      </c>
      <c r="BB734" s="24" t="str">
        <f t="shared" si="78"/>
        <v/>
      </c>
      <c r="BC734" s="24" t="str">
        <f t="shared" si="78"/>
        <v/>
      </c>
      <c r="BD734" s="24" t="str">
        <f t="shared" si="78"/>
        <v/>
      </c>
      <c r="BE734" s="24" t="str">
        <f t="shared" si="78"/>
        <v/>
      </c>
      <c r="BF734" s="24" t="str">
        <f t="shared" si="78"/>
        <v/>
      </c>
      <c r="BG734" s="24" t="str">
        <f t="shared" si="78"/>
        <v/>
      </c>
      <c r="BH734" s="24" t="str">
        <f t="shared" si="76"/>
        <v/>
      </c>
      <c r="BI734" s="24">
        <f t="shared" si="78"/>
        <v>1</v>
      </c>
      <c r="BJ734" s="24" t="str">
        <f t="shared" si="77"/>
        <v/>
      </c>
    </row>
    <row r="735" spans="1:62" ht="15" customHeight="1" x14ac:dyDescent="0.25">
      <c r="A735" t="str">
        <f>"1326100322"</f>
        <v>1326100322</v>
      </c>
      <c r="B735" t="str">
        <f>"02668880"</f>
        <v>02668880</v>
      </c>
      <c r="C735" t="s">
        <v>6573</v>
      </c>
      <c r="D735" t="s">
        <v>6574</v>
      </c>
      <c r="E735" t="s">
        <v>6575</v>
      </c>
      <c r="G735" t="s">
        <v>6302</v>
      </c>
      <c r="H735" t="s">
        <v>3155</v>
      </c>
      <c r="J735" t="s">
        <v>6303</v>
      </c>
      <c r="L735" t="s">
        <v>247</v>
      </c>
      <c r="M735" t="s">
        <v>108</v>
      </c>
      <c r="R735" t="s">
        <v>6576</v>
      </c>
      <c r="W735" t="s">
        <v>6575</v>
      </c>
      <c r="X735" t="s">
        <v>2097</v>
      </c>
      <c r="Y735" t="s">
        <v>927</v>
      </c>
      <c r="Z735" t="s">
        <v>111</v>
      </c>
      <c r="AA735" t="str">
        <f>"14905-1629"</f>
        <v>14905-1629</v>
      </c>
      <c r="AB735" t="s">
        <v>123</v>
      </c>
      <c r="AC735" t="s">
        <v>113</v>
      </c>
      <c r="AD735" t="s">
        <v>108</v>
      </c>
      <c r="AE735" t="s">
        <v>114</v>
      </c>
      <c r="AF735" t="s">
        <v>142</v>
      </c>
      <c r="AG735" t="s">
        <v>116</v>
      </c>
      <c r="AK735" t="str">
        <f t="shared" si="75"/>
        <v>Kathleen Murphy</v>
      </c>
      <c r="AL735" t="s">
        <v>6574</v>
      </c>
      <c r="AM735" t="s">
        <v>108</v>
      </c>
      <c r="AN735" t="s">
        <v>108</v>
      </c>
      <c r="AO735" t="s">
        <v>108</v>
      </c>
      <c r="AP735" t="s">
        <v>108</v>
      </c>
      <c r="AQ735" t="s">
        <v>108</v>
      </c>
      <c r="AR735" t="s">
        <v>108</v>
      </c>
      <c r="AS735" t="s">
        <v>108</v>
      </c>
      <c r="AT735" t="s">
        <v>108</v>
      </c>
      <c r="AU735">
        <v>0</v>
      </c>
      <c r="AV735" t="s">
        <v>108</v>
      </c>
      <c r="AW735" t="s">
        <v>108</v>
      </c>
      <c r="AX735" s="24" t="str">
        <f t="shared" si="73"/>
        <v/>
      </c>
      <c r="AY735" s="24">
        <f t="shared" si="73"/>
        <v>1</v>
      </c>
      <c r="AZ735" s="24" t="str">
        <f t="shared" si="78"/>
        <v/>
      </c>
      <c r="BA735" s="24" t="str">
        <f t="shared" si="78"/>
        <v/>
      </c>
      <c r="BB735" s="24" t="str">
        <f t="shared" si="78"/>
        <v/>
      </c>
      <c r="BC735" s="24" t="str">
        <f t="shared" si="78"/>
        <v/>
      </c>
      <c r="BD735" s="24" t="str">
        <f t="shared" si="78"/>
        <v/>
      </c>
      <c r="BE735" s="24" t="str">
        <f t="shared" si="78"/>
        <v/>
      </c>
      <c r="BF735" s="24" t="str">
        <f t="shared" si="78"/>
        <v/>
      </c>
      <c r="BG735" s="24" t="str">
        <f t="shared" si="78"/>
        <v/>
      </c>
      <c r="BH735" s="24" t="str">
        <f t="shared" si="76"/>
        <v/>
      </c>
      <c r="BI735" s="24" t="str">
        <f t="shared" si="78"/>
        <v/>
      </c>
      <c r="BJ735" s="24" t="str">
        <f t="shared" si="77"/>
        <v/>
      </c>
    </row>
    <row r="736" spans="1:62" ht="15" customHeight="1" x14ac:dyDescent="0.25">
      <c r="A736" t="str">
        <f>"1245301480"</f>
        <v>1245301480</v>
      </c>
      <c r="B736" t="str">
        <f>"03513760"</f>
        <v>03513760</v>
      </c>
      <c r="C736" t="s">
        <v>6156</v>
      </c>
      <c r="D736" t="s">
        <v>6157</v>
      </c>
      <c r="E736" t="s">
        <v>6158</v>
      </c>
      <c r="G736" t="s">
        <v>815</v>
      </c>
      <c r="H736" t="s">
        <v>816</v>
      </c>
      <c r="J736" t="s">
        <v>817</v>
      </c>
      <c r="L736" t="s">
        <v>985</v>
      </c>
      <c r="M736" t="s">
        <v>108</v>
      </c>
      <c r="R736" t="s">
        <v>6159</v>
      </c>
      <c r="W736" t="s">
        <v>6158</v>
      </c>
      <c r="X736" t="s">
        <v>6160</v>
      </c>
      <c r="Y736" t="s">
        <v>110</v>
      </c>
      <c r="Z736" t="s">
        <v>111</v>
      </c>
      <c r="AA736" t="str">
        <f>"13901-3515"</f>
        <v>13901-3515</v>
      </c>
      <c r="AB736" t="s">
        <v>123</v>
      </c>
      <c r="AC736" t="s">
        <v>113</v>
      </c>
      <c r="AD736" t="s">
        <v>108</v>
      </c>
      <c r="AE736" t="s">
        <v>114</v>
      </c>
      <c r="AF736" t="s">
        <v>115</v>
      </c>
      <c r="AG736" t="s">
        <v>116</v>
      </c>
      <c r="AK736" t="str">
        <f t="shared" si="75"/>
        <v>Kathryn A. Hooper, FNP</v>
      </c>
      <c r="AL736" t="s">
        <v>6157</v>
      </c>
      <c r="AM736" t="s">
        <v>108</v>
      </c>
      <c r="AN736" t="s">
        <v>108</v>
      </c>
      <c r="AO736" t="s">
        <v>108</v>
      </c>
      <c r="AP736" t="s">
        <v>108</v>
      </c>
      <c r="AQ736" t="s">
        <v>108</v>
      </c>
      <c r="AR736" t="s">
        <v>108</v>
      </c>
      <c r="AS736" t="s">
        <v>108</v>
      </c>
      <c r="AT736" t="s">
        <v>108</v>
      </c>
      <c r="AU736">
        <v>0</v>
      </c>
      <c r="AV736" t="s">
        <v>108</v>
      </c>
      <c r="AW736" t="s">
        <v>108</v>
      </c>
      <c r="AX736" s="24" t="str">
        <f t="shared" si="73"/>
        <v/>
      </c>
      <c r="AY736" s="24">
        <f t="shared" si="73"/>
        <v>1</v>
      </c>
      <c r="AZ736" s="24" t="str">
        <f t="shared" si="78"/>
        <v/>
      </c>
      <c r="BA736" s="24" t="str">
        <f t="shared" si="78"/>
        <v/>
      </c>
      <c r="BB736" s="24" t="str">
        <f t="shared" si="78"/>
        <v/>
      </c>
      <c r="BC736" s="24">
        <f t="shared" si="78"/>
        <v>1</v>
      </c>
      <c r="BD736" s="24" t="str">
        <f t="shared" si="78"/>
        <v/>
      </c>
      <c r="BE736" s="24" t="str">
        <f t="shared" si="78"/>
        <v/>
      </c>
      <c r="BF736" s="24" t="str">
        <f t="shared" si="78"/>
        <v/>
      </c>
      <c r="BG736" s="24" t="str">
        <f t="shared" si="78"/>
        <v/>
      </c>
      <c r="BH736" s="24" t="str">
        <f t="shared" si="76"/>
        <v/>
      </c>
      <c r="BI736" s="24">
        <f t="shared" si="78"/>
        <v>1</v>
      </c>
      <c r="BJ736" s="24" t="str">
        <f t="shared" si="77"/>
        <v/>
      </c>
    </row>
    <row r="737" spans="1:62" ht="15" customHeight="1" x14ac:dyDescent="0.25">
      <c r="A737" t="str">
        <f>"1578798922"</f>
        <v>1578798922</v>
      </c>
      <c r="B737" t="str">
        <f>"03496742"</f>
        <v>03496742</v>
      </c>
      <c r="C737" t="s">
        <v>5553</v>
      </c>
      <c r="D737" t="s">
        <v>5554</v>
      </c>
      <c r="E737" t="s">
        <v>5555</v>
      </c>
      <c r="G737" t="s">
        <v>5294</v>
      </c>
      <c r="H737" t="s">
        <v>2626</v>
      </c>
      <c r="J737" t="s">
        <v>5556</v>
      </c>
      <c r="L737" t="s">
        <v>442</v>
      </c>
      <c r="M737" t="s">
        <v>108</v>
      </c>
      <c r="R737" t="s">
        <v>5557</v>
      </c>
      <c r="W737" t="s">
        <v>5555</v>
      </c>
      <c r="X737" t="s">
        <v>302</v>
      </c>
      <c r="Y737" t="s">
        <v>293</v>
      </c>
      <c r="Z737" t="s">
        <v>111</v>
      </c>
      <c r="AA737" t="str">
        <f>"14850-1342"</f>
        <v>14850-1342</v>
      </c>
      <c r="AB737" t="s">
        <v>123</v>
      </c>
      <c r="AC737" t="s">
        <v>113</v>
      </c>
      <c r="AD737" t="s">
        <v>108</v>
      </c>
      <c r="AE737" t="s">
        <v>114</v>
      </c>
      <c r="AF737" t="s">
        <v>142</v>
      </c>
      <c r="AG737" t="s">
        <v>116</v>
      </c>
      <c r="AK737" t="str">
        <f t="shared" si="75"/>
        <v/>
      </c>
      <c r="AL737" t="s">
        <v>5554</v>
      </c>
      <c r="AM737">
        <v>1</v>
      </c>
      <c r="AN737">
        <v>1</v>
      </c>
      <c r="AO737">
        <v>0</v>
      </c>
      <c r="AP737">
        <v>0</v>
      </c>
      <c r="AQ737">
        <v>0</v>
      </c>
      <c r="AR737">
        <v>0</v>
      </c>
      <c r="AS737">
        <v>0</v>
      </c>
      <c r="AT737">
        <v>0</v>
      </c>
      <c r="AU737">
        <v>0</v>
      </c>
      <c r="AV737">
        <v>0</v>
      </c>
      <c r="AW737">
        <v>0</v>
      </c>
      <c r="AX737" s="24">
        <f t="shared" si="73"/>
        <v>1</v>
      </c>
      <c r="AY737" s="24" t="str">
        <f t="shared" si="73"/>
        <v/>
      </c>
      <c r="AZ737" s="24" t="str">
        <f t="shared" si="78"/>
        <v/>
      </c>
      <c r="BA737" s="24" t="str">
        <f t="shared" si="78"/>
        <v/>
      </c>
      <c r="BB737" s="24" t="str">
        <f t="shared" si="78"/>
        <v/>
      </c>
      <c r="BC737" s="24" t="str">
        <f t="shared" si="78"/>
        <v/>
      </c>
      <c r="BD737" s="24" t="str">
        <f t="shared" si="78"/>
        <v/>
      </c>
      <c r="BE737" s="24" t="str">
        <f t="shared" si="78"/>
        <v/>
      </c>
      <c r="BF737" s="24" t="str">
        <f t="shared" si="78"/>
        <v/>
      </c>
      <c r="BG737" s="24" t="str">
        <f t="shared" si="78"/>
        <v/>
      </c>
      <c r="BH737" s="24" t="str">
        <f t="shared" si="76"/>
        <v/>
      </c>
      <c r="BI737" s="24" t="str">
        <f t="shared" si="78"/>
        <v/>
      </c>
      <c r="BJ737" s="24" t="str">
        <f t="shared" si="77"/>
        <v/>
      </c>
    </row>
    <row r="738" spans="1:62" ht="15" customHeight="1" x14ac:dyDescent="0.25">
      <c r="A738" t="str">
        <f>"1831379783"</f>
        <v>1831379783</v>
      </c>
      <c r="B738" t="str">
        <f>"02938838"</f>
        <v>02938838</v>
      </c>
      <c r="C738" t="s">
        <v>3321</v>
      </c>
      <c r="D738" t="s">
        <v>3322</v>
      </c>
      <c r="E738" t="s">
        <v>3323</v>
      </c>
      <c r="G738" t="s">
        <v>786</v>
      </c>
      <c r="H738" t="s">
        <v>787</v>
      </c>
      <c r="J738" t="s">
        <v>788</v>
      </c>
      <c r="L738" t="s">
        <v>6867</v>
      </c>
      <c r="M738" t="s">
        <v>139</v>
      </c>
      <c r="R738" t="s">
        <v>3321</v>
      </c>
      <c r="W738" t="s">
        <v>3323</v>
      </c>
      <c r="X738" t="s">
        <v>3324</v>
      </c>
      <c r="Y738" t="s">
        <v>3325</v>
      </c>
      <c r="Z738" t="s">
        <v>1647</v>
      </c>
      <c r="AA738" t="str">
        <f>"01201-6502"</f>
        <v>01201-6502</v>
      </c>
      <c r="AB738" t="s">
        <v>123</v>
      </c>
      <c r="AC738" t="s">
        <v>113</v>
      </c>
      <c r="AD738" t="s">
        <v>108</v>
      </c>
      <c r="AE738" t="s">
        <v>114</v>
      </c>
      <c r="AF738" t="s">
        <v>142</v>
      </c>
      <c r="AG738" t="s">
        <v>116</v>
      </c>
      <c r="AK738" t="str">
        <f t="shared" si="75"/>
        <v/>
      </c>
      <c r="AL738" t="s">
        <v>3322</v>
      </c>
      <c r="AM738">
        <v>0</v>
      </c>
      <c r="AN738">
        <v>0</v>
      </c>
      <c r="AO738">
        <v>0</v>
      </c>
      <c r="AP738">
        <v>0</v>
      </c>
      <c r="AQ738">
        <v>0</v>
      </c>
      <c r="AR738">
        <v>0</v>
      </c>
      <c r="AS738">
        <v>0</v>
      </c>
      <c r="AT738">
        <v>0</v>
      </c>
      <c r="AU738">
        <v>0</v>
      </c>
      <c r="AV738">
        <v>0</v>
      </c>
      <c r="AW738">
        <v>0</v>
      </c>
      <c r="AX738" s="24">
        <f t="shared" si="73"/>
        <v>1</v>
      </c>
      <c r="AY738" s="24">
        <f t="shared" si="73"/>
        <v>1</v>
      </c>
      <c r="AZ738" s="24" t="str">
        <f t="shared" si="78"/>
        <v/>
      </c>
      <c r="BA738" s="24" t="str">
        <f t="shared" si="78"/>
        <v/>
      </c>
      <c r="BB738" s="24" t="str">
        <f t="shared" si="78"/>
        <v/>
      </c>
      <c r="BC738" s="24" t="str">
        <f t="shared" si="78"/>
        <v/>
      </c>
      <c r="BD738" s="24" t="str">
        <f t="shared" si="78"/>
        <v/>
      </c>
      <c r="BE738" s="24" t="str">
        <f t="shared" si="78"/>
        <v/>
      </c>
      <c r="BF738" s="24" t="str">
        <f t="shared" si="78"/>
        <v/>
      </c>
      <c r="BG738" s="24" t="str">
        <f t="shared" si="78"/>
        <v/>
      </c>
      <c r="BH738" s="24" t="str">
        <f t="shared" si="76"/>
        <v/>
      </c>
      <c r="BI738" s="24">
        <f t="shared" si="78"/>
        <v>1</v>
      </c>
      <c r="BJ738" s="24" t="str">
        <f t="shared" si="77"/>
        <v/>
      </c>
    </row>
    <row r="739" spans="1:62" ht="15" customHeight="1" x14ac:dyDescent="0.25">
      <c r="A739" t="str">
        <f>"1851410377"</f>
        <v>1851410377</v>
      </c>
      <c r="B739" t="str">
        <f>"04059812"</f>
        <v>04059812</v>
      </c>
      <c r="C739" t="s">
        <v>5936</v>
      </c>
      <c r="D739" t="s">
        <v>5937</v>
      </c>
      <c r="E739" t="s">
        <v>5938</v>
      </c>
      <c r="G739" t="s">
        <v>815</v>
      </c>
      <c r="H739" t="s">
        <v>816</v>
      </c>
      <c r="J739" t="s">
        <v>817</v>
      </c>
      <c r="L739" t="s">
        <v>247</v>
      </c>
      <c r="M739" t="s">
        <v>108</v>
      </c>
      <c r="R739" t="s">
        <v>5939</v>
      </c>
      <c r="W739" t="s">
        <v>5938</v>
      </c>
      <c r="X739" t="s">
        <v>204</v>
      </c>
      <c r="Y739" t="s">
        <v>110</v>
      </c>
      <c r="Z739" t="s">
        <v>111</v>
      </c>
      <c r="AA739" t="str">
        <f>"13905-4246"</f>
        <v>13905-4246</v>
      </c>
      <c r="AB739" t="s">
        <v>123</v>
      </c>
      <c r="AC739" t="s">
        <v>113</v>
      </c>
      <c r="AD739" t="s">
        <v>108</v>
      </c>
      <c r="AE739" t="s">
        <v>114</v>
      </c>
      <c r="AF739" t="s">
        <v>115</v>
      </c>
      <c r="AG739" t="s">
        <v>116</v>
      </c>
      <c r="AK739" t="str">
        <f t="shared" si="75"/>
        <v>Kelly A. Werner, PA-C</v>
      </c>
      <c r="AL739" t="s">
        <v>5937</v>
      </c>
      <c r="AM739" t="s">
        <v>108</v>
      </c>
      <c r="AN739" t="s">
        <v>108</v>
      </c>
      <c r="AO739" t="s">
        <v>108</v>
      </c>
      <c r="AP739" t="s">
        <v>108</v>
      </c>
      <c r="AQ739" t="s">
        <v>108</v>
      </c>
      <c r="AR739" t="s">
        <v>108</v>
      </c>
      <c r="AS739" t="s">
        <v>108</v>
      </c>
      <c r="AT739" t="s">
        <v>108</v>
      </c>
      <c r="AU739">
        <v>0</v>
      </c>
      <c r="AV739" t="s">
        <v>108</v>
      </c>
      <c r="AW739" t="s">
        <v>108</v>
      </c>
      <c r="AX739" s="24" t="str">
        <f t="shared" si="73"/>
        <v/>
      </c>
      <c r="AY739" s="24">
        <f t="shared" si="73"/>
        <v>1</v>
      </c>
      <c r="AZ739" s="24" t="str">
        <f t="shared" si="78"/>
        <v/>
      </c>
      <c r="BA739" s="24" t="str">
        <f t="shared" si="78"/>
        <v/>
      </c>
      <c r="BB739" s="24" t="str">
        <f t="shared" si="78"/>
        <v/>
      </c>
      <c r="BC739" s="24" t="str">
        <f t="shared" si="78"/>
        <v/>
      </c>
      <c r="BD739" s="24" t="str">
        <f t="shared" si="78"/>
        <v/>
      </c>
      <c r="BE739" s="24" t="str">
        <f t="shared" si="78"/>
        <v/>
      </c>
      <c r="BF739" s="24" t="str">
        <f t="shared" si="78"/>
        <v/>
      </c>
      <c r="BG739" s="24" t="str">
        <f t="shared" si="78"/>
        <v/>
      </c>
      <c r="BH739" s="24" t="str">
        <f t="shared" si="76"/>
        <v/>
      </c>
      <c r="BI739" s="24" t="str">
        <f t="shared" si="78"/>
        <v/>
      </c>
      <c r="BJ739" s="24" t="str">
        <f t="shared" si="77"/>
        <v/>
      </c>
    </row>
    <row r="740" spans="1:62" ht="15" customHeight="1" x14ac:dyDescent="0.25">
      <c r="A740" t="str">
        <f>"1538160650"</f>
        <v>1538160650</v>
      </c>
      <c r="B740" t="str">
        <f>"02848135"</f>
        <v>02848135</v>
      </c>
      <c r="C740" t="s">
        <v>336</v>
      </c>
      <c r="D740" t="s">
        <v>337</v>
      </c>
      <c r="E740" t="s">
        <v>338</v>
      </c>
      <c r="G740" t="s">
        <v>336</v>
      </c>
      <c r="H740" t="s">
        <v>331</v>
      </c>
      <c r="J740" t="s">
        <v>339</v>
      </c>
      <c r="L740" t="s">
        <v>120</v>
      </c>
      <c r="M740" t="s">
        <v>108</v>
      </c>
      <c r="R740" t="s">
        <v>340</v>
      </c>
      <c r="W740" t="s">
        <v>341</v>
      </c>
      <c r="X740" t="s">
        <v>342</v>
      </c>
      <c r="Y740" t="s">
        <v>335</v>
      </c>
      <c r="Z740" t="s">
        <v>111</v>
      </c>
      <c r="AA740" t="str">
        <f>"13820-2239"</f>
        <v>13820-2239</v>
      </c>
      <c r="AB740" t="s">
        <v>123</v>
      </c>
      <c r="AC740" t="s">
        <v>113</v>
      </c>
      <c r="AD740" t="s">
        <v>108</v>
      </c>
      <c r="AE740" t="s">
        <v>114</v>
      </c>
      <c r="AF740" t="s">
        <v>124</v>
      </c>
      <c r="AG740" t="s">
        <v>116</v>
      </c>
      <c r="AK740" t="str">
        <f t="shared" si="75"/>
        <v/>
      </c>
      <c r="AL740" t="s">
        <v>337</v>
      </c>
      <c r="AM740">
        <v>0</v>
      </c>
      <c r="AN740">
        <v>0</v>
      </c>
      <c r="AO740">
        <v>0</v>
      </c>
      <c r="AP740">
        <v>0</v>
      </c>
      <c r="AQ740">
        <v>0</v>
      </c>
      <c r="AR740">
        <v>0</v>
      </c>
      <c r="AS740">
        <v>0</v>
      </c>
      <c r="AT740">
        <v>0</v>
      </c>
      <c r="AU740">
        <v>0</v>
      </c>
      <c r="AV740">
        <v>0</v>
      </c>
      <c r="AW740">
        <v>0</v>
      </c>
      <c r="AX740" s="24">
        <f t="shared" si="73"/>
        <v>1</v>
      </c>
      <c r="AY740" s="24" t="str">
        <f t="shared" si="73"/>
        <v/>
      </c>
      <c r="AZ740" s="24" t="str">
        <f t="shared" si="78"/>
        <v/>
      </c>
      <c r="BA740" s="24" t="str">
        <f t="shared" si="78"/>
        <v/>
      </c>
      <c r="BB740" s="24" t="str">
        <f t="shared" si="78"/>
        <v/>
      </c>
      <c r="BC740" s="24" t="str">
        <f t="shared" si="78"/>
        <v/>
      </c>
      <c r="BD740" s="24" t="str">
        <f t="shared" si="78"/>
        <v/>
      </c>
      <c r="BE740" s="24" t="str">
        <f t="shared" si="78"/>
        <v/>
      </c>
      <c r="BF740" s="24" t="str">
        <f t="shared" si="78"/>
        <v/>
      </c>
      <c r="BG740" s="24" t="str">
        <f t="shared" si="78"/>
        <v/>
      </c>
      <c r="BH740" s="24" t="str">
        <f t="shared" si="76"/>
        <v/>
      </c>
      <c r="BI740" s="24">
        <f t="shared" si="78"/>
        <v>1</v>
      </c>
      <c r="BJ740" s="24" t="str">
        <f t="shared" si="77"/>
        <v/>
      </c>
    </row>
    <row r="741" spans="1:62" ht="15" customHeight="1" x14ac:dyDescent="0.25">
      <c r="A741" t="str">
        <f>"1730427071"</f>
        <v>1730427071</v>
      </c>
      <c r="B741" t="str">
        <f>"03570270"</f>
        <v>03570270</v>
      </c>
      <c r="C741" t="s">
        <v>5378</v>
      </c>
      <c r="D741" t="s">
        <v>5379</v>
      </c>
      <c r="E741" t="s">
        <v>5380</v>
      </c>
      <c r="G741" t="s">
        <v>5378</v>
      </c>
      <c r="H741" t="s">
        <v>3687</v>
      </c>
      <c r="J741" t="s">
        <v>5381</v>
      </c>
      <c r="L741" t="s">
        <v>138</v>
      </c>
      <c r="M741" t="s">
        <v>108</v>
      </c>
      <c r="R741" t="s">
        <v>5382</v>
      </c>
      <c r="W741" t="s">
        <v>5380</v>
      </c>
      <c r="X741" t="s">
        <v>4040</v>
      </c>
      <c r="Y741" t="s">
        <v>966</v>
      </c>
      <c r="Z741" t="s">
        <v>111</v>
      </c>
      <c r="AA741" t="str">
        <f>"13850-3556"</f>
        <v>13850-3556</v>
      </c>
      <c r="AB741" t="s">
        <v>123</v>
      </c>
      <c r="AC741" t="s">
        <v>113</v>
      </c>
      <c r="AD741" t="s">
        <v>108</v>
      </c>
      <c r="AE741" t="s">
        <v>114</v>
      </c>
      <c r="AF741" t="s">
        <v>115</v>
      </c>
      <c r="AG741" t="s">
        <v>116</v>
      </c>
      <c r="AK741" t="str">
        <f t="shared" si="75"/>
        <v/>
      </c>
      <c r="AL741" t="s">
        <v>5379</v>
      </c>
      <c r="AM741">
        <v>1</v>
      </c>
      <c r="AN741">
        <v>1</v>
      </c>
      <c r="AO741">
        <v>0</v>
      </c>
      <c r="AP741">
        <v>1</v>
      </c>
      <c r="AQ741">
        <v>1</v>
      </c>
      <c r="AR741">
        <v>0</v>
      </c>
      <c r="AS741">
        <v>0</v>
      </c>
      <c r="AT741">
        <v>0</v>
      </c>
      <c r="AU741">
        <v>0</v>
      </c>
      <c r="AV741">
        <v>1</v>
      </c>
      <c r="AW741">
        <v>0</v>
      </c>
      <c r="AX741" s="24" t="str">
        <f t="shared" si="73"/>
        <v/>
      </c>
      <c r="AY741" s="24">
        <f t="shared" si="73"/>
        <v>1</v>
      </c>
      <c r="AZ741" s="24" t="str">
        <f t="shared" si="78"/>
        <v/>
      </c>
      <c r="BA741" s="24" t="str">
        <f t="shared" si="78"/>
        <v/>
      </c>
      <c r="BB741" s="24" t="str">
        <f t="shared" si="78"/>
        <v/>
      </c>
      <c r="BC741" s="24" t="str">
        <f t="shared" si="78"/>
        <v/>
      </c>
      <c r="BD741" s="24" t="str">
        <f t="shared" si="78"/>
        <v/>
      </c>
      <c r="BE741" s="24" t="str">
        <f t="shared" si="78"/>
        <v/>
      </c>
      <c r="BF741" s="24" t="str">
        <f t="shared" si="78"/>
        <v/>
      </c>
      <c r="BG741" s="24" t="str">
        <f t="shared" si="78"/>
        <v/>
      </c>
      <c r="BH741" s="24" t="str">
        <f t="shared" si="76"/>
        <v/>
      </c>
      <c r="BI741" s="24">
        <f t="shared" si="78"/>
        <v>1</v>
      </c>
      <c r="BJ741" s="24" t="str">
        <f t="shared" si="77"/>
        <v/>
      </c>
    </row>
    <row r="742" spans="1:62" ht="15" customHeight="1" x14ac:dyDescent="0.25">
      <c r="A742" t="str">
        <f>"1588072474"</f>
        <v>1588072474</v>
      </c>
      <c r="B742" t="str">
        <f>"04039612"</f>
        <v>04039612</v>
      </c>
      <c r="C742" t="s">
        <v>5930</v>
      </c>
      <c r="D742" t="s">
        <v>5931</v>
      </c>
      <c r="E742" t="s">
        <v>5932</v>
      </c>
      <c r="G742" t="s">
        <v>815</v>
      </c>
      <c r="H742" t="s">
        <v>816</v>
      </c>
      <c r="J742" t="s">
        <v>817</v>
      </c>
      <c r="L742" t="s">
        <v>6867</v>
      </c>
      <c r="M742" t="s">
        <v>108</v>
      </c>
      <c r="R742" t="s">
        <v>5933</v>
      </c>
      <c r="W742" t="s">
        <v>5934</v>
      </c>
      <c r="X742" t="s">
        <v>5935</v>
      </c>
      <c r="Y742" t="s">
        <v>966</v>
      </c>
      <c r="Z742" t="s">
        <v>111</v>
      </c>
      <c r="AA742" t="str">
        <f>"13850-2003"</f>
        <v>13850-2003</v>
      </c>
      <c r="AB742" t="s">
        <v>123</v>
      </c>
      <c r="AC742" t="s">
        <v>113</v>
      </c>
      <c r="AD742" t="s">
        <v>108</v>
      </c>
      <c r="AE742" t="s">
        <v>114</v>
      </c>
      <c r="AF742" t="s">
        <v>115</v>
      </c>
      <c r="AG742" t="s">
        <v>116</v>
      </c>
      <c r="AK742" t="str">
        <f t="shared" si="75"/>
        <v>Kelly S. Wilmarth, FNP</v>
      </c>
      <c r="AL742" t="s">
        <v>5931</v>
      </c>
      <c r="AM742" t="s">
        <v>108</v>
      </c>
      <c r="AN742" t="s">
        <v>108</v>
      </c>
      <c r="AO742" t="s">
        <v>108</v>
      </c>
      <c r="AP742" t="s">
        <v>108</v>
      </c>
      <c r="AQ742" t="s">
        <v>108</v>
      </c>
      <c r="AR742" t="s">
        <v>108</v>
      </c>
      <c r="AS742" t="s">
        <v>108</v>
      </c>
      <c r="AT742" t="s">
        <v>108</v>
      </c>
      <c r="AU742">
        <v>0</v>
      </c>
      <c r="AV742" t="s">
        <v>108</v>
      </c>
      <c r="AW742" t="s">
        <v>108</v>
      </c>
      <c r="AX742" s="24">
        <f t="shared" si="73"/>
        <v>1</v>
      </c>
      <c r="AY742" s="24">
        <f t="shared" si="73"/>
        <v>1</v>
      </c>
      <c r="AZ742" s="24" t="str">
        <f t="shared" si="78"/>
        <v/>
      </c>
      <c r="BA742" s="24" t="str">
        <f t="shared" si="78"/>
        <v/>
      </c>
      <c r="BB742" s="24" t="str">
        <f t="shared" si="78"/>
        <v/>
      </c>
      <c r="BC742" s="24" t="str">
        <f t="shared" si="78"/>
        <v/>
      </c>
      <c r="BD742" s="24" t="str">
        <f t="shared" si="78"/>
        <v/>
      </c>
      <c r="BE742" s="24" t="str">
        <f t="shared" si="78"/>
        <v/>
      </c>
      <c r="BF742" s="24" t="str">
        <f t="shared" si="78"/>
        <v/>
      </c>
      <c r="BG742" s="24" t="str">
        <f t="shared" si="78"/>
        <v/>
      </c>
      <c r="BH742" s="24" t="str">
        <f t="shared" si="76"/>
        <v/>
      </c>
      <c r="BI742" s="24">
        <f t="shared" si="78"/>
        <v>1</v>
      </c>
      <c r="BJ742" s="24" t="str">
        <f t="shared" si="77"/>
        <v/>
      </c>
    </row>
    <row r="743" spans="1:62" ht="15" customHeight="1" x14ac:dyDescent="0.25">
      <c r="A743" t="str">
        <f>"1093762098"</f>
        <v>1093762098</v>
      </c>
      <c r="C743" t="s">
        <v>6091</v>
      </c>
      <c r="G743" t="s">
        <v>815</v>
      </c>
      <c r="H743" t="s">
        <v>816</v>
      </c>
      <c r="J743" t="s">
        <v>817</v>
      </c>
      <c r="K743" t="s">
        <v>6876</v>
      </c>
      <c r="L743" t="s">
        <v>133</v>
      </c>
      <c r="M743" t="s">
        <v>108</v>
      </c>
      <c r="R743" t="s">
        <v>6092</v>
      </c>
      <c r="S743" t="s">
        <v>6093</v>
      </c>
      <c r="T743" t="s">
        <v>6094</v>
      </c>
      <c r="U743" t="s">
        <v>6095</v>
      </c>
      <c r="V743" t="str">
        <f>"402023902"</f>
        <v>402023902</v>
      </c>
      <c r="AC743" t="s">
        <v>113</v>
      </c>
      <c r="AD743" t="s">
        <v>108</v>
      </c>
      <c r="AE743" t="s">
        <v>775</v>
      </c>
      <c r="AF743" t="s">
        <v>115</v>
      </c>
      <c r="AG743" t="s">
        <v>116</v>
      </c>
      <c r="AK743" t="str">
        <f t="shared" si="75"/>
        <v>Kenneth G. Lucas, MD</v>
      </c>
      <c r="AM743" t="s">
        <v>108</v>
      </c>
      <c r="AN743" t="s">
        <v>108</v>
      </c>
      <c r="AO743" t="s">
        <v>108</v>
      </c>
      <c r="AP743" t="s">
        <v>108</v>
      </c>
      <c r="AQ743" t="s">
        <v>108</v>
      </c>
      <c r="AR743" t="s">
        <v>108</v>
      </c>
      <c r="AS743" t="s">
        <v>108</v>
      </c>
      <c r="AT743" t="s">
        <v>108</v>
      </c>
      <c r="AU743">
        <v>0</v>
      </c>
      <c r="AV743" t="s">
        <v>108</v>
      </c>
      <c r="AW743" t="s">
        <v>108</v>
      </c>
      <c r="AX743" s="24" t="str">
        <f t="shared" si="73"/>
        <v/>
      </c>
      <c r="AY743" s="24" t="str">
        <f t="shared" si="73"/>
        <v/>
      </c>
      <c r="AZ743" s="24" t="str">
        <f t="shared" si="78"/>
        <v/>
      </c>
      <c r="BA743" s="24" t="str">
        <f t="shared" si="78"/>
        <v/>
      </c>
      <c r="BB743" s="24" t="str">
        <f t="shared" si="78"/>
        <v/>
      </c>
      <c r="BC743" s="24" t="str">
        <f t="shared" si="78"/>
        <v/>
      </c>
      <c r="BD743" s="24" t="str">
        <f t="shared" si="78"/>
        <v/>
      </c>
      <c r="BE743" s="24" t="str">
        <f t="shared" si="78"/>
        <v/>
      </c>
      <c r="BF743" s="24" t="str">
        <f t="shared" si="78"/>
        <v/>
      </c>
      <c r="BG743" s="24" t="str">
        <f t="shared" si="78"/>
        <v/>
      </c>
      <c r="BH743" s="24" t="str">
        <f t="shared" si="76"/>
        <v/>
      </c>
      <c r="BI743" s="24" t="str">
        <f t="shared" si="78"/>
        <v/>
      </c>
      <c r="BJ743" s="24">
        <f t="shared" si="77"/>
        <v>1</v>
      </c>
    </row>
    <row r="744" spans="1:62" ht="15" customHeight="1" x14ac:dyDescent="0.25">
      <c r="A744" t="str">
        <f>"1588809487"</f>
        <v>1588809487</v>
      </c>
      <c r="B744" t="str">
        <f>"03501842"</f>
        <v>03501842</v>
      </c>
      <c r="C744" t="s">
        <v>1859</v>
      </c>
      <c r="D744" t="s">
        <v>1860</v>
      </c>
      <c r="E744" t="s">
        <v>1859</v>
      </c>
      <c r="L744" t="s">
        <v>133</v>
      </c>
      <c r="M744" t="s">
        <v>108</v>
      </c>
      <c r="R744" t="s">
        <v>1859</v>
      </c>
      <c r="W744" t="s">
        <v>1859</v>
      </c>
      <c r="X744" t="s">
        <v>1861</v>
      </c>
      <c r="Y744" t="s">
        <v>129</v>
      </c>
      <c r="Z744" t="s">
        <v>111</v>
      </c>
      <c r="AA744" t="str">
        <f>"13790"</f>
        <v>13790</v>
      </c>
      <c r="AB744" t="s">
        <v>1000</v>
      </c>
      <c r="AC744" t="s">
        <v>113</v>
      </c>
      <c r="AD744" t="s">
        <v>108</v>
      </c>
      <c r="AE744" t="s">
        <v>114</v>
      </c>
      <c r="AF744" t="s">
        <v>115</v>
      </c>
      <c r="AG744" t="s">
        <v>116</v>
      </c>
      <c r="AK744" t="str">
        <f t="shared" si="75"/>
        <v>KENNY JOSEPH</v>
      </c>
      <c r="AL744" t="s">
        <v>1860</v>
      </c>
      <c r="AM744" t="s">
        <v>108</v>
      </c>
      <c r="AN744" t="s">
        <v>108</v>
      </c>
      <c r="AO744" t="s">
        <v>108</v>
      </c>
      <c r="AP744" t="s">
        <v>108</v>
      </c>
      <c r="AQ744" t="s">
        <v>108</v>
      </c>
      <c r="AR744" t="s">
        <v>108</v>
      </c>
      <c r="AS744" t="s">
        <v>108</v>
      </c>
      <c r="AT744" t="s">
        <v>108</v>
      </c>
      <c r="AU744">
        <v>0</v>
      </c>
      <c r="AV744" t="s">
        <v>108</v>
      </c>
      <c r="AW744" t="s">
        <v>108</v>
      </c>
      <c r="AX744" s="24" t="str">
        <f t="shared" ref="AX744:AY807" si="79">IF(ISERROR(FIND(AX$1,$L744,1)),"",1)</f>
        <v/>
      </c>
      <c r="AY744" s="24" t="str">
        <f t="shared" si="79"/>
        <v/>
      </c>
      <c r="AZ744" s="24" t="str">
        <f t="shared" si="78"/>
        <v/>
      </c>
      <c r="BA744" s="24" t="str">
        <f t="shared" si="78"/>
        <v/>
      </c>
      <c r="BB744" s="24" t="str">
        <f t="shared" si="78"/>
        <v/>
      </c>
      <c r="BC744" s="24" t="str">
        <f t="shared" si="78"/>
        <v/>
      </c>
      <c r="BD744" s="24" t="str">
        <f t="shared" si="78"/>
        <v/>
      </c>
      <c r="BE744" s="24" t="str">
        <f t="shared" si="78"/>
        <v/>
      </c>
      <c r="BF744" s="24" t="str">
        <f t="shared" si="78"/>
        <v/>
      </c>
      <c r="BG744" s="24" t="str">
        <f t="shared" si="78"/>
        <v/>
      </c>
      <c r="BH744" s="24" t="str">
        <f t="shared" si="76"/>
        <v/>
      </c>
      <c r="BI744" s="24" t="str">
        <f t="shared" si="78"/>
        <v/>
      </c>
      <c r="BJ744" s="24">
        <f t="shared" si="77"/>
        <v>1</v>
      </c>
    </row>
    <row r="745" spans="1:62" ht="15" customHeight="1" x14ac:dyDescent="0.25">
      <c r="A745" t="str">
        <f>"1841301033"</f>
        <v>1841301033</v>
      </c>
      <c r="B745" t="str">
        <f>"02817307"</f>
        <v>02817307</v>
      </c>
      <c r="C745" t="s">
        <v>3326</v>
      </c>
      <c r="D745" t="s">
        <v>3327</v>
      </c>
      <c r="E745" t="s">
        <v>3328</v>
      </c>
      <c r="G745" t="s">
        <v>786</v>
      </c>
      <c r="H745" t="s">
        <v>787</v>
      </c>
      <c r="J745" t="s">
        <v>788</v>
      </c>
      <c r="L745" t="s">
        <v>809</v>
      </c>
      <c r="M745" t="s">
        <v>108</v>
      </c>
      <c r="R745" t="s">
        <v>3326</v>
      </c>
      <c r="W745" t="s">
        <v>3328</v>
      </c>
      <c r="X745" t="s">
        <v>3329</v>
      </c>
      <c r="Y745" t="s">
        <v>239</v>
      </c>
      <c r="Z745" t="s">
        <v>111</v>
      </c>
      <c r="AA745" t="str">
        <f>"13045-1435"</f>
        <v>13045-1435</v>
      </c>
      <c r="AB745" t="s">
        <v>123</v>
      </c>
      <c r="AC745" t="s">
        <v>113</v>
      </c>
      <c r="AD745" t="s">
        <v>108</v>
      </c>
      <c r="AE745" t="s">
        <v>114</v>
      </c>
      <c r="AF745" t="s">
        <v>142</v>
      </c>
      <c r="AG745" t="s">
        <v>116</v>
      </c>
      <c r="AK745" t="str">
        <f t="shared" si="75"/>
        <v/>
      </c>
      <c r="AL745" t="s">
        <v>3327</v>
      </c>
      <c r="AM745">
        <v>0</v>
      </c>
      <c r="AN745">
        <v>0</v>
      </c>
      <c r="AO745">
        <v>0</v>
      </c>
      <c r="AP745">
        <v>0</v>
      </c>
      <c r="AQ745">
        <v>0</v>
      </c>
      <c r="AR745">
        <v>0</v>
      </c>
      <c r="AS745">
        <v>0</v>
      </c>
      <c r="AT745">
        <v>0</v>
      </c>
      <c r="AU745">
        <v>0</v>
      </c>
      <c r="AV745">
        <v>0</v>
      </c>
      <c r="AW745">
        <v>0</v>
      </c>
      <c r="AX745" s="24" t="str">
        <f t="shared" si="79"/>
        <v/>
      </c>
      <c r="AY745" s="24">
        <f t="shared" si="79"/>
        <v>1</v>
      </c>
      <c r="AZ745" s="24" t="str">
        <f t="shared" si="78"/>
        <v/>
      </c>
      <c r="BA745" s="24" t="str">
        <f t="shared" si="78"/>
        <v/>
      </c>
      <c r="BB745" s="24" t="str">
        <f t="shared" si="78"/>
        <v/>
      </c>
      <c r="BC745" s="24">
        <f t="shared" si="78"/>
        <v>1</v>
      </c>
      <c r="BD745" s="24" t="str">
        <f t="shared" si="78"/>
        <v/>
      </c>
      <c r="BE745" s="24" t="str">
        <f t="shared" si="78"/>
        <v/>
      </c>
      <c r="BF745" s="24" t="str">
        <f t="shared" si="78"/>
        <v/>
      </c>
      <c r="BG745" s="24" t="str">
        <f t="shared" si="78"/>
        <v/>
      </c>
      <c r="BH745" s="24" t="str">
        <f t="shared" si="76"/>
        <v/>
      </c>
      <c r="BI745" s="24" t="str">
        <f t="shared" si="78"/>
        <v/>
      </c>
      <c r="BJ745" s="24" t="str">
        <f t="shared" si="77"/>
        <v/>
      </c>
    </row>
    <row r="746" spans="1:62" ht="15" customHeight="1" x14ac:dyDescent="0.25">
      <c r="A746" t="str">
        <f>"1841286234"</f>
        <v>1841286234</v>
      </c>
      <c r="B746" t="str">
        <f>"00622142"</f>
        <v>00622142</v>
      </c>
      <c r="C746" t="s">
        <v>3464</v>
      </c>
      <c r="D746" t="s">
        <v>3465</v>
      </c>
      <c r="E746" t="s">
        <v>3466</v>
      </c>
      <c r="L746" t="s">
        <v>120</v>
      </c>
      <c r="M746" t="s">
        <v>139</v>
      </c>
      <c r="R746" t="s">
        <v>3464</v>
      </c>
      <c r="W746" t="s">
        <v>3466</v>
      </c>
      <c r="X746" t="s">
        <v>3467</v>
      </c>
      <c r="Y746" t="s">
        <v>110</v>
      </c>
      <c r="Z746" t="s">
        <v>111</v>
      </c>
      <c r="AA746" t="str">
        <f>"13903-1617"</f>
        <v>13903-1617</v>
      </c>
      <c r="AB746" t="s">
        <v>123</v>
      </c>
      <c r="AC746" t="s">
        <v>113</v>
      </c>
      <c r="AD746" t="s">
        <v>108</v>
      </c>
      <c r="AE746" t="s">
        <v>114</v>
      </c>
      <c r="AF746" t="s">
        <v>115</v>
      </c>
      <c r="AG746" t="s">
        <v>116</v>
      </c>
      <c r="AK746" t="str">
        <f t="shared" si="75"/>
        <v/>
      </c>
      <c r="AL746" t="s">
        <v>3465</v>
      </c>
      <c r="AM746">
        <v>0</v>
      </c>
      <c r="AN746">
        <v>0</v>
      </c>
      <c r="AO746">
        <v>0</v>
      </c>
      <c r="AP746">
        <v>0</v>
      </c>
      <c r="AQ746">
        <v>0</v>
      </c>
      <c r="AR746">
        <v>0</v>
      </c>
      <c r="AS746">
        <v>0</v>
      </c>
      <c r="AT746">
        <v>0</v>
      </c>
      <c r="AU746">
        <v>0</v>
      </c>
      <c r="AV746">
        <v>0</v>
      </c>
      <c r="AW746">
        <v>0</v>
      </c>
      <c r="AX746" s="24">
        <f t="shared" si="79"/>
        <v>1</v>
      </c>
      <c r="AY746" s="24" t="str">
        <f t="shared" si="79"/>
        <v/>
      </c>
      <c r="AZ746" s="24" t="str">
        <f t="shared" si="78"/>
        <v/>
      </c>
      <c r="BA746" s="24" t="str">
        <f t="shared" si="78"/>
        <v/>
      </c>
      <c r="BB746" s="24" t="str">
        <f t="shared" si="78"/>
        <v/>
      </c>
      <c r="BC746" s="24" t="str">
        <f t="shared" si="78"/>
        <v/>
      </c>
      <c r="BD746" s="24" t="str">
        <f t="shared" si="78"/>
        <v/>
      </c>
      <c r="BE746" s="24" t="str">
        <f t="shared" si="78"/>
        <v/>
      </c>
      <c r="BF746" s="24" t="str">
        <f t="shared" si="78"/>
        <v/>
      </c>
      <c r="BG746" s="24" t="str">
        <f t="shared" si="78"/>
        <v/>
      </c>
      <c r="BH746" s="24" t="str">
        <f t="shared" si="76"/>
        <v/>
      </c>
      <c r="BI746" s="24">
        <f t="shared" si="78"/>
        <v>1</v>
      </c>
      <c r="BJ746" s="24" t="str">
        <f t="shared" si="77"/>
        <v/>
      </c>
    </row>
    <row r="747" spans="1:62" ht="15" customHeight="1" x14ac:dyDescent="0.25">
      <c r="A747" t="str">
        <f>"1700850385"</f>
        <v>1700850385</v>
      </c>
      <c r="B747" t="str">
        <f>"02604566"</f>
        <v>02604566</v>
      </c>
      <c r="C747" t="s">
        <v>464</v>
      </c>
      <c r="D747" t="s">
        <v>465</v>
      </c>
      <c r="E747" t="s">
        <v>466</v>
      </c>
      <c r="G747" t="s">
        <v>464</v>
      </c>
      <c r="H747" t="s">
        <v>467</v>
      </c>
      <c r="J747" t="s">
        <v>468</v>
      </c>
      <c r="L747" t="s">
        <v>138</v>
      </c>
      <c r="M747" t="s">
        <v>108</v>
      </c>
      <c r="R747" t="s">
        <v>469</v>
      </c>
      <c r="W747" t="s">
        <v>466</v>
      </c>
      <c r="X747" t="s">
        <v>470</v>
      </c>
      <c r="Y747" t="s">
        <v>471</v>
      </c>
      <c r="Z747" t="s">
        <v>111</v>
      </c>
      <c r="AA747" t="str">
        <f>"14203-1126"</f>
        <v>14203-1126</v>
      </c>
      <c r="AB747" t="s">
        <v>123</v>
      </c>
      <c r="AC747" t="s">
        <v>113</v>
      </c>
      <c r="AD747" t="s">
        <v>108</v>
      </c>
      <c r="AE747" t="s">
        <v>114</v>
      </c>
      <c r="AF747" t="s">
        <v>115</v>
      </c>
      <c r="AG747" t="s">
        <v>116</v>
      </c>
      <c r="AK747" t="str">
        <f t="shared" si="75"/>
        <v/>
      </c>
      <c r="AL747" t="s">
        <v>465</v>
      </c>
      <c r="AM747">
        <v>0</v>
      </c>
      <c r="AN747">
        <v>0</v>
      </c>
      <c r="AO747">
        <v>0</v>
      </c>
      <c r="AP747">
        <v>0</v>
      </c>
      <c r="AQ747">
        <v>0</v>
      </c>
      <c r="AR747">
        <v>0</v>
      </c>
      <c r="AS747">
        <v>0</v>
      </c>
      <c r="AT747">
        <v>0</v>
      </c>
      <c r="AU747">
        <v>0</v>
      </c>
      <c r="AV747">
        <v>0</v>
      </c>
      <c r="AW747">
        <v>0</v>
      </c>
      <c r="AX747" s="24" t="str">
        <f t="shared" si="79"/>
        <v/>
      </c>
      <c r="AY747" s="24">
        <f t="shared" si="79"/>
        <v>1</v>
      </c>
      <c r="AZ747" s="24" t="str">
        <f t="shared" si="78"/>
        <v/>
      </c>
      <c r="BA747" s="24" t="str">
        <f t="shared" si="78"/>
        <v/>
      </c>
      <c r="BB747" s="24" t="str">
        <f t="shared" si="78"/>
        <v/>
      </c>
      <c r="BC747" s="24" t="str">
        <f t="shared" si="78"/>
        <v/>
      </c>
      <c r="BD747" s="24" t="str">
        <f t="shared" si="78"/>
        <v/>
      </c>
      <c r="BE747" s="24" t="str">
        <f t="shared" si="78"/>
        <v/>
      </c>
      <c r="BF747" s="24" t="str">
        <f t="shared" si="78"/>
        <v/>
      </c>
      <c r="BG747" s="24" t="str">
        <f t="shared" si="78"/>
        <v/>
      </c>
      <c r="BH747" s="24" t="str">
        <f t="shared" si="76"/>
        <v/>
      </c>
      <c r="BI747" s="24">
        <f t="shared" si="78"/>
        <v>1</v>
      </c>
      <c r="BJ747" s="24" t="str">
        <f t="shared" si="77"/>
        <v/>
      </c>
    </row>
    <row r="748" spans="1:62" ht="15" customHeight="1" x14ac:dyDescent="0.25">
      <c r="A748" t="str">
        <f>"1770915670"</f>
        <v>1770915670</v>
      </c>
      <c r="B748" t="str">
        <f>"04503691"</f>
        <v>04503691</v>
      </c>
      <c r="C748" t="s">
        <v>6384</v>
      </c>
      <c r="D748" t="s">
        <v>6385</v>
      </c>
      <c r="E748" t="s">
        <v>6386</v>
      </c>
      <c r="G748" t="s">
        <v>6330</v>
      </c>
      <c r="H748" t="s">
        <v>6331</v>
      </c>
      <c r="J748" t="s">
        <v>6332</v>
      </c>
      <c r="L748" t="s">
        <v>247</v>
      </c>
      <c r="M748" t="s">
        <v>108</v>
      </c>
      <c r="R748" t="s">
        <v>6387</v>
      </c>
      <c r="W748" t="s">
        <v>6388</v>
      </c>
      <c r="AB748" t="s">
        <v>123</v>
      </c>
      <c r="AC748" t="s">
        <v>113</v>
      </c>
      <c r="AD748" t="s">
        <v>108</v>
      </c>
      <c r="AE748" t="s">
        <v>114</v>
      </c>
      <c r="AF748" t="s">
        <v>115</v>
      </c>
      <c r="AG748" t="s">
        <v>116</v>
      </c>
      <c r="AK748" t="str">
        <f t="shared" si="75"/>
        <v>Khan Ahmed</v>
      </c>
      <c r="AL748" t="s">
        <v>6385</v>
      </c>
      <c r="AM748" t="s">
        <v>108</v>
      </c>
      <c r="AN748" t="s">
        <v>108</v>
      </c>
      <c r="AO748" t="s">
        <v>108</v>
      </c>
      <c r="AP748" t="s">
        <v>108</v>
      </c>
      <c r="AQ748" t="s">
        <v>108</v>
      </c>
      <c r="AR748" t="s">
        <v>108</v>
      </c>
      <c r="AS748" t="s">
        <v>108</v>
      </c>
      <c r="AT748" t="s">
        <v>108</v>
      </c>
      <c r="AU748">
        <v>0</v>
      </c>
      <c r="AV748" t="s">
        <v>108</v>
      </c>
      <c r="AW748" t="s">
        <v>108</v>
      </c>
      <c r="AX748" s="24" t="str">
        <f t="shared" si="79"/>
        <v/>
      </c>
      <c r="AY748" s="24">
        <f t="shared" si="79"/>
        <v>1</v>
      </c>
      <c r="AZ748" s="24" t="str">
        <f t="shared" si="78"/>
        <v/>
      </c>
      <c r="BA748" s="24" t="str">
        <f t="shared" si="78"/>
        <v/>
      </c>
      <c r="BB748" s="24" t="str">
        <f t="shared" si="78"/>
        <v/>
      </c>
      <c r="BC748" s="24" t="str">
        <f t="shared" si="78"/>
        <v/>
      </c>
      <c r="BD748" s="24" t="str">
        <f t="shared" si="78"/>
        <v/>
      </c>
      <c r="BE748" s="24" t="str">
        <f t="shared" si="78"/>
        <v/>
      </c>
      <c r="BF748" s="24" t="str">
        <f t="shared" si="78"/>
        <v/>
      </c>
      <c r="BG748" s="24" t="str">
        <f t="shared" si="78"/>
        <v/>
      </c>
      <c r="BH748" s="24" t="str">
        <f t="shared" si="76"/>
        <v/>
      </c>
      <c r="BI748" s="24" t="str">
        <f t="shared" si="78"/>
        <v/>
      </c>
      <c r="BJ748" s="24" t="str">
        <f t="shared" si="77"/>
        <v/>
      </c>
    </row>
    <row r="749" spans="1:62" ht="15" customHeight="1" x14ac:dyDescent="0.25">
      <c r="A749" t="str">
        <f>"1952331464"</f>
        <v>1952331464</v>
      </c>
      <c r="B749" t="str">
        <f>"02748718"</f>
        <v>02748718</v>
      </c>
      <c r="C749" t="s">
        <v>4549</v>
      </c>
      <c r="D749" t="s">
        <v>4550</v>
      </c>
      <c r="E749" t="s">
        <v>4551</v>
      </c>
      <c r="L749" t="s">
        <v>138</v>
      </c>
      <c r="M749" t="s">
        <v>108</v>
      </c>
      <c r="R749" t="s">
        <v>4549</v>
      </c>
      <c r="W749" t="s">
        <v>4551</v>
      </c>
      <c r="X749" t="s">
        <v>1469</v>
      </c>
      <c r="Y749" t="s">
        <v>966</v>
      </c>
      <c r="Z749" t="s">
        <v>111</v>
      </c>
      <c r="AA749" t="str">
        <f>"13850-2128"</f>
        <v>13850-2128</v>
      </c>
      <c r="AB749" t="s">
        <v>123</v>
      </c>
      <c r="AC749" t="s">
        <v>113</v>
      </c>
      <c r="AD749" t="s">
        <v>108</v>
      </c>
      <c r="AE749" t="s">
        <v>114</v>
      </c>
      <c r="AF749" t="s">
        <v>115</v>
      </c>
      <c r="AG749" t="s">
        <v>116</v>
      </c>
      <c r="AK749" t="str">
        <f t="shared" si="75"/>
        <v/>
      </c>
      <c r="AL749" t="s">
        <v>4550</v>
      </c>
      <c r="AM749">
        <v>0</v>
      </c>
      <c r="AN749">
        <v>0</v>
      </c>
      <c r="AO749">
        <v>0</v>
      </c>
      <c r="AP749">
        <v>0</v>
      </c>
      <c r="AQ749">
        <v>0</v>
      </c>
      <c r="AR749">
        <v>0</v>
      </c>
      <c r="AS749">
        <v>0</v>
      </c>
      <c r="AT749">
        <v>0</v>
      </c>
      <c r="AU749">
        <v>0</v>
      </c>
      <c r="AV749">
        <v>0</v>
      </c>
      <c r="AW749">
        <v>0</v>
      </c>
      <c r="AX749" s="24" t="str">
        <f t="shared" si="79"/>
        <v/>
      </c>
      <c r="AY749" s="24">
        <f t="shared" si="79"/>
        <v>1</v>
      </c>
      <c r="AZ749" s="24" t="str">
        <f t="shared" si="78"/>
        <v/>
      </c>
      <c r="BA749" s="24" t="str">
        <f t="shared" si="78"/>
        <v/>
      </c>
      <c r="BB749" s="24" t="str">
        <f t="shared" si="78"/>
        <v/>
      </c>
      <c r="BC749" s="24" t="str">
        <f t="shared" si="78"/>
        <v/>
      </c>
      <c r="BD749" s="24" t="str">
        <f t="shared" si="78"/>
        <v/>
      </c>
      <c r="BE749" s="24" t="str">
        <f t="shared" si="78"/>
        <v/>
      </c>
      <c r="BF749" s="24" t="str">
        <f t="shared" si="78"/>
        <v/>
      </c>
      <c r="BG749" s="24" t="str">
        <f t="shared" si="78"/>
        <v/>
      </c>
      <c r="BH749" s="24" t="str">
        <f t="shared" si="76"/>
        <v/>
      </c>
      <c r="BI749" s="24">
        <f t="shared" si="78"/>
        <v>1</v>
      </c>
      <c r="BJ749" s="24" t="str">
        <f t="shared" si="77"/>
        <v/>
      </c>
    </row>
    <row r="750" spans="1:62" ht="15" customHeight="1" x14ac:dyDescent="0.25">
      <c r="A750" t="str">
        <f>"1053380725"</f>
        <v>1053380725</v>
      </c>
      <c r="B750" t="str">
        <f>"02161439"</f>
        <v>02161439</v>
      </c>
      <c r="C750" t="s">
        <v>5001</v>
      </c>
      <c r="D750" t="s">
        <v>5002</v>
      </c>
      <c r="E750" t="s">
        <v>5001</v>
      </c>
      <c r="G750" t="s">
        <v>699</v>
      </c>
      <c r="H750" t="s">
        <v>700</v>
      </c>
      <c r="J750" t="s">
        <v>701</v>
      </c>
      <c r="L750" t="s">
        <v>120</v>
      </c>
      <c r="M750" t="s">
        <v>139</v>
      </c>
      <c r="R750" t="s">
        <v>5003</v>
      </c>
      <c r="W750" t="s">
        <v>5004</v>
      </c>
      <c r="X750" t="s">
        <v>747</v>
      </c>
      <c r="Y750" t="s">
        <v>157</v>
      </c>
      <c r="Z750" t="s">
        <v>111</v>
      </c>
      <c r="AA750" t="str">
        <f>"14830-2255"</f>
        <v>14830-2255</v>
      </c>
      <c r="AB750" t="s">
        <v>123</v>
      </c>
      <c r="AC750" t="s">
        <v>113</v>
      </c>
      <c r="AD750" t="s">
        <v>108</v>
      </c>
      <c r="AE750" t="s">
        <v>114</v>
      </c>
      <c r="AF750" t="s">
        <v>149</v>
      </c>
      <c r="AG750" t="s">
        <v>116</v>
      </c>
      <c r="AK750" t="str">
        <f t="shared" si="75"/>
        <v/>
      </c>
      <c r="AL750" t="s">
        <v>5002</v>
      </c>
      <c r="AM750">
        <v>1</v>
      </c>
      <c r="AN750">
        <v>1</v>
      </c>
      <c r="AO750">
        <v>0</v>
      </c>
      <c r="AP750">
        <v>0</v>
      </c>
      <c r="AQ750">
        <v>0</v>
      </c>
      <c r="AR750">
        <v>0</v>
      </c>
      <c r="AS750">
        <v>0</v>
      </c>
      <c r="AT750">
        <v>1</v>
      </c>
      <c r="AU750">
        <v>1</v>
      </c>
      <c r="AV750">
        <v>1</v>
      </c>
      <c r="AW750">
        <v>0</v>
      </c>
      <c r="AX750" s="24">
        <f t="shared" si="79"/>
        <v>1</v>
      </c>
      <c r="AY750" s="24" t="str">
        <f t="shared" si="79"/>
        <v/>
      </c>
      <c r="AZ750" s="24" t="str">
        <f t="shared" si="78"/>
        <v/>
      </c>
      <c r="BA750" s="24" t="str">
        <f t="shared" si="78"/>
        <v/>
      </c>
      <c r="BB750" s="24" t="str">
        <f t="shared" si="78"/>
        <v/>
      </c>
      <c r="BC750" s="24" t="str">
        <f t="shared" si="78"/>
        <v/>
      </c>
      <c r="BD750" s="24" t="str">
        <f t="shared" si="78"/>
        <v/>
      </c>
      <c r="BE750" s="24" t="str">
        <f t="shared" si="78"/>
        <v/>
      </c>
      <c r="BF750" s="24" t="str">
        <f t="shared" si="78"/>
        <v/>
      </c>
      <c r="BG750" s="24" t="str">
        <f t="shared" si="78"/>
        <v/>
      </c>
      <c r="BH750" s="24" t="str">
        <f t="shared" si="76"/>
        <v/>
      </c>
      <c r="BI750" s="24">
        <f t="shared" si="78"/>
        <v>1</v>
      </c>
      <c r="BJ750" s="24" t="str">
        <f t="shared" si="77"/>
        <v/>
      </c>
    </row>
    <row r="751" spans="1:62" ht="15" customHeight="1" x14ac:dyDescent="0.25">
      <c r="A751" t="str">
        <f>"1568443521"</f>
        <v>1568443521</v>
      </c>
      <c r="B751" t="str">
        <f>"02563344"</f>
        <v>02563344</v>
      </c>
      <c r="C751" t="s">
        <v>6001</v>
      </c>
      <c r="D751" t="s">
        <v>6002</v>
      </c>
      <c r="E751" t="s">
        <v>6003</v>
      </c>
      <c r="G751" t="s">
        <v>815</v>
      </c>
      <c r="H751" t="s">
        <v>816</v>
      </c>
      <c r="J751" t="s">
        <v>817</v>
      </c>
      <c r="L751" t="s">
        <v>6867</v>
      </c>
      <c r="M751" t="s">
        <v>108</v>
      </c>
      <c r="R751" t="s">
        <v>6004</v>
      </c>
      <c r="W751" t="s">
        <v>6003</v>
      </c>
      <c r="X751" t="s">
        <v>6005</v>
      </c>
      <c r="Y751" t="s">
        <v>2791</v>
      </c>
      <c r="Z751" t="s">
        <v>111</v>
      </c>
      <c r="AA751" t="str">
        <f>"14810-7930"</f>
        <v>14810-7930</v>
      </c>
      <c r="AB751" t="s">
        <v>123</v>
      </c>
      <c r="AC751" t="s">
        <v>113</v>
      </c>
      <c r="AD751" t="s">
        <v>108</v>
      </c>
      <c r="AE751" t="s">
        <v>114</v>
      </c>
      <c r="AF751" t="s">
        <v>115</v>
      </c>
      <c r="AG751" t="s">
        <v>116</v>
      </c>
      <c r="AK751" t="str">
        <f t="shared" si="75"/>
        <v>Khaula Rehman, MD</v>
      </c>
      <c r="AL751" t="s">
        <v>6002</v>
      </c>
      <c r="AM751" t="s">
        <v>108</v>
      </c>
      <c r="AN751" t="s">
        <v>108</v>
      </c>
      <c r="AO751" t="s">
        <v>108</v>
      </c>
      <c r="AP751" t="s">
        <v>108</v>
      </c>
      <c r="AQ751" t="s">
        <v>108</v>
      </c>
      <c r="AR751" t="s">
        <v>108</v>
      </c>
      <c r="AS751" t="s">
        <v>108</v>
      </c>
      <c r="AT751" t="s">
        <v>108</v>
      </c>
      <c r="AU751">
        <v>1</v>
      </c>
      <c r="AV751" t="s">
        <v>108</v>
      </c>
      <c r="AW751" t="s">
        <v>108</v>
      </c>
      <c r="AX751" s="24">
        <f t="shared" si="79"/>
        <v>1</v>
      </c>
      <c r="AY751" s="24">
        <f t="shared" si="79"/>
        <v>1</v>
      </c>
      <c r="AZ751" s="24" t="str">
        <f t="shared" si="78"/>
        <v/>
      </c>
      <c r="BA751" s="24" t="str">
        <f t="shared" si="78"/>
        <v/>
      </c>
      <c r="BB751" s="24" t="str">
        <f t="shared" si="78"/>
        <v/>
      </c>
      <c r="BC751" s="24" t="str">
        <f t="shared" si="78"/>
        <v/>
      </c>
      <c r="BD751" s="24" t="str">
        <f t="shared" si="78"/>
        <v/>
      </c>
      <c r="BE751" s="24" t="str">
        <f t="shared" si="78"/>
        <v/>
      </c>
      <c r="BF751" s="24" t="str">
        <f t="shared" si="78"/>
        <v/>
      </c>
      <c r="BG751" s="24" t="str">
        <f t="shared" si="78"/>
        <v/>
      </c>
      <c r="BH751" s="24" t="str">
        <f t="shared" si="76"/>
        <v/>
      </c>
      <c r="BI751" s="24">
        <f t="shared" si="78"/>
        <v>1</v>
      </c>
      <c r="BJ751" s="24" t="str">
        <f t="shared" si="77"/>
        <v/>
      </c>
    </row>
    <row r="752" spans="1:62" ht="15" customHeight="1" x14ac:dyDescent="0.25">
      <c r="A752" t="str">
        <f>"1588893994"</f>
        <v>1588893994</v>
      </c>
      <c r="B752" t="str">
        <f>"04207576"</f>
        <v>04207576</v>
      </c>
      <c r="C752" t="s">
        <v>6813</v>
      </c>
      <c r="D752" t="s">
        <v>7094</v>
      </c>
      <c r="E752" t="s">
        <v>7095</v>
      </c>
      <c r="G752" t="s">
        <v>1352</v>
      </c>
      <c r="H752" t="s">
        <v>1301</v>
      </c>
      <c r="J752" t="s">
        <v>1354</v>
      </c>
      <c r="L752" t="s">
        <v>442</v>
      </c>
      <c r="M752" t="s">
        <v>108</v>
      </c>
      <c r="R752" t="s">
        <v>6813</v>
      </c>
      <c r="W752" t="s">
        <v>6954</v>
      </c>
      <c r="X752" t="s">
        <v>238</v>
      </c>
      <c r="Y752" t="s">
        <v>239</v>
      </c>
      <c r="Z752" t="s">
        <v>111</v>
      </c>
      <c r="AA752" t="str">
        <f>"13045-1257"</f>
        <v>13045-1257</v>
      </c>
      <c r="AB752" t="s">
        <v>123</v>
      </c>
      <c r="AC752" t="s">
        <v>113</v>
      </c>
      <c r="AD752" t="s">
        <v>108</v>
      </c>
      <c r="AE752" t="s">
        <v>114</v>
      </c>
      <c r="AF752" t="s">
        <v>142</v>
      </c>
      <c r="AG752" t="s">
        <v>116</v>
      </c>
      <c r="AK752" t="str">
        <f t="shared" si="75"/>
        <v>KHETI YATIN DR.</v>
      </c>
      <c r="AL752" t="s">
        <v>7094</v>
      </c>
      <c r="AM752" t="s">
        <v>108</v>
      </c>
      <c r="AN752" t="s">
        <v>108</v>
      </c>
      <c r="AO752" t="s">
        <v>108</v>
      </c>
      <c r="AP752" t="s">
        <v>108</v>
      </c>
      <c r="AQ752" t="s">
        <v>108</v>
      </c>
      <c r="AR752" t="s">
        <v>108</v>
      </c>
      <c r="AS752" t="s">
        <v>108</v>
      </c>
      <c r="AT752" t="s">
        <v>108</v>
      </c>
      <c r="AU752">
        <v>0</v>
      </c>
      <c r="AV752" t="s">
        <v>108</v>
      </c>
      <c r="AW752" t="s">
        <v>108</v>
      </c>
      <c r="AX752" s="24">
        <f t="shared" si="79"/>
        <v>1</v>
      </c>
      <c r="AY752" s="24" t="str">
        <f t="shared" si="79"/>
        <v/>
      </c>
      <c r="AZ752" s="24" t="str">
        <f t="shared" si="78"/>
        <v/>
      </c>
      <c r="BA752" s="24" t="str">
        <f t="shared" si="78"/>
        <v/>
      </c>
      <c r="BB752" s="24" t="str">
        <f t="shared" si="78"/>
        <v/>
      </c>
      <c r="BC752" s="24" t="str">
        <f t="shared" si="78"/>
        <v/>
      </c>
      <c r="BD752" s="24" t="str">
        <f t="shared" si="78"/>
        <v/>
      </c>
      <c r="BE752" s="24" t="str">
        <f t="shared" si="78"/>
        <v/>
      </c>
      <c r="BF752" s="24" t="str">
        <f t="shared" si="78"/>
        <v/>
      </c>
      <c r="BG752" s="24" t="str">
        <f t="shared" si="78"/>
        <v/>
      </c>
      <c r="BH752" s="24" t="str">
        <f t="shared" si="76"/>
        <v/>
      </c>
      <c r="BI752" s="24" t="str">
        <f t="shared" si="78"/>
        <v/>
      </c>
      <c r="BJ752" s="24" t="str">
        <f t="shared" si="77"/>
        <v/>
      </c>
    </row>
    <row r="753" spans="1:62" ht="15" customHeight="1" x14ac:dyDescent="0.25">
      <c r="A753" t="str">
        <f>"1235130279"</f>
        <v>1235130279</v>
      </c>
      <c r="B753" t="str">
        <f>"01593700"</f>
        <v>01593700</v>
      </c>
      <c r="C753" t="s">
        <v>3515</v>
      </c>
      <c r="D753" t="s">
        <v>3516</v>
      </c>
      <c r="E753" t="s">
        <v>3517</v>
      </c>
      <c r="G753" t="s">
        <v>1126</v>
      </c>
      <c r="H753" t="s">
        <v>1127</v>
      </c>
      <c r="J753" t="s">
        <v>3518</v>
      </c>
      <c r="L753" t="s">
        <v>138</v>
      </c>
      <c r="M753" t="s">
        <v>108</v>
      </c>
      <c r="R753" t="s">
        <v>3519</v>
      </c>
      <c r="W753" t="s">
        <v>3517</v>
      </c>
      <c r="X753" t="s">
        <v>3520</v>
      </c>
      <c r="Y753" t="s">
        <v>471</v>
      </c>
      <c r="Z753" t="s">
        <v>111</v>
      </c>
      <c r="AA753" t="str">
        <f>"14203-1126"</f>
        <v>14203-1126</v>
      </c>
      <c r="AB753" t="s">
        <v>123</v>
      </c>
      <c r="AC753" t="s">
        <v>113</v>
      </c>
      <c r="AD753" t="s">
        <v>108</v>
      </c>
      <c r="AE753" t="s">
        <v>114</v>
      </c>
      <c r="AF753" t="s">
        <v>142</v>
      </c>
      <c r="AG753" t="s">
        <v>116</v>
      </c>
      <c r="AK753" t="str">
        <f t="shared" si="75"/>
        <v/>
      </c>
      <c r="AL753" t="s">
        <v>3516</v>
      </c>
      <c r="AM753">
        <v>1</v>
      </c>
      <c r="AN753">
        <v>1</v>
      </c>
      <c r="AO753">
        <v>0</v>
      </c>
      <c r="AP753">
        <v>0</v>
      </c>
      <c r="AQ753">
        <v>0</v>
      </c>
      <c r="AR753">
        <v>0</v>
      </c>
      <c r="AS753">
        <v>0</v>
      </c>
      <c r="AT753">
        <v>0</v>
      </c>
      <c r="AU753">
        <v>0</v>
      </c>
      <c r="AV753">
        <v>0</v>
      </c>
      <c r="AW753">
        <v>0</v>
      </c>
      <c r="AX753" s="24" t="str">
        <f t="shared" si="79"/>
        <v/>
      </c>
      <c r="AY753" s="24">
        <f t="shared" si="79"/>
        <v>1</v>
      </c>
      <c r="AZ753" s="24" t="str">
        <f t="shared" si="78"/>
        <v/>
      </c>
      <c r="BA753" s="24" t="str">
        <f t="shared" ref="AZ753:BI778" si="80">IF(ISERROR(FIND(BA$1,$L753,1)),"",1)</f>
        <v/>
      </c>
      <c r="BB753" s="24" t="str">
        <f t="shared" si="80"/>
        <v/>
      </c>
      <c r="BC753" s="24" t="str">
        <f t="shared" si="80"/>
        <v/>
      </c>
      <c r="BD753" s="24" t="str">
        <f t="shared" si="80"/>
        <v/>
      </c>
      <c r="BE753" s="24" t="str">
        <f t="shared" si="80"/>
        <v/>
      </c>
      <c r="BF753" s="24" t="str">
        <f t="shared" si="80"/>
        <v/>
      </c>
      <c r="BG753" s="24" t="str">
        <f t="shared" si="80"/>
        <v/>
      </c>
      <c r="BH753" s="24" t="str">
        <f t="shared" si="76"/>
        <v/>
      </c>
      <c r="BI753" s="24">
        <f t="shared" si="80"/>
        <v>1</v>
      </c>
      <c r="BJ753" s="24" t="str">
        <f t="shared" si="77"/>
        <v/>
      </c>
    </row>
    <row r="754" spans="1:62" ht="15" customHeight="1" x14ac:dyDescent="0.25">
      <c r="A754" t="str">
        <f>"1922096536"</f>
        <v>1922096536</v>
      </c>
      <c r="B754" t="str">
        <f>"01150678"</f>
        <v>01150678</v>
      </c>
      <c r="C754" t="s">
        <v>3870</v>
      </c>
      <c r="D754" t="s">
        <v>3871</v>
      </c>
      <c r="E754" t="s">
        <v>3872</v>
      </c>
      <c r="L754" t="s">
        <v>247</v>
      </c>
      <c r="M754" t="s">
        <v>108</v>
      </c>
      <c r="R754" t="s">
        <v>3870</v>
      </c>
      <c r="W754" t="s">
        <v>3872</v>
      </c>
      <c r="X754" t="s">
        <v>3873</v>
      </c>
      <c r="Y754" t="s">
        <v>110</v>
      </c>
      <c r="Z754" t="s">
        <v>111</v>
      </c>
      <c r="AA754" t="str">
        <f>"13903-1642"</f>
        <v>13903-1642</v>
      </c>
      <c r="AB754" t="s">
        <v>123</v>
      </c>
      <c r="AC754" t="s">
        <v>113</v>
      </c>
      <c r="AD754" t="s">
        <v>108</v>
      </c>
      <c r="AE754" t="s">
        <v>114</v>
      </c>
      <c r="AF754" t="s">
        <v>115</v>
      </c>
      <c r="AG754" t="s">
        <v>116</v>
      </c>
      <c r="AK754" t="str">
        <f t="shared" si="75"/>
        <v/>
      </c>
      <c r="AL754" t="s">
        <v>3871</v>
      </c>
      <c r="AM754">
        <v>1</v>
      </c>
      <c r="AN754">
        <v>1</v>
      </c>
      <c r="AO754">
        <v>0</v>
      </c>
      <c r="AP754">
        <v>1</v>
      </c>
      <c r="AQ754">
        <v>1</v>
      </c>
      <c r="AR754">
        <v>0</v>
      </c>
      <c r="AS754">
        <v>0</v>
      </c>
      <c r="AT754">
        <v>0</v>
      </c>
      <c r="AU754">
        <v>0</v>
      </c>
      <c r="AV754">
        <v>0</v>
      </c>
      <c r="AW754">
        <v>1</v>
      </c>
      <c r="AX754" s="24" t="str">
        <f t="shared" si="79"/>
        <v/>
      </c>
      <c r="AY754" s="24">
        <f t="shared" si="79"/>
        <v>1</v>
      </c>
      <c r="AZ754" s="24" t="str">
        <f t="shared" si="80"/>
        <v/>
      </c>
      <c r="BA754" s="24" t="str">
        <f t="shared" si="80"/>
        <v/>
      </c>
      <c r="BB754" s="24" t="str">
        <f t="shared" si="80"/>
        <v/>
      </c>
      <c r="BC754" s="24" t="str">
        <f t="shared" si="80"/>
        <v/>
      </c>
      <c r="BD754" s="24" t="str">
        <f t="shared" si="80"/>
        <v/>
      </c>
      <c r="BE754" s="24" t="str">
        <f t="shared" si="80"/>
        <v/>
      </c>
      <c r="BF754" s="24" t="str">
        <f t="shared" si="80"/>
        <v/>
      </c>
      <c r="BG754" s="24" t="str">
        <f t="shared" si="80"/>
        <v/>
      </c>
      <c r="BH754" s="24" t="str">
        <f t="shared" si="76"/>
        <v/>
      </c>
      <c r="BI754" s="24" t="str">
        <f t="shared" si="80"/>
        <v/>
      </c>
      <c r="BJ754" s="24" t="str">
        <f t="shared" si="77"/>
        <v/>
      </c>
    </row>
    <row r="755" spans="1:62" ht="15" customHeight="1" x14ac:dyDescent="0.25">
      <c r="A755" t="str">
        <f>"1366450082"</f>
        <v>1366450082</v>
      </c>
      <c r="B755" t="str">
        <f>"03261305"</f>
        <v>03261305</v>
      </c>
      <c r="C755" t="s">
        <v>3212</v>
      </c>
      <c r="D755" t="s">
        <v>3213</v>
      </c>
      <c r="E755" t="s">
        <v>3214</v>
      </c>
      <c r="G755" t="s">
        <v>3207</v>
      </c>
      <c r="H755" t="s">
        <v>3208</v>
      </c>
      <c r="J755" t="s">
        <v>3215</v>
      </c>
      <c r="L755" t="s">
        <v>138</v>
      </c>
      <c r="M755" t="s">
        <v>108</v>
      </c>
      <c r="R755" t="s">
        <v>3216</v>
      </c>
      <c r="W755" t="s">
        <v>3217</v>
      </c>
      <c r="X755" t="s">
        <v>1166</v>
      </c>
      <c r="Y755" t="s">
        <v>293</v>
      </c>
      <c r="Z755" t="s">
        <v>111</v>
      </c>
      <c r="AA755" t="str">
        <f>"14850-1397"</f>
        <v>14850-1397</v>
      </c>
      <c r="AB755" t="s">
        <v>123</v>
      </c>
      <c r="AC755" t="s">
        <v>113</v>
      </c>
      <c r="AD755" t="s">
        <v>108</v>
      </c>
      <c r="AE755" t="s">
        <v>114</v>
      </c>
      <c r="AF755" t="s">
        <v>142</v>
      </c>
      <c r="AG755" t="s">
        <v>116</v>
      </c>
      <c r="AK755" t="str">
        <f t="shared" si="75"/>
        <v/>
      </c>
      <c r="AL755" t="s">
        <v>3213</v>
      </c>
      <c r="AM755">
        <v>0</v>
      </c>
      <c r="AN755">
        <v>0</v>
      </c>
      <c r="AO755">
        <v>0</v>
      </c>
      <c r="AP755">
        <v>0</v>
      </c>
      <c r="AQ755">
        <v>0</v>
      </c>
      <c r="AR755">
        <v>0</v>
      </c>
      <c r="AS755">
        <v>0</v>
      </c>
      <c r="AT755">
        <v>0</v>
      </c>
      <c r="AU755">
        <v>0</v>
      </c>
      <c r="AV755">
        <v>0</v>
      </c>
      <c r="AW755">
        <v>0</v>
      </c>
      <c r="AX755" s="24" t="str">
        <f t="shared" si="79"/>
        <v/>
      </c>
      <c r="AY755" s="24">
        <f t="shared" si="79"/>
        <v>1</v>
      </c>
      <c r="AZ755" s="24" t="str">
        <f t="shared" si="80"/>
        <v/>
      </c>
      <c r="BA755" s="24" t="str">
        <f t="shared" si="80"/>
        <v/>
      </c>
      <c r="BB755" s="24" t="str">
        <f t="shared" si="80"/>
        <v/>
      </c>
      <c r="BC755" s="24" t="str">
        <f t="shared" si="80"/>
        <v/>
      </c>
      <c r="BD755" s="24" t="str">
        <f t="shared" si="80"/>
        <v/>
      </c>
      <c r="BE755" s="24" t="str">
        <f t="shared" si="80"/>
        <v/>
      </c>
      <c r="BF755" s="24" t="str">
        <f t="shared" si="80"/>
        <v/>
      </c>
      <c r="BG755" s="24" t="str">
        <f t="shared" si="80"/>
        <v/>
      </c>
      <c r="BH755" s="24" t="str">
        <f t="shared" si="76"/>
        <v/>
      </c>
      <c r="BI755" s="24">
        <f t="shared" si="80"/>
        <v>1</v>
      </c>
      <c r="BJ755" s="24" t="str">
        <f t="shared" si="77"/>
        <v/>
      </c>
    </row>
    <row r="756" spans="1:62" ht="15" customHeight="1" x14ac:dyDescent="0.25">
      <c r="A756" t="str">
        <f>"1275502064"</f>
        <v>1275502064</v>
      </c>
      <c r="B756" t="str">
        <f>"00793999"</f>
        <v>00793999</v>
      </c>
      <c r="C756" t="s">
        <v>2240</v>
      </c>
      <c r="D756" t="s">
        <v>2241</v>
      </c>
      <c r="E756" t="s">
        <v>2242</v>
      </c>
      <c r="G756" t="s">
        <v>177</v>
      </c>
      <c r="H756" t="s">
        <v>178</v>
      </c>
      <c r="J756" t="s">
        <v>179</v>
      </c>
      <c r="L756" t="s">
        <v>138</v>
      </c>
      <c r="M756" t="s">
        <v>108</v>
      </c>
      <c r="R756" t="s">
        <v>2240</v>
      </c>
      <c r="W756" t="s">
        <v>2242</v>
      </c>
      <c r="X756" t="s">
        <v>180</v>
      </c>
      <c r="Y756" t="s">
        <v>181</v>
      </c>
      <c r="Z756" t="s">
        <v>182</v>
      </c>
      <c r="AA756" t="str">
        <f>"18840"</f>
        <v>18840</v>
      </c>
      <c r="AB756" t="s">
        <v>123</v>
      </c>
      <c r="AC756" t="s">
        <v>113</v>
      </c>
      <c r="AD756" t="s">
        <v>108</v>
      </c>
      <c r="AE756" t="s">
        <v>114</v>
      </c>
      <c r="AF756" t="s">
        <v>115</v>
      </c>
      <c r="AG756" t="s">
        <v>116</v>
      </c>
      <c r="AK756" t="str">
        <f t="shared" si="75"/>
        <v/>
      </c>
      <c r="AL756" t="s">
        <v>2241</v>
      </c>
      <c r="AM756">
        <v>0</v>
      </c>
      <c r="AN756">
        <v>0</v>
      </c>
      <c r="AO756">
        <v>0</v>
      </c>
      <c r="AP756">
        <v>0</v>
      </c>
      <c r="AQ756">
        <v>0</v>
      </c>
      <c r="AR756">
        <v>0</v>
      </c>
      <c r="AS756">
        <v>0</v>
      </c>
      <c r="AT756">
        <v>0</v>
      </c>
      <c r="AU756">
        <v>0</v>
      </c>
      <c r="AV756">
        <v>0</v>
      </c>
      <c r="AW756">
        <v>0</v>
      </c>
      <c r="AX756" s="24" t="str">
        <f t="shared" si="79"/>
        <v/>
      </c>
      <c r="AY756" s="24">
        <f t="shared" si="79"/>
        <v>1</v>
      </c>
      <c r="AZ756" s="24" t="str">
        <f t="shared" si="80"/>
        <v/>
      </c>
      <c r="BA756" s="24" t="str">
        <f t="shared" si="80"/>
        <v/>
      </c>
      <c r="BB756" s="24" t="str">
        <f t="shared" si="80"/>
        <v/>
      </c>
      <c r="BC756" s="24" t="str">
        <f t="shared" si="80"/>
        <v/>
      </c>
      <c r="BD756" s="24" t="str">
        <f t="shared" si="80"/>
        <v/>
      </c>
      <c r="BE756" s="24" t="str">
        <f t="shared" si="80"/>
        <v/>
      </c>
      <c r="BF756" s="24" t="str">
        <f t="shared" si="80"/>
        <v/>
      </c>
      <c r="BG756" s="24" t="str">
        <f t="shared" si="80"/>
        <v/>
      </c>
      <c r="BH756" s="24" t="str">
        <f t="shared" si="76"/>
        <v/>
      </c>
      <c r="BI756" s="24">
        <f t="shared" si="80"/>
        <v>1</v>
      </c>
      <c r="BJ756" s="24" t="str">
        <f t="shared" si="77"/>
        <v/>
      </c>
    </row>
    <row r="757" spans="1:62" ht="15" customHeight="1" x14ac:dyDescent="0.25">
      <c r="A757" t="str">
        <f>"1376702035"</f>
        <v>1376702035</v>
      </c>
      <c r="B757" t="str">
        <f>"03045732"</f>
        <v>03045732</v>
      </c>
      <c r="C757" t="s">
        <v>6059</v>
      </c>
      <c r="D757" t="s">
        <v>6060</v>
      </c>
      <c r="E757" t="s">
        <v>6061</v>
      </c>
      <c r="G757" t="s">
        <v>815</v>
      </c>
      <c r="H757" t="s">
        <v>816</v>
      </c>
      <c r="J757" t="s">
        <v>817</v>
      </c>
      <c r="L757" t="s">
        <v>120</v>
      </c>
      <c r="M757" t="s">
        <v>108</v>
      </c>
      <c r="R757" t="s">
        <v>6062</v>
      </c>
      <c r="W757" t="s">
        <v>6061</v>
      </c>
      <c r="X757" t="s">
        <v>6063</v>
      </c>
      <c r="Y757" t="s">
        <v>966</v>
      </c>
      <c r="Z757" t="s">
        <v>111</v>
      </c>
      <c r="AA757" t="str">
        <f>"13850-2003"</f>
        <v>13850-2003</v>
      </c>
      <c r="AB757" t="s">
        <v>123</v>
      </c>
      <c r="AC757" t="s">
        <v>113</v>
      </c>
      <c r="AD757" t="s">
        <v>108</v>
      </c>
      <c r="AE757" t="s">
        <v>114</v>
      </c>
      <c r="AF757" t="s">
        <v>115</v>
      </c>
      <c r="AG757" t="s">
        <v>116</v>
      </c>
      <c r="AK757" t="str">
        <f t="shared" si="75"/>
        <v>Kinner Mehta, MD</v>
      </c>
      <c r="AL757" t="s">
        <v>6060</v>
      </c>
      <c r="AM757" t="s">
        <v>108</v>
      </c>
      <c r="AN757" t="s">
        <v>108</v>
      </c>
      <c r="AO757" t="s">
        <v>108</v>
      </c>
      <c r="AP757" t="s">
        <v>108</v>
      </c>
      <c r="AQ757" t="s">
        <v>108</v>
      </c>
      <c r="AR757" t="s">
        <v>108</v>
      </c>
      <c r="AS757" t="s">
        <v>108</v>
      </c>
      <c r="AT757" t="s">
        <v>108</v>
      </c>
      <c r="AU757">
        <v>0</v>
      </c>
      <c r="AV757" t="s">
        <v>108</v>
      </c>
      <c r="AW757" t="s">
        <v>108</v>
      </c>
      <c r="AX757" s="24">
        <f t="shared" si="79"/>
        <v>1</v>
      </c>
      <c r="AY757" s="24" t="str">
        <f t="shared" si="79"/>
        <v/>
      </c>
      <c r="AZ757" s="24" t="str">
        <f t="shared" si="80"/>
        <v/>
      </c>
      <c r="BA757" s="24" t="str">
        <f t="shared" si="80"/>
        <v/>
      </c>
      <c r="BB757" s="24" t="str">
        <f t="shared" si="80"/>
        <v/>
      </c>
      <c r="BC757" s="24" t="str">
        <f t="shared" si="80"/>
        <v/>
      </c>
      <c r="BD757" s="24" t="str">
        <f t="shared" si="80"/>
        <v/>
      </c>
      <c r="BE757" s="24" t="str">
        <f t="shared" si="80"/>
        <v/>
      </c>
      <c r="BF757" s="24" t="str">
        <f t="shared" si="80"/>
        <v/>
      </c>
      <c r="BG757" s="24" t="str">
        <f t="shared" si="80"/>
        <v/>
      </c>
      <c r="BH757" s="24" t="str">
        <f t="shared" si="76"/>
        <v/>
      </c>
      <c r="BI757" s="24">
        <f t="shared" si="80"/>
        <v>1</v>
      </c>
      <c r="BJ757" s="24" t="str">
        <f t="shared" si="77"/>
        <v/>
      </c>
    </row>
    <row r="758" spans="1:62" ht="15" customHeight="1" x14ac:dyDescent="0.25">
      <c r="A758" t="str">
        <f>"1588991772"</f>
        <v>1588991772</v>
      </c>
      <c r="B758" t="str">
        <f>"03853927"</f>
        <v>03853927</v>
      </c>
      <c r="C758" t="s">
        <v>6010</v>
      </c>
      <c r="D758" t="s">
        <v>6011</v>
      </c>
      <c r="E758" t="s">
        <v>6012</v>
      </c>
      <c r="G758" t="s">
        <v>815</v>
      </c>
      <c r="H758" t="s">
        <v>816</v>
      </c>
      <c r="J758" t="s">
        <v>817</v>
      </c>
      <c r="L758" t="s">
        <v>120</v>
      </c>
      <c r="M758" t="s">
        <v>108</v>
      </c>
      <c r="R758" t="s">
        <v>6012</v>
      </c>
      <c r="W758" t="s">
        <v>6013</v>
      </c>
      <c r="X758" t="s">
        <v>3299</v>
      </c>
      <c r="Y758" t="s">
        <v>281</v>
      </c>
      <c r="Z758" t="s">
        <v>111</v>
      </c>
      <c r="AA758" t="str">
        <f>"13827-1620"</f>
        <v>13827-1620</v>
      </c>
      <c r="AB758" t="s">
        <v>123</v>
      </c>
      <c r="AC758" t="s">
        <v>113</v>
      </c>
      <c r="AD758" t="s">
        <v>108</v>
      </c>
      <c r="AE758" t="s">
        <v>114</v>
      </c>
      <c r="AF758" t="s">
        <v>115</v>
      </c>
      <c r="AG758" t="s">
        <v>116</v>
      </c>
      <c r="AK758" t="str">
        <f t="shared" si="75"/>
        <v>Kiran Rayalam, MD, MPH</v>
      </c>
      <c r="AL758" t="s">
        <v>6011</v>
      </c>
      <c r="AM758" t="s">
        <v>108</v>
      </c>
      <c r="AN758" t="s">
        <v>108</v>
      </c>
      <c r="AO758" t="s">
        <v>108</v>
      </c>
      <c r="AP758" t="s">
        <v>108</v>
      </c>
      <c r="AQ758" t="s">
        <v>108</v>
      </c>
      <c r="AR758" t="s">
        <v>108</v>
      </c>
      <c r="AS758" t="s">
        <v>108</v>
      </c>
      <c r="AT758" t="s">
        <v>108</v>
      </c>
      <c r="AU758">
        <v>0</v>
      </c>
      <c r="AV758" t="s">
        <v>108</v>
      </c>
      <c r="AW758" t="s">
        <v>108</v>
      </c>
      <c r="AX758" s="24">
        <f t="shared" si="79"/>
        <v>1</v>
      </c>
      <c r="AY758" s="24" t="str">
        <f t="shared" si="79"/>
        <v/>
      </c>
      <c r="AZ758" s="24" t="str">
        <f t="shared" si="80"/>
        <v/>
      </c>
      <c r="BA758" s="24" t="str">
        <f t="shared" si="80"/>
        <v/>
      </c>
      <c r="BB758" s="24" t="str">
        <f t="shared" si="80"/>
        <v/>
      </c>
      <c r="BC758" s="24" t="str">
        <f t="shared" si="80"/>
        <v/>
      </c>
      <c r="BD758" s="24" t="str">
        <f t="shared" si="80"/>
        <v/>
      </c>
      <c r="BE758" s="24" t="str">
        <f t="shared" si="80"/>
        <v/>
      </c>
      <c r="BF758" s="24" t="str">
        <f t="shared" si="80"/>
        <v/>
      </c>
      <c r="BG758" s="24" t="str">
        <f t="shared" si="80"/>
        <v/>
      </c>
      <c r="BH758" s="24" t="str">
        <f t="shared" si="76"/>
        <v/>
      </c>
      <c r="BI758" s="24">
        <f t="shared" si="80"/>
        <v>1</v>
      </c>
      <c r="BJ758" s="24" t="str">
        <f t="shared" si="77"/>
        <v/>
      </c>
    </row>
    <row r="759" spans="1:62" ht="15" customHeight="1" x14ac:dyDescent="0.25">
      <c r="A759" t="str">
        <f>"1518126267"</f>
        <v>1518126267</v>
      </c>
      <c r="B759" t="str">
        <f>"03255176"</f>
        <v>03255176</v>
      </c>
      <c r="C759" t="s">
        <v>825</v>
      </c>
      <c r="D759" t="s">
        <v>826</v>
      </c>
      <c r="E759" t="s">
        <v>827</v>
      </c>
      <c r="L759" t="s">
        <v>120</v>
      </c>
      <c r="M759" t="s">
        <v>108</v>
      </c>
      <c r="R759" t="s">
        <v>825</v>
      </c>
      <c r="W759" t="s">
        <v>828</v>
      </c>
      <c r="X759" t="s">
        <v>829</v>
      </c>
      <c r="Y759" t="s">
        <v>830</v>
      </c>
      <c r="Z759" t="s">
        <v>111</v>
      </c>
      <c r="AA759" t="str">
        <f>"13460-9723"</f>
        <v>13460-9723</v>
      </c>
      <c r="AB759" t="s">
        <v>123</v>
      </c>
      <c r="AC759" t="s">
        <v>113</v>
      </c>
      <c r="AD759" t="s">
        <v>108</v>
      </c>
      <c r="AE759" t="s">
        <v>114</v>
      </c>
      <c r="AF759" t="s">
        <v>124</v>
      </c>
      <c r="AG759" t="s">
        <v>116</v>
      </c>
      <c r="AK759" t="str">
        <f t="shared" si="75"/>
        <v/>
      </c>
      <c r="AL759" t="s">
        <v>826</v>
      </c>
      <c r="AM759">
        <v>0</v>
      </c>
      <c r="AN759">
        <v>0</v>
      </c>
      <c r="AO759">
        <v>0</v>
      </c>
      <c r="AP759">
        <v>0</v>
      </c>
      <c r="AQ759">
        <v>0</v>
      </c>
      <c r="AR759">
        <v>0</v>
      </c>
      <c r="AS759">
        <v>0</v>
      </c>
      <c r="AT759">
        <v>0</v>
      </c>
      <c r="AU759">
        <v>0</v>
      </c>
      <c r="AV759">
        <v>0</v>
      </c>
      <c r="AW759">
        <v>0</v>
      </c>
      <c r="AX759" s="24">
        <f t="shared" si="79"/>
        <v>1</v>
      </c>
      <c r="AY759" s="24" t="str">
        <f t="shared" si="79"/>
        <v/>
      </c>
      <c r="AZ759" s="24" t="str">
        <f t="shared" si="80"/>
        <v/>
      </c>
      <c r="BA759" s="24" t="str">
        <f t="shared" si="80"/>
        <v/>
      </c>
      <c r="BB759" s="24" t="str">
        <f t="shared" si="80"/>
        <v/>
      </c>
      <c r="BC759" s="24" t="str">
        <f t="shared" si="80"/>
        <v/>
      </c>
      <c r="BD759" s="24" t="str">
        <f t="shared" si="80"/>
        <v/>
      </c>
      <c r="BE759" s="24" t="str">
        <f t="shared" si="80"/>
        <v/>
      </c>
      <c r="BF759" s="24" t="str">
        <f t="shared" si="80"/>
        <v/>
      </c>
      <c r="BG759" s="24" t="str">
        <f t="shared" si="80"/>
        <v/>
      </c>
      <c r="BH759" s="24" t="str">
        <f t="shared" si="76"/>
        <v/>
      </c>
      <c r="BI759" s="24">
        <f t="shared" si="80"/>
        <v>1</v>
      </c>
      <c r="BJ759" s="24" t="str">
        <f t="shared" si="77"/>
        <v/>
      </c>
    </row>
    <row r="760" spans="1:62" ht="15" customHeight="1" x14ac:dyDescent="0.25">
      <c r="A760" t="str">
        <f>"1043216906"</f>
        <v>1043216906</v>
      </c>
      <c r="B760" t="str">
        <f>"02503717"</f>
        <v>02503717</v>
      </c>
      <c r="C760" t="s">
        <v>4524</v>
      </c>
      <c r="D760" t="s">
        <v>4525</v>
      </c>
      <c r="E760" t="s">
        <v>4524</v>
      </c>
      <c r="G760" t="s">
        <v>1488</v>
      </c>
      <c r="H760" t="s">
        <v>787</v>
      </c>
      <c r="J760" t="s">
        <v>1489</v>
      </c>
      <c r="L760" t="s">
        <v>120</v>
      </c>
      <c r="M760" t="s">
        <v>139</v>
      </c>
      <c r="R760" t="s">
        <v>4526</v>
      </c>
      <c r="W760" t="s">
        <v>4524</v>
      </c>
      <c r="X760" t="s">
        <v>4383</v>
      </c>
      <c r="Y760" t="s">
        <v>794</v>
      </c>
      <c r="Z760" t="s">
        <v>111</v>
      </c>
      <c r="AA760" t="str">
        <f>"13040-9685"</f>
        <v>13040-9685</v>
      </c>
      <c r="AB760" t="s">
        <v>123</v>
      </c>
      <c r="AC760" t="s">
        <v>113</v>
      </c>
      <c r="AD760" t="s">
        <v>108</v>
      </c>
      <c r="AE760" t="s">
        <v>114</v>
      </c>
      <c r="AF760" t="s">
        <v>142</v>
      </c>
      <c r="AG760" t="s">
        <v>116</v>
      </c>
      <c r="AK760" t="str">
        <f t="shared" si="75"/>
        <v/>
      </c>
      <c r="AL760" t="s">
        <v>4525</v>
      </c>
      <c r="AM760">
        <v>1</v>
      </c>
      <c r="AN760">
        <v>1</v>
      </c>
      <c r="AO760">
        <v>0</v>
      </c>
      <c r="AP760">
        <v>0</v>
      </c>
      <c r="AQ760">
        <v>1</v>
      </c>
      <c r="AR760">
        <v>1</v>
      </c>
      <c r="AS760">
        <v>0</v>
      </c>
      <c r="AT760">
        <v>0</v>
      </c>
      <c r="AU760">
        <v>1</v>
      </c>
      <c r="AV760">
        <v>0</v>
      </c>
      <c r="AW760">
        <v>0</v>
      </c>
      <c r="AX760" s="24">
        <f t="shared" si="79"/>
        <v>1</v>
      </c>
      <c r="AY760" s="24" t="str">
        <f t="shared" si="79"/>
        <v/>
      </c>
      <c r="AZ760" s="24" t="str">
        <f t="shared" si="80"/>
        <v/>
      </c>
      <c r="BA760" s="24" t="str">
        <f t="shared" si="80"/>
        <v/>
      </c>
      <c r="BB760" s="24" t="str">
        <f t="shared" si="80"/>
        <v/>
      </c>
      <c r="BC760" s="24" t="str">
        <f t="shared" si="80"/>
        <v/>
      </c>
      <c r="BD760" s="24" t="str">
        <f t="shared" si="80"/>
        <v/>
      </c>
      <c r="BE760" s="24" t="str">
        <f t="shared" si="80"/>
        <v/>
      </c>
      <c r="BF760" s="24" t="str">
        <f t="shared" si="80"/>
        <v/>
      </c>
      <c r="BG760" s="24" t="str">
        <f t="shared" si="80"/>
        <v/>
      </c>
      <c r="BH760" s="24" t="str">
        <f t="shared" si="76"/>
        <v/>
      </c>
      <c r="BI760" s="24">
        <f t="shared" si="80"/>
        <v>1</v>
      </c>
      <c r="BJ760" s="24" t="str">
        <f t="shared" si="77"/>
        <v/>
      </c>
    </row>
    <row r="761" spans="1:62" ht="15" customHeight="1" x14ac:dyDescent="0.25">
      <c r="A761" t="str">
        <f>"1578709333"</f>
        <v>1578709333</v>
      </c>
      <c r="B761" t="str">
        <f>"03775697"</f>
        <v>03775697</v>
      </c>
      <c r="C761" t="s">
        <v>1571</v>
      </c>
      <c r="D761" t="s">
        <v>1572</v>
      </c>
      <c r="E761" t="s">
        <v>1573</v>
      </c>
      <c r="L761" t="s">
        <v>247</v>
      </c>
      <c r="M761" t="s">
        <v>108</v>
      </c>
      <c r="R761" t="s">
        <v>1571</v>
      </c>
      <c r="W761" t="s">
        <v>1574</v>
      </c>
      <c r="X761" t="s">
        <v>1575</v>
      </c>
      <c r="Y761" t="s">
        <v>129</v>
      </c>
      <c r="Z761" t="s">
        <v>111</v>
      </c>
      <c r="AA761" t="str">
        <f>"13790-1049"</f>
        <v>13790-1049</v>
      </c>
      <c r="AB761" t="s">
        <v>1000</v>
      </c>
      <c r="AC761" t="s">
        <v>113</v>
      </c>
      <c r="AD761" t="s">
        <v>108</v>
      </c>
      <c r="AE761" t="s">
        <v>114</v>
      </c>
      <c r="AF761" t="s">
        <v>115</v>
      </c>
      <c r="AG761" t="s">
        <v>116</v>
      </c>
      <c r="AK761" t="str">
        <f t="shared" si="75"/>
        <v/>
      </c>
      <c r="AL761" t="s">
        <v>1572</v>
      </c>
      <c r="AM761">
        <v>0</v>
      </c>
      <c r="AN761">
        <v>0</v>
      </c>
      <c r="AO761">
        <v>0</v>
      </c>
      <c r="AP761">
        <v>0</v>
      </c>
      <c r="AQ761">
        <v>0</v>
      </c>
      <c r="AR761">
        <v>0</v>
      </c>
      <c r="AS761">
        <v>0</v>
      </c>
      <c r="AT761">
        <v>0</v>
      </c>
      <c r="AU761">
        <v>0</v>
      </c>
      <c r="AV761">
        <v>0</v>
      </c>
      <c r="AW761">
        <v>0</v>
      </c>
      <c r="AX761" s="24" t="str">
        <f t="shared" si="79"/>
        <v/>
      </c>
      <c r="AY761" s="24">
        <f t="shared" si="79"/>
        <v>1</v>
      </c>
      <c r="AZ761" s="24" t="str">
        <f t="shared" si="80"/>
        <v/>
      </c>
      <c r="BA761" s="24" t="str">
        <f t="shared" si="80"/>
        <v/>
      </c>
      <c r="BB761" s="24" t="str">
        <f t="shared" si="80"/>
        <v/>
      </c>
      <c r="BC761" s="24" t="str">
        <f t="shared" si="80"/>
        <v/>
      </c>
      <c r="BD761" s="24" t="str">
        <f t="shared" si="80"/>
        <v/>
      </c>
      <c r="BE761" s="24" t="str">
        <f t="shared" si="80"/>
        <v/>
      </c>
      <c r="BF761" s="24" t="str">
        <f t="shared" si="80"/>
        <v/>
      </c>
      <c r="BG761" s="24" t="str">
        <f t="shared" si="80"/>
        <v/>
      </c>
      <c r="BH761" s="24" t="str">
        <f t="shared" si="76"/>
        <v/>
      </c>
      <c r="BI761" s="24" t="str">
        <f t="shared" si="80"/>
        <v/>
      </c>
      <c r="BJ761" s="24" t="str">
        <f t="shared" si="77"/>
        <v/>
      </c>
    </row>
    <row r="762" spans="1:62" ht="15" customHeight="1" x14ac:dyDescent="0.25">
      <c r="A762" t="str">
        <f>"1720057326"</f>
        <v>1720057326</v>
      </c>
      <c r="B762" t="str">
        <f>"02195884"</f>
        <v>02195884</v>
      </c>
      <c r="C762" t="s">
        <v>491</v>
      </c>
      <c r="D762" t="s">
        <v>492</v>
      </c>
      <c r="E762" t="s">
        <v>493</v>
      </c>
      <c r="G762" t="s">
        <v>177</v>
      </c>
      <c r="H762" t="s">
        <v>178</v>
      </c>
      <c r="J762" t="s">
        <v>179</v>
      </c>
      <c r="L762" t="s">
        <v>6867</v>
      </c>
      <c r="M762" t="s">
        <v>108</v>
      </c>
      <c r="R762" t="s">
        <v>491</v>
      </c>
      <c r="W762" t="s">
        <v>493</v>
      </c>
      <c r="X762" t="s">
        <v>186</v>
      </c>
      <c r="Y762" t="s">
        <v>181</v>
      </c>
      <c r="Z762" t="s">
        <v>182</v>
      </c>
      <c r="AA762" t="str">
        <f>"18840"</f>
        <v>18840</v>
      </c>
      <c r="AB762" t="s">
        <v>123</v>
      </c>
      <c r="AC762" t="s">
        <v>113</v>
      </c>
      <c r="AD762" t="s">
        <v>108</v>
      </c>
      <c r="AE762" t="s">
        <v>114</v>
      </c>
      <c r="AF762" t="s">
        <v>115</v>
      </c>
      <c r="AG762" t="s">
        <v>116</v>
      </c>
      <c r="AK762" t="str">
        <f t="shared" si="75"/>
        <v/>
      </c>
      <c r="AL762" t="s">
        <v>492</v>
      </c>
      <c r="AM762">
        <v>1</v>
      </c>
      <c r="AN762">
        <v>1</v>
      </c>
      <c r="AO762">
        <v>0</v>
      </c>
      <c r="AP762">
        <v>0</v>
      </c>
      <c r="AQ762">
        <v>0</v>
      </c>
      <c r="AR762">
        <v>0</v>
      </c>
      <c r="AS762">
        <v>0</v>
      </c>
      <c r="AT762">
        <v>0</v>
      </c>
      <c r="AU762">
        <v>0</v>
      </c>
      <c r="AV762">
        <v>1</v>
      </c>
      <c r="AW762">
        <v>0</v>
      </c>
      <c r="AX762" s="24">
        <f t="shared" si="79"/>
        <v>1</v>
      </c>
      <c r="AY762" s="24">
        <f t="shared" si="79"/>
        <v>1</v>
      </c>
      <c r="AZ762" s="24" t="str">
        <f t="shared" si="80"/>
        <v/>
      </c>
      <c r="BA762" s="24" t="str">
        <f t="shared" si="80"/>
        <v/>
      </c>
      <c r="BB762" s="24" t="str">
        <f t="shared" si="80"/>
        <v/>
      </c>
      <c r="BC762" s="24" t="str">
        <f t="shared" si="80"/>
        <v/>
      </c>
      <c r="BD762" s="24" t="str">
        <f t="shared" si="80"/>
        <v/>
      </c>
      <c r="BE762" s="24" t="str">
        <f t="shared" si="80"/>
        <v/>
      </c>
      <c r="BF762" s="24" t="str">
        <f t="shared" si="80"/>
        <v/>
      </c>
      <c r="BG762" s="24" t="str">
        <f t="shared" si="80"/>
        <v/>
      </c>
      <c r="BH762" s="24" t="str">
        <f t="shared" si="76"/>
        <v/>
      </c>
      <c r="BI762" s="24">
        <f t="shared" si="80"/>
        <v>1</v>
      </c>
      <c r="BJ762" s="24" t="str">
        <f t="shared" si="77"/>
        <v/>
      </c>
    </row>
    <row r="763" spans="1:62" ht="15" customHeight="1" x14ac:dyDescent="0.25">
      <c r="A763" t="str">
        <f>"1174752257"</f>
        <v>1174752257</v>
      </c>
      <c r="B763" t="str">
        <f>"03537024"</f>
        <v>03537024</v>
      </c>
      <c r="C763" t="s">
        <v>5005</v>
      </c>
      <c r="D763" t="s">
        <v>5006</v>
      </c>
      <c r="E763" t="s">
        <v>5005</v>
      </c>
      <c r="G763" t="s">
        <v>699</v>
      </c>
      <c r="H763" t="s">
        <v>700</v>
      </c>
      <c r="J763" t="s">
        <v>701</v>
      </c>
      <c r="L763" t="s">
        <v>120</v>
      </c>
      <c r="M763" t="s">
        <v>108</v>
      </c>
      <c r="R763" t="s">
        <v>5007</v>
      </c>
      <c r="W763" t="s">
        <v>5005</v>
      </c>
      <c r="X763" t="s">
        <v>196</v>
      </c>
      <c r="Y763" t="s">
        <v>181</v>
      </c>
      <c r="Z763" t="s">
        <v>182</v>
      </c>
      <c r="AA763" t="str">
        <f>"18840-1625"</f>
        <v>18840-1625</v>
      </c>
      <c r="AB763" t="s">
        <v>123</v>
      </c>
      <c r="AC763" t="s">
        <v>113</v>
      </c>
      <c r="AD763" t="s">
        <v>108</v>
      </c>
      <c r="AE763" t="s">
        <v>114</v>
      </c>
      <c r="AF763" t="s">
        <v>115</v>
      </c>
      <c r="AG763" t="s">
        <v>116</v>
      </c>
      <c r="AK763" t="str">
        <f t="shared" si="75"/>
        <v/>
      </c>
      <c r="AL763" t="s">
        <v>5006</v>
      </c>
      <c r="AM763">
        <v>0</v>
      </c>
      <c r="AN763">
        <v>0</v>
      </c>
      <c r="AO763">
        <v>0</v>
      </c>
      <c r="AP763">
        <v>0</v>
      </c>
      <c r="AQ763">
        <v>0</v>
      </c>
      <c r="AR763">
        <v>0</v>
      </c>
      <c r="AS763">
        <v>0</v>
      </c>
      <c r="AT763">
        <v>0</v>
      </c>
      <c r="AU763">
        <v>0</v>
      </c>
      <c r="AV763">
        <v>0</v>
      </c>
      <c r="AW763">
        <v>0</v>
      </c>
      <c r="AX763" s="24">
        <f t="shared" si="79"/>
        <v>1</v>
      </c>
      <c r="AY763" s="24" t="str">
        <f t="shared" si="79"/>
        <v/>
      </c>
      <c r="AZ763" s="24" t="str">
        <f t="shared" si="80"/>
        <v/>
      </c>
      <c r="BA763" s="24" t="str">
        <f t="shared" si="80"/>
        <v/>
      </c>
      <c r="BB763" s="24" t="str">
        <f t="shared" si="80"/>
        <v/>
      </c>
      <c r="BC763" s="24" t="str">
        <f t="shared" si="80"/>
        <v/>
      </c>
      <c r="BD763" s="24" t="str">
        <f t="shared" si="80"/>
        <v/>
      </c>
      <c r="BE763" s="24" t="str">
        <f t="shared" si="80"/>
        <v/>
      </c>
      <c r="BF763" s="24" t="str">
        <f t="shared" si="80"/>
        <v/>
      </c>
      <c r="BG763" s="24" t="str">
        <f t="shared" si="80"/>
        <v/>
      </c>
      <c r="BH763" s="24" t="str">
        <f t="shared" si="76"/>
        <v/>
      </c>
      <c r="BI763" s="24">
        <f t="shared" si="80"/>
        <v>1</v>
      </c>
      <c r="BJ763" s="24" t="str">
        <f t="shared" si="77"/>
        <v/>
      </c>
    </row>
    <row r="764" spans="1:62" ht="15" customHeight="1" x14ac:dyDescent="0.25">
      <c r="A764" t="str">
        <f>"1073558409"</f>
        <v>1073558409</v>
      </c>
      <c r="B764" t="str">
        <f>"02633003"</f>
        <v>02633003</v>
      </c>
      <c r="C764" t="s">
        <v>6504</v>
      </c>
      <c r="D764" t="s">
        <v>6505</v>
      </c>
      <c r="E764" t="s">
        <v>6506</v>
      </c>
      <c r="G764" t="s">
        <v>6507</v>
      </c>
      <c r="H764" t="s">
        <v>6508</v>
      </c>
      <c r="J764" t="s">
        <v>6509</v>
      </c>
      <c r="L764" t="s">
        <v>6867</v>
      </c>
      <c r="M764" t="s">
        <v>108</v>
      </c>
      <c r="R764" t="s">
        <v>6510</v>
      </c>
      <c r="W764" t="s">
        <v>6511</v>
      </c>
      <c r="X764" t="s">
        <v>196</v>
      </c>
      <c r="Y764" t="s">
        <v>181</v>
      </c>
      <c r="Z764" t="s">
        <v>182</v>
      </c>
      <c r="AA764" t="str">
        <f>"18840-1625"</f>
        <v>18840-1625</v>
      </c>
      <c r="AB764" t="s">
        <v>123</v>
      </c>
      <c r="AC764" t="s">
        <v>113</v>
      </c>
      <c r="AD764" t="s">
        <v>108</v>
      </c>
      <c r="AE764" t="s">
        <v>114</v>
      </c>
      <c r="AF764" t="s">
        <v>142</v>
      </c>
      <c r="AG764" t="s">
        <v>116</v>
      </c>
      <c r="AK764" t="str">
        <f t="shared" si="75"/>
        <v>Kolade Victor</v>
      </c>
      <c r="AL764" t="s">
        <v>6505</v>
      </c>
      <c r="AM764" t="s">
        <v>108</v>
      </c>
      <c r="AN764" t="s">
        <v>108</v>
      </c>
      <c r="AO764" t="s">
        <v>108</v>
      </c>
      <c r="AP764" t="s">
        <v>108</v>
      </c>
      <c r="AQ764" t="s">
        <v>108</v>
      </c>
      <c r="AR764" t="s">
        <v>108</v>
      </c>
      <c r="AS764" t="s">
        <v>108</v>
      </c>
      <c r="AT764" t="s">
        <v>108</v>
      </c>
      <c r="AU764">
        <v>0</v>
      </c>
      <c r="AV764" t="s">
        <v>108</v>
      </c>
      <c r="AW764" t="s">
        <v>108</v>
      </c>
      <c r="AX764" s="24">
        <f t="shared" si="79"/>
        <v>1</v>
      </c>
      <c r="AY764" s="24">
        <f t="shared" si="79"/>
        <v>1</v>
      </c>
      <c r="AZ764" s="24" t="str">
        <f t="shared" si="80"/>
        <v/>
      </c>
      <c r="BA764" s="24" t="str">
        <f t="shared" si="80"/>
        <v/>
      </c>
      <c r="BB764" s="24" t="str">
        <f t="shared" si="80"/>
        <v/>
      </c>
      <c r="BC764" s="24" t="str">
        <f t="shared" si="80"/>
        <v/>
      </c>
      <c r="BD764" s="24" t="str">
        <f t="shared" si="80"/>
        <v/>
      </c>
      <c r="BE764" s="24" t="str">
        <f t="shared" si="80"/>
        <v/>
      </c>
      <c r="BF764" s="24" t="str">
        <f t="shared" si="80"/>
        <v/>
      </c>
      <c r="BG764" s="24" t="str">
        <f t="shared" si="80"/>
        <v/>
      </c>
      <c r="BH764" s="24" t="str">
        <f t="shared" si="76"/>
        <v/>
      </c>
      <c r="BI764" s="24">
        <f t="shared" si="80"/>
        <v>1</v>
      </c>
      <c r="BJ764" s="24" t="str">
        <f t="shared" si="77"/>
        <v/>
      </c>
    </row>
    <row r="765" spans="1:62" ht="15" customHeight="1" x14ac:dyDescent="0.25">
      <c r="A765" t="str">
        <f>"1932138260"</f>
        <v>1932138260</v>
      </c>
      <c r="B765" t="str">
        <f>"02314547"</f>
        <v>02314547</v>
      </c>
      <c r="C765" t="s">
        <v>3874</v>
      </c>
      <c r="D765" t="s">
        <v>3875</v>
      </c>
      <c r="E765" t="s">
        <v>3876</v>
      </c>
      <c r="L765" t="s">
        <v>809</v>
      </c>
      <c r="M765" t="s">
        <v>108</v>
      </c>
      <c r="R765" t="s">
        <v>3874</v>
      </c>
      <c r="W765" t="s">
        <v>3876</v>
      </c>
      <c r="X765" t="s">
        <v>810</v>
      </c>
      <c r="Y765" t="s">
        <v>110</v>
      </c>
      <c r="Z765" t="s">
        <v>111</v>
      </c>
      <c r="AA765" t="str">
        <f>"13905-2522"</f>
        <v>13905-2522</v>
      </c>
      <c r="AB765" t="s">
        <v>811</v>
      </c>
      <c r="AC765" t="s">
        <v>113</v>
      </c>
      <c r="AD765" t="s">
        <v>108</v>
      </c>
      <c r="AE765" t="s">
        <v>114</v>
      </c>
      <c r="AF765" t="s">
        <v>115</v>
      </c>
      <c r="AG765" t="s">
        <v>116</v>
      </c>
      <c r="AK765" t="str">
        <f t="shared" si="75"/>
        <v/>
      </c>
      <c r="AL765" t="s">
        <v>3875</v>
      </c>
      <c r="AM765">
        <v>0</v>
      </c>
      <c r="AN765">
        <v>0</v>
      </c>
      <c r="AO765">
        <v>0</v>
      </c>
      <c r="AP765">
        <v>0</v>
      </c>
      <c r="AQ765">
        <v>0</v>
      </c>
      <c r="AR765">
        <v>0</v>
      </c>
      <c r="AS765">
        <v>0</v>
      </c>
      <c r="AT765">
        <v>0</v>
      </c>
      <c r="AU765">
        <v>0</v>
      </c>
      <c r="AV765">
        <v>0</v>
      </c>
      <c r="AW765">
        <v>0</v>
      </c>
      <c r="AX765" s="24" t="str">
        <f t="shared" si="79"/>
        <v/>
      </c>
      <c r="AY765" s="24">
        <f t="shared" si="79"/>
        <v>1</v>
      </c>
      <c r="AZ765" s="24" t="str">
        <f t="shared" si="80"/>
        <v/>
      </c>
      <c r="BA765" s="24" t="str">
        <f t="shared" si="80"/>
        <v/>
      </c>
      <c r="BB765" s="24" t="str">
        <f t="shared" si="80"/>
        <v/>
      </c>
      <c r="BC765" s="24">
        <f t="shared" si="80"/>
        <v>1</v>
      </c>
      <c r="BD765" s="24" t="str">
        <f t="shared" si="80"/>
        <v/>
      </c>
      <c r="BE765" s="24" t="str">
        <f t="shared" si="80"/>
        <v/>
      </c>
      <c r="BF765" s="24" t="str">
        <f t="shared" si="80"/>
        <v/>
      </c>
      <c r="BG765" s="24" t="str">
        <f t="shared" si="80"/>
        <v/>
      </c>
      <c r="BH765" s="24" t="str">
        <f t="shared" si="76"/>
        <v/>
      </c>
      <c r="BI765" s="24" t="str">
        <f t="shared" si="80"/>
        <v/>
      </c>
      <c r="BJ765" s="24" t="str">
        <f t="shared" si="77"/>
        <v/>
      </c>
    </row>
    <row r="766" spans="1:62" ht="15" customHeight="1" x14ac:dyDescent="0.25">
      <c r="A766" t="str">
        <f>"1376648337"</f>
        <v>1376648337</v>
      </c>
      <c r="B766" t="str">
        <f>"01093329"</f>
        <v>01093329</v>
      </c>
      <c r="C766" t="s">
        <v>6825</v>
      </c>
      <c r="D766" t="s">
        <v>7109</v>
      </c>
      <c r="E766" t="s">
        <v>6967</v>
      </c>
      <c r="G766" t="s">
        <v>815</v>
      </c>
      <c r="H766" t="s">
        <v>816</v>
      </c>
      <c r="J766" t="s">
        <v>817</v>
      </c>
      <c r="L766" t="s">
        <v>138</v>
      </c>
      <c r="M766" t="s">
        <v>108</v>
      </c>
      <c r="R766" t="s">
        <v>6825</v>
      </c>
      <c r="W766" t="s">
        <v>6967</v>
      </c>
      <c r="X766" t="s">
        <v>6966</v>
      </c>
      <c r="Y766" t="s">
        <v>110</v>
      </c>
      <c r="Z766" t="s">
        <v>111</v>
      </c>
      <c r="AA766" t="str">
        <f>"13905-4178"</f>
        <v>13905-4178</v>
      </c>
      <c r="AB766" t="s">
        <v>123</v>
      </c>
      <c r="AC766" t="s">
        <v>113</v>
      </c>
      <c r="AD766" t="s">
        <v>108</v>
      </c>
      <c r="AE766" t="s">
        <v>114</v>
      </c>
      <c r="AF766" t="s">
        <v>115</v>
      </c>
      <c r="AG766" t="s">
        <v>116</v>
      </c>
      <c r="AK766" t="str">
        <f t="shared" si="75"/>
        <v>KONDRUP JAMES DR.</v>
      </c>
      <c r="AL766" t="s">
        <v>7109</v>
      </c>
      <c r="AM766" t="s">
        <v>108</v>
      </c>
      <c r="AN766" t="s">
        <v>108</v>
      </c>
      <c r="AO766" t="s">
        <v>108</v>
      </c>
      <c r="AP766" t="s">
        <v>108</v>
      </c>
      <c r="AQ766" t="s">
        <v>108</v>
      </c>
      <c r="AR766" t="s">
        <v>108</v>
      </c>
      <c r="AS766" t="s">
        <v>108</v>
      </c>
      <c r="AT766" t="s">
        <v>108</v>
      </c>
      <c r="AU766">
        <v>0</v>
      </c>
      <c r="AV766" t="s">
        <v>108</v>
      </c>
      <c r="AW766" t="s">
        <v>108</v>
      </c>
      <c r="AX766" s="24" t="str">
        <f t="shared" si="79"/>
        <v/>
      </c>
      <c r="AY766" s="24">
        <f t="shared" si="79"/>
        <v>1</v>
      </c>
      <c r="AZ766" s="24" t="str">
        <f t="shared" si="80"/>
        <v/>
      </c>
      <c r="BA766" s="24" t="str">
        <f t="shared" si="80"/>
        <v/>
      </c>
      <c r="BB766" s="24" t="str">
        <f t="shared" si="80"/>
        <v/>
      </c>
      <c r="BC766" s="24" t="str">
        <f t="shared" si="80"/>
        <v/>
      </c>
      <c r="BD766" s="24" t="str">
        <f t="shared" si="80"/>
        <v/>
      </c>
      <c r="BE766" s="24" t="str">
        <f t="shared" si="80"/>
        <v/>
      </c>
      <c r="BF766" s="24" t="str">
        <f t="shared" si="80"/>
        <v/>
      </c>
      <c r="BG766" s="24" t="str">
        <f t="shared" si="80"/>
        <v/>
      </c>
      <c r="BH766" s="24" t="str">
        <f t="shared" si="76"/>
        <v/>
      </c>
      <c r="BI766" s="24">
        <f t="shared" si="80"/>
        <v>1</v>
      </c>
      <c r="BJ766" s="24" t="str">
        <f t="shared" si="77"/>
        <v/>
      </c>
    </row>
    <row r="767" spans="1:62" ht="15" customHeight="1" x14ac:dyDescent="0.25">
      <c r="A767" t="str">
        <f>"1235336199"</f>
        <v>1235336199</v>
      </c>
      <c r="B767" t="str">
        <f>"04148909"</f>
        <v>04148909</v>
      </c>
      <c r="C767" t="s">
        <v>6844</v>
      </c>
      <c r="D767" t="s">
        <v>7138</v>
      </c>
      <c r="E767" t="s">
        <v>6844</v>
      </c>
      <c r="G767" t="s">
        <v>1352</v>
      </c>
      <c r="H767" t="s">
        <v>1301</v>
      </c>
      <c r="J767" t="s">
        <v>1354</v>
      </c>
      <c r="L767" t="s">
        <v>809</v>
      </c>
      <c r="M767" t="s">
        <v>108</v>
      </c>
      <c r="R767" t="s">
        <v>6990</v>
      </c>
      <c r="W767" t="s">
        <v>6844</v>
      </c>
      <c r="X767" t="s">
        <v>3766</v>
      </c>
      <c r="Y767" t="s">
        <v>239</v>
      </c>
      <c r="Z767" t="s">
        <v>111</v>
      </c>
      <c r="AA767" t="str">
        <f>"13045-1226"</f>
        <v>13045-1226</v>
      </c>
      <c r="AB767" t="s">
        <v>123</v>
      </c>
      <c r="AC767" t="s">
        <v>113</v>
      </c>
      <c r="AD767" t="s">
        <v>108</v>
      </c>
      <c r="AE767" t="s">
        <v>114</v>
      </c>
      <c r="AF767" t="s">
        <v>142</v>
      </c>
      <c r="AG767" t="s">
        <v>116</v>
      </c>
      <c r="AK767" t="str">
        <f t="shared" si="75"/>
        <v>KOWALSKI TADEUS EDWARD</v>
      </c>
      <c r="AL767" t="s">
        <v>7138</v>
      </c>
      <c r="AM767" t="s">
        <v>108</v>
      </c>
      <c r="AN767" t="s">
        <v>108</v>
      </c>
      <c r="AO767" t="s">
        <v>108</v>
      </c>
      <c r="AP767" t="s">
        <v>108</v>
      </c>
      <c r="AQ767" t="s">
        <v>108</v>
      </c>
      <c r="AR767" t="s">
        <v>108</v>
      </c>
      <c r="AS767" t="s">
        <v>108</v>
      </c>
      <c r="AT767" t="s">
        <v>108</v>
      </c>
      <c r="AU767">
        <v>0</v>
      </c>
      <c r="AV767" t="s">
        <v>108</v>
      </c>
      <c r="AW767" t="s">
        <v>108</v>
      </c>
      <c r="AX767" s="24" t="str">
        <f t="shared" si="79"/>
        <v/>
      </c>
      <c r="AY767" s="24">
        <f t="shared" si="79"/>
        <v>1</v>
      </c>
      <c r="AZ767" s="24" t="str">
        <f t="shared" si="80"/>
        <v/>
      </c>
      <c r="BA767" s="24" t="str">
        <f t="shared" si="80"/>
        <v/>
      </c>
      <c r="BB767" s="24" t="str">
        <f t="shared" si="80"/>
        <v/>
      </c>
      <c r="BC767" s="24">
        <f t="shared" si="80"/>
        <v>1</v>
      </c>
      <c r="BD767" s="24" t="str">
        <f t="shared" si="80"/>
        <v/>
      </c>
      <c r="BE767" s="24" t="str">
        <f t="shared" si="80"/>
        <v/>
      </c>
      <c r="BF767" s="24" t="str">
        <f t="shared" si="80"/>
        <v/>
      </c>
      <c r="BG767" s="24" t="str">
        <f t="shared" si="80"/>
        <v/>
      </c>
      <c r="BH767" s="24" t="str">
        <f t="shared" si="76"/>
        <v/>
      </c>
      <c r="BI767" s="24" t="str">
        <f t="shared" si="80"/>
        <v/>
      </c>
      <c r="BJ767" s="24" t="str">
        <f t="shared" si="77"/>
        <v/>
      </c>
    </row>
    <row r="768" spans="1:62" ht="15" customHeight="1" x14ac:dyDescent="0.25">
      <c r="A768" t="str">
        <f>"1144391889"</f>
        <v>1144391889</v>
      </c>
      <c r="B768" t="str">
        <f>"01560609"</f>
        <v>01560609</v>
      </c>
      <c r="C768" t="s">
        <v>5992</v>
      </c>
      <c r="D768" t="s">
        <v>5993</v>
      </c>
      <c r="E768" t="s">
        <v>5994</v>
      </c>
      <c r="G768" t="s">
        <v>815</v>
      </c>
      <c r="H768" t="s">
        <v>816</v>
      </c>
      <c r="J768" t="s">
        <v>817</v>
      </c>
      <c r="L768" t="s">
        <v>120</v>
      </c>
      <c r="M768" t="s">
        <v>108</v>
      </c>
      <c r="R768" t="s">
        <v>5995</v>
      </c>
      <c r="W768" t="s">
        <v>5994</v>
      </c>
      <c r="X768" t="s">
        <v>5996</v>
      </c>
      <c r="Y768" t="s">
        <v>281</v>
      </c>
      <c r="Z768" t="s">
        <v>111</v>
      </c>
      <c r="AA768" t="str">
        <f>"13827-1603"</f>
        <v>13827-1603</v>
      </c>
      <c r="AB768" t="s">
        <v>123</v>
      </c>
      <c r="AC768" t="s">
        <v>113</v>
      </c>
      <c r="AD768" t="s">
        <v>108</v>
      </c>
      <c r="AE768" t="s">
        <v>114</v>
      </c>
      <c r="AF768" t="s">
        <v>115</v>
      </c>
      <c r="AG768" t="s">
        <v>116</v>
      </c>
      <c r="AK768" t="str">
        <f t="shared" si="75"/>
        <v>Kristen E. Robillard, MD</v>
      </c>
      <c r="AL768" t="s">
        <v>5993</v>
      </c>
      <c r="AM768" t="s">
        <v>108</v>
      </c>
      <c r="AN768" t="s">
        <v>108</v>
      </c>
      <c r="AO768" t="s">
        <v>108</v>
      </c>
      <c r="AP768" t="s">
        <v>108</v>
      </c>
      <c r="AQ768" t="s">
        <v>108</v>
      </c>
      <c r="AR768" t="s">
        <v>108</v>
      </c>
      <c r="AS768" t="s">
        <v>108</v>
      </c>
      <c r="AT768" t="s">
        <v>108</v>
      </c>
      <c r="AU768">
        <v>0</v>
      </c>
      <c r="AV768" t="s">
        <v>108</v>
      </c>
      <c r="AW768" t="s">
        <v>108</v>
      </c>
      <c r="AX768" s="24">
        <f t="shared" si="79"/>
        <v>1</v>
      </c>
      <c r="AY768" s="24" t="str">
        <f t="shared" si="79"/>
        <v/>
      </c>
      <c r="AZ768" s="24" t="str">
        <f t="shared" si="80"/>
        <v/>
      </c>
      <c r="BA768" s="24" t="str">
        <f t="shared" si="80"/>
        <v/>
      </c>
      <c r="BB768" s="24" t="str">
        <f t="shared" si="80"/>
        <v/>
      </c>
      <c r="BC768" s="24" t="str">
        <f t="shared" si="80"/>
        <v/>
      </c>
      <c r="BD768" s="24" t="str">
        <f t="shared" si="80"/>
        <v/>
      </c>
      <c r="BE768" s="24" t="str">
        <f t="shared" si="80"/>
        <v/>
      </c>
      <c r="BF768" s="24" t="str">
        <f t="shared" si="80"/>
        <v/>
      </c>
      <c r="BG768" s="24" t="str">
        <f t="shared" si="80"/>
        <v/>
      </c>
      <c r="BH768" s="24" t="str">
        <f t="shared" si="76"/>
        <v/>
      </c>
      <c r="BI768" s="24">
        <f t="shared" si="80"/>
        <v>1</v>
      </c>
      <c r="BJ768" s="24" t="str">
        <f t="shared" si="77"/>
        <v/>
      </c>
    </row>
    <row r="769" spans="1:62" ht="15" customHeight="1" x14ac:dyDescent="0.25">
      <c r="A769" t="str">
        <f>"1578621926"</f>
        <v>1578621926</v>
      </c>
      <c r="B769" t="str">
        <f>"02913808"</f>
        <v>02913808</v>
      </c>
      <c r="C769" t="s">
        <v>6146</v>
      </c>
      <c r="D769" t="s">
        <v>6147</v>
      </c>
      <c r="E769" t="s">
        <v>6148</v>
      </c>
      <c r="G769" t="s">
        <v>815</v>
      </c>
      <c r="H769" t="s">
        <v>816</v>
      </c>
      <c r="J769" t="s">
        <v>817</v>
      </c>
      <c r="L769" t="s">
        <v>138</v>
      </c>
      <c r="M769" t="s">
        <v>108</v>
      </c>
      <c r="R769" t="s">
        <v>6149</v>
      </c>
      <c r="W769" t="s">
        <v>6150</v>
      </c>
      <c r="X769" t="s">
        <v>204</v>
      </c>
      <c r="Y769" t="s">
        <v>110</v>
      </c>
      <c r="Z769" t="s">
        <v>111</v>
      </c>
      <c r="AA769" t="str">
        <f>"13905-4246"</f>
        <v>13905-4246</v>
      </c>
      <c r="AB769" t="s">
        <v>123</v>
      </c>
      <c r="AC769" t="s">
        <v>113</v>
      </c>
      <c r="AD769" t="s">
        <v>108</v>
      </c>
      <c r="AE769" t="s">
        <v>114</v>
      </c>
      <c r="AF769" t="s">
        <v>115</v>
      </c>
      <c r="AG769" t="s">
        <v>116</v>
      </c>
      <c r="AK769" t="str">
        <f t="shared" si="75"/>
        <v>Kristin J. Isenberg, RPA-C</v>
      </c>
      <c r="AL769" t="s">
        <v>6147</v>
      </c>
      <c r="AM769" t="s">
        <v>108</v>
      </c>
      <c r="AN769" t="s">
        <v>108</v>
      </c>
      <c r="AO769" t="s">
        <v>108</v>
      </c>
      <c r="AP769" t="s">
        <v>108</v>
      </c>
      <c r="AQ769" t="s">
        <v>108</v>
      </c>
      <c r="AR769" t="s">
        <v>108</v>
      </c>
      <c r="AS769" t="s">
        <v>108</v>
      </c>
      <c r="AT769" t="s">
        <v>108</v>
      </c>
      <c r="AU769">
        <v>0</v>
      </c>
      <c r="AV769" t="s">
        <v>108</v>
      </c>
      <c r="AW769" t="s">
        <v>108</v>
      </c>
      <c r="AX769" s="24" t="str">
        <f t="shared" si="79"/>
        <v/>
      </c>
      <c r="AY769" s="24">
        <f t="shared" si="79"/>
        <v>1</v>
      </c>
      <c r="AZ769" s="24" t="str">
        <f t="shared" si="80"/>
        <v/>
      </c>
      <c r="BA769" s="24" t="str">
        <f t="shared" si="80"/>
        <v/>
      </c>
      <c r="BB769" s="24" t="str">
        <f t="shared" si="80"/>
        <v/>
      </c>
      <c r="BC769" s="24" t="str">
        <f t="shared" si="80"/>
        <v/>
      </c>
      <c r="BD769" s="24" t="str">
        <f t="shared" si="80"/>
        <v/>
      </c>
      <c r="BE769" s="24" t="str">
        <f t="shared" si="80"/>
        <v/>
      </c>
      <c r="BF769" s="24" t="str">
        <f t="shared" si="80"/>
        <v/>
      </c>
      <c r="BG769" s="24" t="str">
        <f t="shared" si="80"/>
        <v/>
      </c>
      <c r="BH769" s="24" t="str">
        <f t="shared" si="76"/>
        <v/>
      </c>
      <c r="BI769" s="24">
        <f t="shared" si="80"/>
        <v>1</v>
      </c>
      <c r="BJ769" s="24" t="str">
        <f t="shared" si="77"/>
        <v/>
      </c>
    </row>
    <row r="770" spans="1:62" ht="15" customHeight="1" x14ac:dyDescent="0.25">
      <c r="A770" t="str">
        <f>"1356367098"</f>
        <v>1356367098</v>
      </c>
      <c r="B770" t="str">
        <f>"03059845"</f>
        <v>03059845</v>
      </c>
      <c r="C770" t="s">
        <v>3784</v>
      </c>
      <c r="D770" t="s">
        <v>3785</v>
      </c>
      <c r="E770" t="s">
        <v>3786</v>
      </c>
      <c r="G770" t="s">
        <v>2412</v>
      </c>
      <c r="H770" t="s">
        <v>2413</v>
      </c>
      <c r="I770">
        <v>2359</v>
      </c>
      <c r="J770" t="s">
        <v>3787</v>
      </c>
      <c r="L770" t="s">
        <v>120</v>
      </c>
      <c r="M770" t="s">
        <v>139</v>
      </c>
      <c r="R770" t="s">
        <v>3788</v>
      </c>
      <c r="W770" t="s">
        <v>3789</v>
      </c>
      <c r="X770" t="s">
        <v>3783</v>
      </c>
      <c r="Y770" t="s">
        <v>1655</v>
      </c>
      <c r="Z770" t="s">
        <v>111</v>
      </c>
      <c r="AA770" t="str">
        <f>"14865-9648"</f>
        <v>14865-9648</v>
      </c>
      <c r="AB770" t="s">
        <v>123</v>
      </c>
      <c r="AC770" t="s">
        <v>113</v>
      </c>
      <c r="AD770" t="s">
        <v>108</v>
      </c>
      <c r="AE770" t="s">
        <v>114</v>
      </c>
      <c r="AF770" t="s">
        <v>142</v>
      </c>
      <c r="AG770" t="s">
        <v>116</v>
      </c>
      <c r="AK770" t="str">
        <f t="shared" ref="AK770:AK833" si="81">IF(AM770="No",C770,"")</f>
        <v/>
      </c>
      <c r="AL770" t="s">
        <v>3785</v>
      </c>
      <c r="AM770">
        <v>1</v>
      </c>
      <c r="AN770">
        <v>1</v>
      </c>
      <c r="AO770">
        <v>0</v>
      </c>
      <c r="AP770">
        <v>0</v>
      </c>
      <c r="AQ770">
        <v>0</v>
      </c>
      <c r="AR770">
        <v>0</v>
      </c>
      <c r="AS770">
        <v>0</v>
      </c>
      <c r="AT770">
        <v>0</v>
      </c>
      <c r="AU770">
        <v>0</v>
      </c>
      <c r="AV770">
        <v>0</v>
      </c>
      <c r="AW770">
        <v>0</v>
      </c>
      <c r="AX770" s="24">
        <f t="shared" si="79"/>
        <v>1</v>
      </c>
      <c r="AY770" s="24" t="str">
        <f t="shared" si="79"/>
        <v/>
      </c>
      <c r="AZ770" s="24" t="str">
        <f t="shared" si="80"/>
        <v/>
      </c>
      <c r="BA770" s="24" t="str">
        <f t="shared" si="80"/>
        <v/>
      </c>
      <c r="BB770" s="24" t="str">
        <f t="shared" si="80"/>
        <v/>
      </c>
      <c r="BC770" s="24" t="str">
        <f t="shared" si="80"/>
        <v/>
      </c>
      <c r="BD770" s="24" t="str">
        <f t="shared" si="80"/>
        <v/>
      </c>
      <c r="BE770" s="24" t="str">
        <f t="shared" si="80"/>
        <v/>
      </c>
      <c r="BF770" s="24" t="str">
        <f t="shared" si="80"/>
        <v/>
      </c>
      <c r="BG770" s="24" t="str">
        <f t="shared" si="80"/>
        <v/>
      </c>
      <c r="BH770" s="24" t="str">
        <f t="shared" si="76"/>
        <v/>
      </c>
      <c r="BI770" s="24">
        <f t="shared" si="80"/>
        <v>1</v>
      </c>
      <c r="BJ770" s="24" t="str">
        <f t="shared" si="77"/>
        <v/>
      </c>
    </row>
    <row r="771" spans="1:62" ht="15" customHeight="1" x14ac:dyDescent="0.25">
      <c r="A771" t="str">
        <f>"1720235393"</f>
        <v>1720235393</v>
      </c>
      <c r="B771" t="str">
        <f>"03052742"</f>
        <v>03052742</v>
      </c>
      <c r="C771" t="s">
        <v>2645</v>
      </c>
      <c r="D771" t="s">
        <v>2646</v>
      </c>
      <c r="E771" t="s">
        <v>2645</v>
      </c>
      <c r="L771" t="s">
        <v>133</v>
      </c>
      <c r="M771" t="s">
        <v>108</v>
      </c>
      <c r="R771" t="s">
        <v>2645</v>
      </c>
      <c r="W771" t="s">
        <v>2645</v>
      </c>
      <c r="X771" t="s">
        <v>810</v>
      </c>
      <c r="Y771" t="s">
        <v>110</v>
      </c>
      <c r="Z771" t="s">
        <v>111</v>
      </c>
      <c r="AA771" t="str">
        <f>"13905-2522"</f>
        <v>13905-2522</v>
      </c>
      <c r="AB771" t="s">
        <v>811</v>
      </c>
      <c r="AC771" t="s">
        <v>113</v>
      </c>
      <c r="AD771" t="s">
        <v>108</v>
      </c>
      <c r="AE771" t="s">
        <v>114</v>
      </c>
      <c r="AF771" t="s">
        <v>115</v>
      </c>
      <c r="AG771" t="s">
        <v>116</v>
      </c>
      <c r="AK771" t="str">
        <f t="shared" si="81"/>
        <v>KRIZAN BRUCE</v>
      </c>
      <c r="AL771" t="s">
        <v>2646</v>
      </c>
      <c r="AM771" t="s">
        <v>108</v>
      </c>
      <c r="AN771" t="s">
        <v>108</v>
      </c>
      <c r="AO771" t="s">
        <v>108</v>
      </c>
      <c r="AP771" t="s">
        <v>108</v>
      </c>
      <c r="AQ771" t="s">
        <v>108</v>
      </c>
      <c r="AR771" t="s">
        <v>108</v>
      </c>
      <c r="AS771" t="s">
        <v>108</v>
      </c>
      <c r="AT771" t="s">
        <v>108</v>
      </c>
      <c r="AU771">
        <v>0</v>
      </c>
      <c r="AV771" t="s">
        <v>108</v>
      </c>
      <c r="AW771" t="s">
        <v>108</v>
      </c>
      <c r="AX771" s="24" t="str">
        <f t="shared" si="79"/>
        <v/>
      </c>
      <c r="AY771" s="24" t="str">
        <f t="shared" si="79"/>
        <v/>
      </c>
      <c r="AZ771" s="24" t="str">
        <f t="shared" si="80"/>
        <v/>
      </c>
      <c r="BA771" s="24" t="str">
        <f t="shared" si="80"/>
        <v/>
      </c>
      <c r="BB771" s="24" t="str">
        <f t="shared" si="80"/>
        <v/>
      </c>
      <c r="BC771" s="24" t="str">
        <f t="shared" si="80"/>
        <v/>
      </c>
      <c r="BD771" s="24" t="str">
        <f t="shared" si="80"/>
        <v/>
      </c>
      <c r="BE771" s="24" t="str">
        <f t="shared" si="80"/>
        <v/>
      </c>
      <c r="BF771" s="24" t="str">
        <f t="shared" si="80"/>
        <v/>
      </c>
      <c r="BG771" s="24" t="str">
        <f t="shared" si="80"/>
        <v/>
      </c>
      <c r="BH771" s="24" t="str">
        <f t="shared" ref="BH771:BH834" si="82">IF(ISERROR(FIND("CBO",$L771,1)),"",1)</f>
        <v/>
      </c>
      <c r="BI771" s="24" t="str">
        <f t="shared" si="80"/>
        <v/>
      </c>
      <c r="BJ771" s="24">
        <f t="shared" si="77"/>
        <v>1</v>
      </c>
    </row>
    <row r="772" spans="1:62" ht="15" customHeight="1" x14ac:dyDescent="0.25">
      <c r="A772" t="str">
        <f>"1467421305"</f>
        <v>1467421305</v>
      </c>
      <c r="B772" t="str">
        <f>"02223403"</f>
        <v>02223403</v>
      </c>
      <c r="C772" t="s">
        <v>5008</v>
      </c>
      <c r="D772" t="s">
        <v>5009</v>
      </c>
      <c r="E772" t="s">
        <v>5008</v>
      </c>
      <c r="G772" t="s">
        <v>699</v>
      </c>
      <c r="H772" t="s">
        <v>700</v>
      </c>
      <c r="J772" t="s">
        <v>701</v>
      </c>
      <c r="L772" t="s">
        <v>120</v>
      </c>
      <c r="M772" t="s">
        <v>108</v>
      </c>
      <c r="R772" t="s">
        <v>5010</v>
      </c>
      <c r="W772" t="s">
        <v>5008</v>
      </c>
      <c r="X772" t="s">
        <v>543</v>
      </c>
      <c r="Y772" t="s">
        <v>293</v>
      </c>
      <c r="Z772" t="s">
        <v>111</v>
      </c>
      <c r="AA772" t="str">
        <f>"14850-9105"</f>
        <v>14850-9105</v>
      </c>
      <c r="AB772" t="s">
        <v>123</v>
      </c>
      <c r="AC772" t="s">
        <v>113</v>
      </c>
      <c r="AD772" t="s">
        <v>108</v>
      </c>
      <c r="AE772" t="s">
        <v>114</v>
      </c>
      <c r="AF772" t="s">
        <v>142</v>
      </c>
      <c r="AG772" t="s">
        <v>116</v>
      </c>
      <c r="AK772" t="str">
        <f t="shared" si="81"/>
        <v/>
      </c>
      <c r="AL772" t="s">
        <v>5009</v>
      </c>
      <c r="AM772">
        <v>1</v>
      </c>
      <c r="AN772">
        <v>1</v>
      </c>
      <c r="AO772">
        <v>0</v>
      </c>
      <c r="AP772">
        <v>0</v>
      </c>
      <c r="AQ772">
        <v>0</v>
      </c>
      <c r="AR772">
        <v>0</v>
      </c>
      <c r="AS772">
        <v>0</v>
      </c>
      <c r="AT772">
        <v>1</v>
      </c>
      <c r="AU772">
        <v>1</v>
      </c>
      <c r="AV772">
        <v>1</v>
      </c>
      <c r="AW772">
        <v>0</v>
      </c>
      <c r="AX772" s="24">
        <f t="shared" si="79"/>
        <v>1</v>
      </c>
      <c r="AY772" s="24" t="str">
        <f t="shared" si="79"/>
        <v/>
      </c>
      <c r="AZ772" s="24" t="str">
        <f t="shared" si="80"/>
        <v/>
      </c>
      <c r="BA772" s="24" t="str">
        <f t="shared" si="80"/>
        <v/>
      </c>
      <c r="BB772" s="24" t="str">
        <f t="shared" si="80"/>
        <v/>
      </c>
      <c r="BC772" s="24" t="str">
        <f t="shared" si="80"/>
        <v/>
      </c>
      <c r="BD772" s="24" t="str">
        <f t="shared" si="80"/>
        <v/>
      </c>
      <c r="BE772" s="24" t="str">
        <f t="shared" si="80"/>
        <v/>
      </c>
      <c r="BF772" s="24" t="str">
        <f t="shared" si="80"/>
        <v/>
      </c>
      <c r="BG772" s="24" t="str">
        <f t="shared" si="80"/>
        <v/>
      </c>
      <c r="BH772" s="24" t="str">
        <f t="shared" si="82"/>
        <v/>
      </c>
      <c r="BI772" s="24">
        <f t="shared" si="80"/>
        <v>1</v>
      </c>
      <c r="BJ772" s="24" t="str">
        <f t="shared" si="77"/>
        <v/>
      </c>
    </row>
    <row r="773" spans="1:62" ht="15" customHeight="1" x14ac:dyDescent="0.25">
      <c r="A773" t="str">
        <f>"1750642088"</f>
        <v>1750642088</v>
      </c>
      <c r="B773" t="str">
        <f>"03749653"</f>
        <v>03749653</v>
      </c>
      <c r="C773" t="s">
        <v>1321</v>
      </c>
      <c r="D773" t="s">
        <v>1322</v>
      </c>
      <c r="E773" t="s">
        <v>1323</v>
      </c>
      <c r="G773" t="s">
        <v>1300</v>
      </c>
      <c r="H773" t="s">
        <v>1301</v>
      </c>
      <c r="L773" t="s">
        <v>138</v>
      </c>
      <c r="M773" t="s">
        <v>108</v>
      </c>
      <c r="R773" t="s">
        <v>1324</v>
      </c>
      <c r="W773" t="s">
        <v>1325</v>
      </c>
      <c r="X773" t="s">
        <v>238</v>
      </c>
      <c r="Y773" t="s">
        <v>239</v>
      </c>
      <c r="Z773" t="s">
        <v>111</v>
      </c>
      <c r="AA773" t="str">
        <f>"13045-1206"</f>
        <v>13045-1206</v>
      </c>
      <c r="AB773" t="s">
        <v>123</v>
      </c>
      <c r="AC773" t="s">
        <v>113</v>
      </c>
      <c r="AD773" t="s">
        <v>108</v>
      </c>
      <c r="AE773" t="s">
        <v>114</v>
      </c>
      <c r="AF773" t="s">
        <v>142</v>
      </c>
      <c r="AG773" t="s">
        <v>116</v>
      </c>
      <c r="AK773" t="str">
        <f t="shared" si="81"/>
        <v/>
      </c>
      <c r="AL773" t="s">
        <v>1322</v>
      </c>
      <c r="AM773">
        <v>0</v>
      </c>
      <c r="AN773">
        <v>0</v>
      </c>
      <c r="AO773">
        <v>0</v>
      </c>
      <c r="AP773">
        <v>0</v>
      </c>
      <c r="AQ773">
        <v>0</v>
      </c>
      <c r="AR773">
        <v>0</v>
      </c>
      <c r="AS773">
        <v>0</v>
      </c>
      <c r="AT773">
        <v>0</v>
      </c>
      <c r="AU773">
        <v>0</v>
      </c>
      <c r="AV773">
        <v>0</v>
      </c>
      <c r="AW773">
        <v>0</v>
      </c>
      <c r="AX773" s="24" t="str">
        <f t="shared" si="79"/>
        <v/>
      </c>
      <c r="AY773" s="24">
        <f t="shared" si="79"/>
        <v>1</v>
      </c>
      <c r="AZ773" s="24" t="str">
        <f t="shared" si="80"/>
        <v/>
      </c>
      <c r="BA773" s="24" t="str">
        <f t="shared" si="80"/>
        <v/>
      </c>
      <c r="BB773" s="24" t="str">
        <f t="shared" si="80"/>
        <v/>
      </c>
      <c r="BC773" s="24" t="str">
        <f t="shared" si="80"/>
        <v/>
      </c>
      <c r="BD773" s="24" t="str">
        <f t="shared" si="80"/>
        <v/>
      </c>
      <c r="BE773" s="24" t="str">
        <f t="shared" si="80"/>
        <v/>
      </c>
      <c r="BF773" s="24" t="str">
        <f t="shared" si="80"/>
        <v/>
      </c>
      <c r="BG773" s="24" t="str">
        <f t="shared" si="80"/>
        <v/>
      </c>
      <c r="BH773" s="24" t="str">
        <f t="shared" si="82"/>
        <v/>
      </c>
      <c r="BI773" s="24">
        <f t="shared" si="80"/>
        <v>1</v>
      </c>
      <c r="BJ773" s="24" t="str">
        <f t="shared" si="77"/>
        <v/>
      </c>
    </row>
    <row r="774" spans="1:62" ht="15" customHeight="1" x14ac:dyDescent="0.25">
      <c r="A774" t="str">
        <f>"1942277256"</f>
        <v>1942277256</v>
      </c>
      <c r="B774" t="str">
        <f>"01816893"</f>
        <v>01816893</v>
      </c>
      <c r="C774" t="s">
        <v>4986</v>
      </c>
      <c r="D774" t="s">
        <v>4987</v>
      </c>
      <c r="E774" t="s">
        <v>4988</v>
      </c>
      <c r="G774" t="s">
        <v>229</v>
      </c>
      <c r="H774" t="s">
        <v>230</v>
      </c>
      <c r="J774" t="s">
        <v>231</v>
      </c>
      <c r="L774" t="s">
        <v>138</v>
      </c>
      <c r="M774" t="s">
        <v>139</v>
      </c>
      <c r="R774" t="s">
        <v>4989</v>
      </c>
      <c r="W774" t="s">
        <v>4988</v>
      </c>
      <c r="X774" t="s">
        <v>2026</v>
      </c>
      <c r="Y774" t="s">
        <v>141</v>
      </c>
      <c r="Z774" t="s">
        <v>111</v>
      </c>
      <c r="AA774" t="str">
        <f>"13210-1687"</f>
        <v>13210-1687</v>
      </c>
      <c r="AB774" t="s">
        <v>123</v>
      </c>
      <c r="AC774" t="s">
        <v>113</v>
      </c>
      <c r="AD774" t="s">
        <v>108</v>
      </c>
      <c r="AE774" t="s">
        <v>114</v>
      </c>
      <c r="AF774" t="s">
        <v>142</v>
      </c>
      <c r="AG774" t="s">
        <v>116</v>
      </c>
      <c r="AK774" t="str">
        <f t="shared" si="81"/>
        <v/>
      </c>
      <c r="AL774" t="s">
        <v>4987</v>
      </c>
      <c r="AM774">
        <v>0</v>
      </c>
      <c r="AN774">
        <v>0</v>
      </c>
      <c r="AO774">
        <v>0</v>
      </c>
      <c r="AP774">
        <v>0</v>
      </c>
      <c r="AQ774">
        <v>0</v>
      </c>
      <c r="AR774">
        <v>0</v>
      </c>
      <c r="AS774">
        <v>0</v>
      </c>
      <c r="AT774">
        <v>0</v>
      </c>
      <c r="AU774">
        <v>0</v>
      </c>
      <c r="AV774">
        <v>0</v>
      </c>
      <c r="AW774">
        <v>0</v>
      </c>
      <c r="AX774" s="24" t="str">
        <f t="shared" si="79"/>
        <v/>
      </c>
      <c r="AY774" s="24">
        <f t="shared" si="79"/>
        <v>1</v>
      </c>
      <c r="AZ774" s="24" t="str">
        <f t="shared" si="80"/>
        <v/>
      </c>
      <c r="BA774" s="24" t="str">
        <f t="shared" si="80"/>
        <v/>
      </c>
      <c r="BB774" s="24" t="str">
        <f t="shared" si="80"/>
        <v/>
      </c>
      <c r="BC774" s="24" t="str">
        <f t="shared" si="80"/>
        <v/>
      </c>
      <c r="BD774" s="24" t="str">
        <f t="shared" si="80"/>
        <v/>
      </c>
      <c r="BE774" s="24" t="str">
        <f t="shared" si="80"/>
        <v/>
      </c>
      <c r="BF774" s="24" t="str">
        <f t="shared" si="80"/>
        <v/>
      </c>
      <c r="BG774" s="24" t="str">
        <f t="shared" si="80"/>
        <v/>
      </c>
      <c r="BH774" s="24" t="str">
        <f t="shared" si="82"/>
        <v/>
      </c>
      <c r="BI774" s="24">
        <f t="shared" si="80"/>
        <v>1</v>
      </c>
      <c r="BJ774" s="24" t="str">
        <f t="shared" si="77"/>
        <v/>
      </c>
    </row>
    <row r="775" spans="1:62" ht="15" customHeight="1" x14ac:dyDescent="0.25">
      <c r="A775" t="str">
        <f>"1770578940"</f>
        <v>1770578940</v>
      </c>
      <c r="B775" t="str">
        <f>"01747355"</f>
        <v>01747355</v>
      </c>
      <c r="C775" t="s">
        <v>2683</v>
      </c>
      <c r="D775" t="s">
        <v>2684</v>
      </c>
      <c r="E775" t="s">
        <v>2685</v>
      </c>
      <c r="G775" t="s">
        <v>6330</v>
      </c>
      <c r="H775" t="s">
        <v>6331</v>
      </c>
      <c r="J775" t="s">
        <v>6332</v>
      </c>
      <c r="L775" t="s">
        <v>120</v>
      </c>
      <c r="M775" t="s">
        <v>108</v>
      </c>
      <c r="R775" t="s">
        <v>2683</v>
      </c>
      <c r="W775" t="s">
        <v>2685</v>
      </c>
      <c r="X775" t="s">
        <v>2686</v>
      </c>
      <c r="Y775" t="s">
        <v>839</v>
      </c>
      <c r="Z775" t="s">
        <v>111</v>
      </c>
      <c r="AA775" t="str">
        <f>"13743"</f>
        <v>13743</v>
      </c>
      <c r="AB775" t="s">
        <v>123</v>
      </c>
      <c r="AC775" t="s">
        <v>113</v>
      </c>
      <c r="AD775" t="s">
        <v>108</v>
      </c>
      <c r="AE775" t="s">
        <v>114</v>
      </c>
      <c r="AF775" t="s">
        <v>115</v>
      </c>
      <c r="AG775" t="s">
        <v>116</v>
      </c>
      <c r="AK775" t="str">
        <f t="shared" si="81"/>
        <v/>
      </c>
      <c r="AL775" t="s">
        <v>2684</v>
      </c>
      <c r="AM775">
        <v>1</v>
      </c>
      <c r="AN775">
        <v>1</v>
      </c>
      <c r="AO775">
        <v>0</v>
      </c>
      <c r="AP775">
        <v>1</v>
      </c>
      <c r="AQ775">
        <v>1</v>
      </c>
      <c r="AR775">
        <v>0</v>
      </c>
      <c r="AS775">
        <v>0</v>
      </c>
      <c r="AT775">
        <v>0</v>
      </c>
      <c r="AU775">
        <v>1</v>
      </c>
      <c r="AV775">
        <v>0</v>
      </c>
      <c r="AW775">
        <v>0</v>
      </c>
      <c r="AX775" s="24">
        <f t="shared" si="79"/>
        <v>1</v>
      </c>
      <c r="AY775" s="24" t="str">
        <f t="shared" si="79"/>
        <v/>
      </c>
      <c r="AZ775" s="24" t="str">
        <f t="shared" si="80"/>
        <v/>
      </c>
      <c r="BA775" s="24" t="str">
        <f t="shared" si="80"/>
        <v/>
      </c>
      <c r="BB775" s="24" t="str">
        <f t="shared" si="80"/>
        <v/>
      </c>
      <c r="BC775" s="24" t="str">
        <f t="shared" si="80"/>
        <v/>
      </c>
      <c r="BD775" s="24" t="str">
        <f t="shared" si="80"/>
        <v/>
      </c>
      <c r="BE775" s="24" t="str">
        <f t="shared" si="80"/>
        <v/>
      </c>
      <c r="BF775" s="24" t="str">
        <f t="shared" si="80"/>
        <v/>
      </c>
      <c r="BG775" s="24" t="str">
        <f t="shared" si="80"/>
        <v/>
      </c>
      <c r="BH775" s="24" t="str">
        <f t="shared" si="82"/>
        <v/>
      </c>
      <c r="BI775" s="24">
        <f t="shared" si="80"/>
        <v>1</v>
      </c>
      <c r="BJ775" s="24" t="str">
        <f t="shared" si="77"/>
        <v/>
      </c>
    </row>
    <row r="776" spans="1:62" ht="15" customHeight="1" x14ac:dyDescent="0.25">
      <c r="A776" t="str">
        <f>"1841585114"</f>
        <v>1841585114</v>
      </c>
      <c r="B776" t="str">
        <f>"03003909"</f>
        <v>03003909</v>
      </c>
      <c r="C776" t="s">
        <v>2500</v>
      </c>
      <c r="D776" t="s">
        <v>2501</v>
      </c>
      <c r="E776" t="s">
        <v>2500</v>
      </c>
      <c r="G776" t="s">
        <v>2502</v>
      </c>
      <c r="H776" t="s">
        <v>2503</v>
      </c>
      <c r="J776" t="s">
        <v>2504</v>
      </c>
      <c r="L776" t="s">
        <v>1115</v>
      </c>
      <c r="M776" t="s">
        <v>139</v>
      </c>
      <c r="R776" t="s">
        <v>2500</v>
      </c>
      <c r="W776" t="s">
        <v>2500</v>
      </c>
      <c r="X776" t="s">
        <v>2505</v>
      </c>
      <c r="Y776" t="s">
        <v>2506</v>
      </c>
      <c r="Z776" t="s">
        <v>111</v>
      </c>
      <c r="AA776" t="str">
        <f>"13057-1253"</f>
        <v>13057-1253</v>
      </c>
      <c r="AB776" t="s">
        <v>165</v>
      </c>
      <c r="AC776" t="s">
        <v>113</v>
      </c>
      <c r="AD776" t="s">
        <v>108</v>
      </c>
      <c r="AE776" t="s">
        <v>114</v>
      </c>
      <c r="AF776" t="s">
        <v>142</v>
      </c>
      <c r="AG776" t="s">
        <v>116</v>
      </c>
      <c r="AK776" t="str">
        <f t="shared" si="81"/>
        <v/>
      </c>
      <c r="AL776" t="s">
        <v>2501</v>
      </c>
      <c r="AM776">
        <v>0</v>
      </c>
      <c r="AN776">
        <v>0</v>
      </c>
      <c r="AO776">
        <v>0</v>
      </c>
      <c r="AP776">
        <v>0</v>
      </c>
      <c r="AQ776">
        <v>0</v>
      </c>
      <c r="AR776">
        <v>0</v>
      </c>
      <c r="AS776">
        <v>0</v>
      </c>
      <c r="AT776">
        <v>0</v>
      </c>
      <c r="AU776">
        <v>0</v>
      </c>
      <c r="AV776">
        <v>0</v>
      </c>
      <c r="AW776">
        <v>0</v>
      </c>
      <c r="AX776" s="24" t="str">
        <f t="shared" si="79"/>
        <v/>
      </c>
      <c r="AY776" s="24" t="str">
        <f t="shared" si="79"/>
        <v/>
      </c>
      <c r="AZ776" s="24" t="str">
        <f t="shared" si="80"/>
        <v/>
      </c>
      <c r="BA776" s="24" t="str">
        <f t="shared" si="80"/>
        <v/>
      </c>
      <c r="BB776" s="24" t="str">
        <f t="shared" si="80"/>
        <v/>
      </c>
      <c r="BC776" s="24" t="str">
        <f t="shared" si="80"/>
        <v/>
      </c>
      <c r="BD776" s="24" t="str">
        <f t="shared" si="80"/>
        <v/>
      </c>
      <c r="BE776" s="24" t="str">
        <f t="shared" si="80"/>
        <v/>
      </c>
      <c r="BF776" s="24" t="str">
        <f t="shared" si="80"/>
        <v/>
      </c>
      <c r="BG776" s="24">
        <f t="shared" si="80"/>
        <v>1</v>
      </c>
      <c r="BH776" s="24" t="str">
        <f t="shared" si="82"/>
        <v/>
      </c>
      <c r="BI776" s="24">
        <f t="shared" si="80"/>
        <v>1</v>
      </c>
      <c r="BJ776" s="24" t="str">
        <f t="shared" si="77"/>
        <v/>
      </c>
    </row>
    <row r="777" spans="1:62" ht="15" customHeight="1" x14ac:dyDescent="0.25">
      <c r="A777" t="str">
        <f>"1891089827"</f>
        <v>1891089827</v>
      </c>
      <c r="B777" t="str">
        <f>"03003894"</f>
        <v>03003894</v>
      </c>
      <c r="C777" t="s">
        <v>2507</v>
      </c>
      <c r="D777" t="s">
        <v>2508</v>
      </c>
      <c r="E777" t="s">
        <v>2500</v>
      </c>
      <c r="G777" t="s">
        <v>2502</v>
      </c>
      <c r="H777" t="s">
        <v>2503</v>
      </c>
      <c r="J777" t="s">
        <v>2504</v>
      </c>
      <c r="L777" t="s">
        <v>68</v>
      </c>
      <c r="M777" t="s">
        <v>108</v>
      </c>
      <c r="R777" t="s">
        <v>2500</v>
      </c>
      <c r="W777" t="s">
        <v>2500</v>
      </c>
      <c r="X777" t="s">
        <v>2509</v>
      </c>
      <c r="Y777" t="s">
        <v>2510</v>
      </c>
      <c r="Z777" t="s">
        <v>111</v>
      </c>
      <c r="AA777" t="str">
        <f>"13077-1049"</f>
        <v>13077-1049</v>
      </c>
      <c r="AB777" t="s">
        <v>165</v>
      </c>
      <c r="AC777" t="s">
        <v>113</v>
      </c>
      <c r="AD777" t="s">
        <v>108</v>
      </c>
      <c r="AE777" t="s">
        <v>114</v>
      </c>
      <c r="AF777" t="s">
        <v>142</v>
      </c>
      <c r="AG777" t="s">
        <v>116</v>
      </c>
      <c r="AK777" t="str">
        <f t="shared" si="81"/>
        <v/>
      </c>
      <c r="AL777" t="s">
        <v>2508</v>
      </c>
      <c r="AM777">
        <v>0</v>
      </c>
      <c r="AN777">
        <v>0</v>
      </c>
      <c r="AO777">
        <v>0</v>
      </c>
      <c r="AP777">
        <v>0</v>
      </c>
      <c r="AQ777">
        <v>0</v>
      </c>
      <c r="AR777">
        <v>0</v>
      </c>
      <c r="AS777">
        <v>0</v>
      </c>
      <c r="AT777">
        <v>0</v>
      </c>
      <c r="AU777">
        <v>0</v>
      </c>
      <c r="AV777">
        <v>0</v>
      </c>
      <c r="AW777">
        <v>0</v>
      </c>
      <c r="AX777" s="24" t="str">
        <f t="shared" si="79"/>
        <v/>
      </c>
      <c r="AY777" s="24" t="str">
        <f t="shared" si="79"/>
        <v/>
      </c>
      <c r="AZ777" s="24" t="str">
        <f t="shared" si="80"/>
        <v/>
      </c>
      <c r="BA777" s="24" t="str">
        <f t="shared" si="80"/>
        <v/>
      </c>
      <c r="BB777" s="24" t="str">
        <f t="shared" si="80"/>
        <v/>
      </c>
      <c r="BC777" s="24" t="str">
        <f t="shared" si="80"/>
        <v/>
      </c>
      <c r="BD777" s="24" t="str">
        <f t="shared" si="80"/>
        <v/>
      </c>
      <c r="BE777" s="24" t="str">
        <f t="shared" si="80"/>
        <v/>
      </c>
      <c r="BF777" s="24" t="str">
        <f t="shared" si="80"/>
        <v/>
      </c>
      <c r="BG777" s="24" t="str">
        <f t="shared" si="80"/>
        <v/>
      </c>
      <c r="BH777" s="24" t="str">
        <f t="shared" si="82"/>
        <v/>
      </c>
      <c r="BI777" s="24">
        <f t="shared" si="80"/>
        <v>1</v>
      </c>
      <c r="BJ777" s="24" t="str">
        <f t="shared" si="77"/>
        <v/>
      </c>
    </row>
    <row r="778" spans="1:62" ht="15" customHeight="1" x14ac:dyDescent="0.25">
      <c r="A778" t="str">
        <f>"1033481932"</f>
        <v>1033481932</v>
      </c>
      <c r="B778" t="str">
        <f>"02997973"</f>
        <v>02997973</v>
      </c>
      <c r="C778" t="s">
        <v>5874</v>
      </c>
      <c r="D778" t="s">
        <v>5875</v>
      </c>
      <c r="E778" t="s">
        <v>2500</v>
      </c>
      <c r="G778" t="s">
        <v>2502</v>
      </c>
      <c r="H778" t="s">
        <v>2503</v>
      </c>
      <c r="J778" t="s">
        <v>5876</v>
      </c>
      <c r="L778" t="s">
        <v>1115</v>
      </c>
      <c r="M778" t="s">
        <v>139</v>
      </c>
      <c r="R778" t="s">
        <v>2500</v>
      </c>
      <c r="W778" t="s">
        <v>2500</v>
      </c>
      <c r="X778" t="s">
        <v>5877</v>
      </c>
      <c r="Y778" t="s">
        <v>367</v>
      </c>
      <c r="Z778" t="s">
        <v>111</v>
      </c>
      <c r="AA778" t="str">
        <f>"13753-1109"</f>
        <v>13753-1109</v>
      </c>
      <c r="AB778" t="s">
        <v>165</v>
      </c>
      <c r="AC778" t="s">
        <v>113</v>
      </c>
      <c r="AD778" t="s">
        <v>108</v>
      </c>
      <c r="AE778" t="s">
        <v>114</v>
      </c>
      <c r="AF778" t="s">
        <v>124</v>
      </c>
      <c r="AG778" t="s">
        <v>116</v>
      </c>
      <c r="AK778" t="str">
        <f t="shared" si="81"/>
        <v/>
      </c>
      <c r="AL778" t="s">
        <v>5875</v>
      </c>
      <c r="AM778">
        <v>0</v>
      </c>
      <c r="AN778">
        <v>0</v>
      </c>
      <c r="AO778">
        <v>0</v>
      </c>
      <c r="AP778">
        <v>0</v>
      </c>
      <c r="AQ778">
        <v>0</v>
      </c>
      <c r="AR778">
        <v>0</v>
      </c>
      <c r="AS778">
        <v>0</v>
      </c>
      <c r="AT778">
        <v>0</v>
      </c>
      <c r="AU778">
        <v>0</v>
      </c>
      <c r="AV778">
        <v>0</v>
      </c>
      <c r="AW778">
        <v>0</v>
      </c>
      <c r="AX778" s="24" t="str">
        <f t="shared" si="79"/>
        <v/>
      </c>
      <c r="AY778" s="24" t="str">
        <f t="shared" si="79"/>
        <v/>
      </c>
      <c r="AZ778" s="24" t="str">
        <f t="shared" si="80"/>
        <v/>
      </c>
      <c r="BA778" s="24" t="str">
        <f t="shared" si="80"/>
        <v/>
      </c>
      <c r="BB778" s="24" t="str">
        <f t="shared" si="80"/>
        <v/>
      </c>
      <c r="BC778" s="24" t="str">
        <f t="shared" si="80"/>
        <v/>
      </c>
      <c r="BD778" s="24" t="str">
        <f t="shared" si="80"/>
        <v/>
      </c>
      <c r="BE778" s="24" t="str">
        <f t="shared" si="80"/>
        <v/>
      </c>
      <c r="BF778" s="24" t="str">
        <f t="shared" ref="AZ778:BI804" si="83">IF(ISERROR(FIND(BF$1,$L778,1)),"",1)</f>
        <v/>
      </c>
      <c r="BG778" s="24">
        <f t="shared" si="83"/>
        <v>1</v>
      </c>
      <c r="BH778" s="24" t="str">
        <f t="shared" si="82"/>
        <v/>
      </c>
      <c r="BI778" s="24">
        <f t="shared" si="83"/>
        <v>1</v>
      </c>
      <c r="BJ778" s="24" t="str">
        <f t="shared" si="77"/>
        <v/>
      </c>
    </row>
    <row r="779" spans="1:62" ht="15" customHeight="1" x14ac:dyDescent="0.25">
      <c r="A779" t="str">
        <f>"1033155833"</f>
        <v>1033155833</v>
      </c>
      <c r="B779" t="str">
        <f>"02993680"</f>
        <v>02993680</v>
      </c>
      <c r="C779" t="s">
        <v>2845</v>
      </c>
      <c r="D779" t="s">
        <v>2846</v>
      </c>
      <c r="E779" t="s">
        <v>2847</v>
      </c>
      <c r="G779" t="s">
        <v>2848</v>
      </c>
      <c r="H779" t="s">
        <v>2849</v>
      </c>
      <c r="J779" t="s">
        <v>2850</v>
      </c>
      <c r="L779" t="s">
        <v>374</v>
      </c>
      <c r="M779" t="s">
        <v>139</v>
      </c>
      <c r="R779" t="s">
        <v>2845</v>
      </c>
      <c r="W779" t="s">
        <v>2851</v>
      </c>
      <c r="X779" t="s">
        <v>2852</v>
      </c>
      <c r="Y779" t="s">
        <v>2853</v>
      </c>
      <c r="Z779" t="s">
        <v>111</v>
      </c>
      <c r="AA779" t="str">
        <f>"14456-2119"</f>
        <v>14456-2119</v>
      </c>
      <c r="AB779" t="s">
        <v>165</v>
      </c>
      <c r="AC779" t="s">
        <v>113</v>
      </c>
      <c r="AD779" t="s">
        <v>108</v>
      </c>
      <c r="AE779" t="s">
        <v>114</v>
      </c>
      <c r="AF779" t="s">
        <v>142</v>
      </c>
      <c r="AG779" t="s">
        <v>116</v>
      </c>
      <c r="AK779" t="str">
        <f t="shared" si="81"/>
        <v/>
      </c>
      <c r="AL779" t="s">
        <v>2846</v>
      </c>
      <c r="AM779">
        <v>0</v>
      </c>
      <c r="AN779">
        <v>0</v>
      </c>
      <c r="AO779">
        <v>0</v>
      </c>
      <c r="AP779">
        <v>0</v>
      </c>
      <c r="AQ779">
        <v>0</v>
      </c>
      <c r="AR779">
        <v>0</v>
      </c>
      <c r="AS779">
        <v>0</v>
      </c>
      <c r="AT779">
        <v>0</v>
      </c>
      <c r="AU779">
        <v>0</v>
      </c>
      <c r="AV779">
        <v>0</v>
      </c>
      <c r="AW779">
        <v>0</v>
      </c>
      <c r="AX779" s="24" t="str">
        <f t="shared" si="79"/>
        <v/>
      </c>
      <c r="AY779" s="24" t="str">
        <f t="shared" si="79"/>
        <v/>
      </c>
      <c r="AZ779" s="24" t="str">
        <f t="shared" si="83"/>
        <v/>
      </c>
      <c r="BA779" s="24" t="str">
        <f t="shared" si="83"/>
        <v/>
      </c>
      <c r="BB779" s="24">
        <f t="shared" si="83"/>
        <v>1</v>
      </c>
      <c r="BC779" s="24">
        <f t="shared" si="83"/>
        <v>1</v>
      </c>
      <c r="BD779" s="24" t="str">
        <f t="shared" si="83"/>
        <v/>
      </c>
      <c r="BE779" s="24" t="str">
        <f t="shared" si="83"/>
        <v/>
      </c>
      <c r="BF779" s="24" t="str">
        <f t="shared" si="83"/>
        <v/>
      </c>
      <c r="BG779" s="24" t="str">
        <f t="shared" si="83"/>
        <v/>
      </c>
      <c r="BH779" s="24" t="str">
        <f t="shared" si="82"/>
        <v/>
      </c>
      <c r="BI779" s="24" t="str">
        <f t="shared" si="83"/>
        <v/>
      </c>
      <c r="BJ779" s="24" t="str">
        <f t="shared" si="77"/>
        <v/>
      </c>
    </row>
    <row r="780" spans="1:62" ht="15" customHeight="1" x14ac:dyDescent="0.25">
      <c r="A780" t="str">
        <f>"1831521152"</f>
        <v>1831521152</v>
      </c>
      <c r="B780" t="str">
        <f>"04503797"</f>
        <v>04503797</v>
      </c>
      <c r="C780" t="s">
        <v>6415</v>
      </c>
      <c r="D780" t="s">
        <v>6416</v>
      </c>
      <c r="E780" t="s">
        <v>6417</v>
      </c>
      <c r="G780" t="s">
        <v>6330</v>
      </c>
      <c r="H780" t="s">
        <v>6331</v>
      </c>
      <c r="J780" t="s">
        <v>6332</v>
      </c>
      <c r="L780" t="s">
        <v>120</v>
      </c>
      <c r="M780" t="s">
        <v>108</v>
      </c>
      <c r="R780" t="s">
        <v>6417</v>
      </c>
      <c r="W780" t="s">
        <v>6418</v>
      </c>
      <c r="AB780" t="s">
        <v>123</v>
      </c>
      <c r="AC780" t="s">
        <v>113</v>
      </c>
      <c r="AD780" t="s">
        <v>108</v>
      </c>
      <c r="AE780" t="s">
        <v>114</v>
      </c>
      <c r="AF780" t="s">
        <v>115</v>
      </c>
      <c r="AG780" t="s">
        <v>116</v>
      </c>
      <c r="AK780" t="str">
        <f t="shared" si="81"/>
        <v>Lakshmi Sanivarapu, MD</v>
      </c>
      <c r="AL780" t="s">
        <v>6416</v>
      </c>
      <c r="AM780" t="s">
        <v>108</v>
      </c>
      <c r="AN780" t="s">
        <v>108</v>
      </c>
      <c r="AO780" t="s">
        <v>108</v>
      </c>
      <c r="AP780" t="s">
        <v>108</v>
      </c>
      <c r="AQ780" t="s">
        <v>108</v>
      </c>
      <c r="AR780" t="s">
        <v>108</v>
      </c>
      <c r="AS780" t="s">
        <v>108</v>
      </c>
      <c r="AT780" t="s">
        <v>108</v>
      </c>
      <c r="AU780">
        <v>1</v>
      </c>
      <c r="AV780" t="s">
        <v>108</v>
      </c>
      <c r="AW780" t="s">
        <v>108</v>
      </c>
      <c r="AX780" s="24">
        <f t="shared" si="79"/>
        <v>1</v>
      </c>
      <c r="AY780" s="24" t="str">
        <f t="shared" si="79"/>
        <v/>
      </c>
      <c r="AZ780" s="24" t="str">
        <f t="shared" si="83"/>
        <v/>
      </c>
      <c r="BA780" s="24" t="str">
        <f t="shared" si="83"/>
        <v/>
      </c>
      <c r="BB780" s="24" t="str">
        <f t="shared" si="83"/>
        <v/>
      </c>
      <c r="BC780" s="24" t="str">
        <f t="shared" si="83"/>
        <v/>
      </c>
      <c r="BD780" s="24" t="str">
        <f t="shared" si="83"/>
        <v/>
      </c>
      <c r="BE780" s="24" t="str">
        <f t="shared" si="83"/>
        <v/>
      </c>
      <c r="BF780" s="24" t="str">
        <f t="shared" si="83"/>
        <v/>
      </c>
      <c r="BG780" s="24" t="str">
        <f t="shared" si="83"/>
        <v/>
      </c>
      <c r="BH780" s="24" t="str">
        <f t="shared" si="82"/>
        <v/>
      </c>
      <c r="BI780" s="24">
        <f t="shared" si="83"/>
        <v>1</v>
      </c>
      <c r="BJ780" s="24" t="str">
        <f t="shared" si="77"/>
        <v/>
      </c>
    </row>
    <row r="781" spans="1:62" ht="15" customHeight="1" x14ac:dyDescent="0.25">
      <c r="A781" t="str">
        <f>"1497832059"</f>
        <v>1497832059</v>
      </c>
      <c r="B781" t="str">
        <f>"03531046"</f>
        <v>03531046</v>
      </c>
      <c r="C781" t="s">
        <v>812</v>
      </c>
      <c r="D781" t="s">
        <v>813</v>
      </c>
      <c r="E781" t="s">
        <v>814</v>
      </c>
      <c r="G781" t="s">
        <v>815</v>
      </c>
      <c r="H781" t="s">
        <v>816</v>
      </c>
      <c r="J781" t="s">
        <v>817</v>
      </c>
      <c r="L781" t="s">
        <v>138</v>
      </c>
      <c r="M781" t="s">
        <v>108</v>
      </c>
      <c r="R781" t="s">
        <v>812</v>
      </c>
      <c r="W781" t="s">
        <v>814</v>
      </c>
      <c r="X781" t="s">
        <v>361</v>
      </c>
      <c r="Y781" t="s">
        <v>110</v>
      </c>
      <c r="Z781" t="s">
        <v>111</v>
      </c>
      <c r="AA781" t="str">
        <f>"13901-3903"</f>
        <v>13901-3903</v>
      </c>
      <c r="AB781" t="s">
        <v>123</v>
      </c>
      <c r="AC781" t="s">
        <v>113</v>
      </c>
      <c r="AD781" t="s">
        <v>108</v>
      </c>
      <c r="AE781" t="s">
        <v>114</v>
      </c>
      <c r="AF781" t="s">
        <v>115</v>
      </c>
      <c r="AG781" t="s">
        <v>116</v>
      </c>
      <c r="AK781" t="str">
        <f t="shared" si="81"/>
        <v/>
      </c>
      <c r="AL781" t="s">
        <v>813</v>
      </c>
      <c r="AM781">
        <v>1</v>
      </c>
      <c r="AN781">
        <v>1</v>
      </c>
      <c r="AO781">
        <v>0</v>
      </c>
      <c r="AP781">
        <v>1</v>
      </c>
      <c r="AQ781">
        <v>1</v>
      </c>
      <c r="AR781">
        <v>0</v>
      </c>
      <c r="AS781">
        <v>0</v>
      </c>
      <c r="AT781">
        <v>0</v>
      </c>
      <c r="AU781">
        <v>0</v>
      </c>
      <c r="AV781">
        <v>0</v>
      </c>
      <c r="AW781">
        <v>0</v>
      </c>
      <c r="AX781" s="24" t="str">
        <f t="shared" si="79"/>
        <v/>
      </c>
      <c r="AY781" s="24">
        <f t="shared" si="79"/>
        <v>1</v>
      </c>
      <c r="AZ781" s="24" t="str">
        <f t="shared" si="83"/>
        <v/>
      </c>
      <c r="BA781" s="24" t="str">
        <f t="shared" si="83"/>
        <v/>
      </c>
      <c r="BB781" s="24" t="str">
        <f t="shared" si="83"/>
        <v/>
      </c>
      <c r="BC781" s="24" t="str">
        <f t="shared" si="83"/>
        <v/>
      </c>
      <c r="BD781" s="24" t="str">
        <f t="shared" si="83"/>
        <v/>
      </c>
      <c r="BE781" s="24" t="str">
        <f t="shared" si="83"/>
        <v/>
      </c>
      <c r="BF781" s="24" t="str">
        <f t="shared" si="83"/>
        <v/>
      </c>
      <c r="BG781" s="24" t="str">
        <f t="shared" si="83"/>
        <v/>
      </c>
      <c r="BH781" s="24" t="str">
        <f t="shared" si="82"/>
        <v/>
      </c>
      <c r="BI781" s="24">
        <f t="shared" si="83"/>
        <v>1</v>
      </c>
      <c r="BJ781" s="24" t="str">
        <f t="shared" si="77"/>
        <v/>
      </c>
    </row>
    <row r="782" spans="1:62" ht="15" customHeight="1" x14ac:dyDescent="0.25">
      <c r="A782" t="str">
        <f>"1336105691"</f>
        <v>1336105691</v>
      </c>
      <c r="B782" t="str">
        <f>"01675194"</f>
        <v>01675194</v>
      </c>
      <c r="C782" t="s">
        <v>6558</v>
      </c>
      <c r="D782" t="s">
        <v>6559</v>
      </c>
      <c r="E782" t="s">
        <v>6560</v>
      </c>
      <c r="G782" t="s">
        <v>4447</v>
      </c>
      <c r="H782" t="s">
        <v>4448</v>
      </c>
      <c r="J782" t="s">
        <v>5726</v>
      </c>
      <c r="L782" t="s">
        <v>120</v>
      </c>
      <c r="M782" t="s">
        <v>108</v>
      </c>
      <c r="R782" t="s">
        <v>6561</v>
      </c>
      <c r="W782" t="s">
        <v>6560</v>
      </c>
      <c r="X782" t="s">
        <v>6562</v>
      </c>
      <c r="Y782" t="s">
        <v>6563</v>
      </c>
      <c r="Z782" t="s">
        <v>111</v>
      </c>
      <c r="AA782" t="str">
        <f>"13459"</f>
        <v>13459</v>
      </c>
      <c r="AB782" t="s">
        <v>123</v>
      </c>
      <c r="AC782" t="s">
        <v>113</v>
      </c>
      <c r="AD782" t="s">
        <v>108</v>
      </c>
      <c r="AE782" t="s">
        <v>114</v>
      </c>
      <c r="AF782" t="s">
        <v>124</v>
      </c>
      <c r="AG782" t="s">
        <v>116</v>
      </c>
      <c r="AK782" t="str">
        <f t="shared" si="81"/>
        <v>Landry Gerald</v>
      </c>
      <c r="AL782" t="s">
        <v>6559</v>
      </c>
      <c r="AM782" t="s">
        <v>108</v>
      </c>
      <c r="AN782" t="s">
        <v>108</v>
      </c>
      <c r="AO782" t="s">
        <v>108</v>
      </c>
      <c r="AP782" t="s">
        <v>108</v>
      </c>
      <c r="AQ782" t="s">
        <v>108</v>
      </c>
      <c r="AR782" t="s">
        <v>108</v>
      </c>
      <c r="AS782" t="s">
        <v>108</v>
      </c>
      <c r="AT782" t="s">
        <v>108</v>
      </c>
      <c r="AU782">
        <v>0</v>
      </c>
      <c r="AV782" t="s">
        <v>108</v>
      </c>
      <c r="AW782" t="s">
        <v>108</v>
      </c>
      <c r="AX782" s="24">
        <f t="shared" si="79"/>
        <v>1</v>
      </c>
      <c r="AY782" s="24" t="str">
        <f t="shared" si="79"/>
        <v/>
      </c>
      <c r="AZ782" s="24" t="str">
        <f t="shared" si="83"/>
        <v/>
      </c>
      <c r="BA782" s="24" t="str">
        <f t="shared" si="83"/>
        <v/>
      </c>
      <c r="BB782" s="24" t="str">
        <f t="shared" si="83"/>
        <v/>
      </c>
      <c r="BC782" s="24" t="str">
        <f t="shared" si="83"/>
        <v/>
      </c>
      <c r="BD782" s="24" t="str">
        <f t="shared" si="83"/>
        <v/>
      </c>
      <c r="BE782" s="24" t="str">
        <f t="shared" si="83"/>
        <v/>
      </c>
      <c r="BF782" s="24" t="str">
        <f t="shared" si="83"/>
        <v/>
      </c>
      <c r="BG782" s="24" t="str">
        <f t="shared" si="83"/>
        <v/>
      </c>
      <c r="BH782" s="24" t="str">
        <f t="shared" si="82"/>
        <v/>
      </c>
      <c r="BI782" s="24">
        <f t="shared" si="83"/>
        <v>1</v>
      </c>
      <c r="BJ782" s="24" t="str">
        <f t="shared" si="77"/>
        <v/>
      </c>
    </row>
    <row r="783" spans="1:62" ht="15" customHeight="1" x14ac:dyDescent="0.25">
      <c r="A783" t="str">
        <f>"1619937620"</f>
        <v>1619937620</v>
      </c>
      <c r="B783" t="str">
        <f>"02840628"</f>
        <v>02840628</v>
      </c>
      <c r="C783" t="s">
        <v>1892</v>
      </c>
      <c r="D783" t="s">
        <v>1893</v>
      </c>
      <c r="E783" t="s">
        <v>1894</v>
      </c>
      <c r="L783" t="s">
        <v>133</v>
      </c>
      <c r="M783" t="s">
        <v>108</v>
      </c>
      <c r="W783" t="s">
        <v>1892</v>
      </c>
      <c r="X783" t="s">
        <v>1895</v>
      </c>
      <c r="Y783" t="s">
        <v>129</v>
      </c>
      <c r="Z783" t="s">
        <v>111</v>
      </c>
      <c r="AA783" t="str">
        <f>"13790-2176"</f>
        <v>13790-2176</v>
      </c>
      <c r="AB783" t="s">
        <v>123</v>
      </c>
      <c r="AC783" t="s">
        <v>113</v>
      </c>
      <c r="AD783" t="s">
        <v>108</v>
      </c>
      <c r="AE783" t="s">
        <v>114</v>
      </c>
      <c r="AF783" t="s">
        <v>115</v>
      </c>
      <c r="AG783" t="s">
        <v>116</v>
      </c>
      <c r="AK783" t="str">
        <f t="shared" si="81"/>
        <v>LARSON  HENRY C MD</v>
      </c>
      <c r="AL783" t="s">
        <v>1893</v>
      </c>
      <c r="AM783" t="s">
        <v>108</v>
      </c>
      <c r="AN783" t="s">
        <v>108</v>
      </c>
      <c r="AO783" t="s">
        <v>108</v>
      </c>
      <c r="AP783" t="s">
        <v>108</v>
      </c>
      <c r="AQ783" t="s">
        <v>108</v>
      </c>
      <c r="AR783" t="s">
        <v>108</v>
      </c>
      <c r="AS783" t="s">
        <v>108</v>
      </c>
      <c r="AT783" t="s">
        <v>108</v>
      </c>
      <c r="AU783">
        <v>0</v>
      </c>
      <c r="AV783" t="s">
        <v>108</v>
      </c>
      <c r="AW783" t="s">
        <v>108</v>
      </c>
      <c r="AX783" s="24" t="str">
        <f t="shared" si="79"/>
        <v/>
      </c>
      <c r="AY783" s="24" t="str">
        <f t="shared" si="79"/>
        <v/>
      </c>
      <c r="AZ783" s="24" t="str">
        <f t="shared" si="83"/>
        <v/>
      </c>
      <c r="BA783" s="24" t="str">
        <f t="shared" si="83"/>
        <v/>
      </c>
      <c r="BB783" s="24" t="str">
        <f t="shared" si="83"/>
        <v/>
      </c>
      <c r="BC783" s="24" t="str">
        <f t="shared" si="83"/>
        <v/>
      </c>
      <c r="BD783" s="24" t="str">
        <f t="shared" si="83"/>
        <v/>
      </c>
      <c r="BE783" s="24" t="str">
        <f t="shared" si="83"/>
        <v/>
      </c>
      <c r="BF783" s="24" t="str">
        <f t="shared" si="83"/>
        <v/>
      </c>
      <c r="BG783" s="24" t="str">
        <f t="shared" si="83"/>
        <v/>
      </c>
      <c r="BH783" s="24" t="str">
        <f t="shared" si="82"/>
        <v/>
      </c>
      <c r="BI783" s="24" t="str">
        <f t="shared" si="83"/>
        <v/>
      </c>
      <c r="BJ783" s="24">
        <f t="shared" si="77"/>
        <v>1</v>
      </c>
    </row>
    <row r="784" spans="1:62" ht="15" customHeight="1" x14ac:dyDescent="0.25">
      <c r="A784" t="str">
        <f>"1477573707"</f>
        <v>1477573707</v>
      </c>
      <c r="B784" t="str">
        <f>"02161420"</f>
        <v>02161420</v>
      </c>
      <c r="C784" t="s">
        <v>2299</v>
      </c>
      <c r="D784" t="s">
        <v>2300</v>
      </c>
      <c r="E784" t="s">
        <v>2301</v>
      </c>
      <c r="G784" t="s">
        <v>177</v>
      </c>
      <c r="H784" t="s">
        <v>178</v>
      </c>
      <c r="J784" t="s">
        <v>179</v>
      </c>
      <c r="L784" t="s">
        <v>138</v>
      </c>
      <c r="M784" t="s">
        <v>108</v>
      </c>
      <c r="R784" t="s">
        <v>2299</v>
      </c>
      <c r="W784" t="s">
        <v>2302</v>
      </c>
      <c r="X784" t="s">
        <v>196</v>
      </c>
      <c r="Y784" t="s">
        <v>181</v>
      </c>
      <c r="Z784" t="s">
        <v>182</v>
      </c>
      <c r="AA784" t="str">
        <f>"18840-1625"</f>
        <v>18840-1625</v>
      </c>
      <c r="AB784" t="s">
        <v>123</v>
      </c>
      <c r="AC784" t="s">
        <v>113</v>
      </c>
      <c r="AD784" t="s">
        <v>108</v>
      </c>
      <c r="AE784" t="s">
        <v>114</v>
      </c>
      <c r="AF784" t="s">
        <v>115</v>
      </c>
      <c r="AG784" t="s">
        <v>116</v>
      </c>
      <c r="AK784" t="str">
        <f t="shared" si="81"/>
        <v/>
      </c>
      <c r="AL784" t="s">
        <v>2300</v>
      </c>
      <c r="AM784">
        <v>0</v>
      </c>
      <c r="AN784">
        <v>0</v>
      </c>
      <c r="AO784">
        <v>0</v>
      </c>
      <c r="AP784">
        <v>0</v>
      </c>
      <c r="AQ784">
        <v>0</v>
      </c>
      <c r="AR784">
        <v>0</v>
      </c>
      <c r="AS784">
        <v>0</v>
      </c>
      <c r="AT784">
        <v>0</v>
      </c>
      <c r="AU784">
        <v>0</v>
      </c>
      <c r="AV784">
        <v>0</v>
      </c>
      <c r="AW784">
        <v>0</v>
      </c>
      <c r="AX784" s="24" t="str">
        <f t="shared" si="79"/>
        <v/>
      </c>
      <c r="AY784" s="24">
        <f t="shared" si="79"/>
        <v>1</v>
      </c>
      <c r="AZ784" s="24" t="str">
        <f t="shared" si="83"/>
        <v/>
      </c>
      <c r="BA784" s="24" t="str">
        <f t="shared" si="83"/>
        <v/>
      </c>
      <c r="BB784" s="24" t="str">
        <f t="shared" si="83"/>
        <v/>
      </c>
      <c r="BC784" s="24" t="str">
        <f t="shared" si="83"/>
        <v/>
      </c>
      <c r="BD784" s="24" t="str">
        <f t="shared" si="83"/>
        <v/>
      </c>
      <c r="BE784" s="24" t="str">
        <f t="shared" si="83"/>
        <v/>
      </c>
      <c r="BF784" s="24" t="str">
        <f t="shared" si="83"/>
        <v/>
      </c>
      <c r="BG784" s="24" t="str">
        <f t="shared" si="83"/>
        <v/>
      </c>
      <c r="BH784" s="24" t="str">
        <f t="shared" si="82"/>
        <v/>
      </c>
      <c r="BI784" s="24">
        <f t="shared" si="83"/>
        <v>1</v>
      </c>
      <c r="BJ784" s="24" t="str">
        <f t="shared" si="77"/>
        <v/>
      </c>
    </row>
    <row r="785" spans="1:62" ht="15" customHeight="1" x14ac:dyDescent="0.25">
      <c r="A785" t="str">
        <f>"1801069356"</f>
        <v>1801069356</v>
      </c>
      <c r="B785" t="str">
        <f>"03082377"</f>
        <v>03082377</v>
      </c>
      <c r="C785" t="s">
        <v>2318</v>
      </c>
      <c r="D785" t="s">
        <v>2319</v>
      </c>
      <c r="E785" t="s">
        <v>2320</v>
      </c>
      <c r="G785" t="s">
        <v>177</v>
      </c>
      <c r="H785" t="s">
        <v>178</v>
      </c>
      <c r="J785" t="s">
        <v>179</v>
      </c>
      <c r="L785" t="s">
        <v>138</v>
      </c>
      <c r="M785" t="s">
        <v>108</v>
      </c>
      <c r="R785" t="s">
        <v>2318</v>
      </c>
      <c r="W785" t="s">
        <v>2321</v>
      </c>
      <c r="X785" t="s">
        <v>186</v>
      </c>
      <c r="Y785" t="s">
        <v>181</v>
      </c>
      <c r="Z785" t="s">
        <v>182</v>
      </c>
      <c r="AA785" t="str">
        <f>"18840-1625"</f>
        <v>18840-1625</v>
      </c>
      <c r="AB785" t="s">
        <v>123</v>
      </c>
      <c r="AC785" t="s">
        <v>113</v>
      </c>
      <c r="AD785" t="s">
        <v>108</v>
      </c>
      <c r="AE785" t="s">
        <v>114</v>
      </c>
      <c r="AF785" t="s">
        <v>115</v>
      </c>
      <c r="AG785" t="s">
        <v>116</v>
      </c>
      <c r="AK785" t="str">
        <f t="shared" si="81"/>
        <v/>
      </c>
      <c r="AL785" t="s">
        <v>2319</v>
      </c>
      <c r="AM785">
        <v>0</v>
      </c>
      <c r="AN785">
        <v>0</v>
      </c>
      <c r="AO785">
        <v>0</v>
      </c>
      <c r="AP785">
        <v>0</v>
      </c>
      <c r="AQ785">
        <v>0</v>
      </c>
      <c r="AR785">
        <v>0</v>
      </c>
      <c r="AS785">
        <v>0</v>
      </c>
      <c r="AT785">
        <v>0</v>
      </c>
      <c r="AU785">
        <v>0</v>
      </c>
      <c r="AV785">
        <v>0</v>
      </c>
      <c r="AW785">
        <v>0</v>
      </c>
      <c r="AX785" s="24" t="str">
        <f t="shared" si="79"/>
        <v/>
      </c>
      <c r="AY785" s="24">
        <f t="shared" si="79"/>
        <v>1</v>
      </c>
      <c r="AZ785" s="24" t="str">
        <f t="shared" si="83"/>
        <v/>
      </c>
      <c r="BA785" s="24" t="str">
        <f t="shared" si="83"/>
        <v/>
      </c>
      <c r="BB785" s="24" t="str">
        <f t="shared" si="83"/>
        <v/>
      </c>
      <c r="BC785" s="24" t="str">
        <f t="shared" si="83"/>
        <v/>
      </c>
      <c r="BD785" s="24" t="str">
        <f t="shared" si="83"/>
        <v/>
      </c>
      <c r="BE785" s="24" t="str">
        <f t="shared" si="83"/>
        <v/>
      </c>
      <c r="BF785" s="24" t="str">
        <f t="shared" si="83"/>
        <v/>
      </c>
      <c r="BG785" s="24" t="str">
        <f t="shared" si="83"/>
        <v/>
      </c>
      <c r="BH785" s="24" t="str">
        <f t="shared" si="82"/>
        <v/>
      </c>
      <c r="BI785" s="24">
        <f t="shared" si="83"/>
        <v>1</v>
      </c>
      <c r="BJ785" s="24" t="str">
        <f t="shared" si="77"/>
        <v/>
      </c>
    </row>
    <row r="786" spans="1:62" ht="15" customHeight="1" x14ac:dyDescent="0.25">
      <c r="A786" t="str">
        <f>"1366875064"</f>
        <v>1366875064</v>
      </c>
      <c r="B786" t="str">
        <f>"03796949"</f>
        <v>03796949</v>
      </c>
      <c r="C786" t="s">
        <v>4415</v>
      </c>
      <c r="D786" t="s">
        <v>4416</v>
      </c>
      <c r="E786" t="s">
        <v>4417</v>
      </c>
      <c r="G786" t="s">
        <v>2412</v>
      </c>
      <c r="H786" t="s">
        <v>2413</v>
      </c>
      <c r="I786">
        <v>2359</v>
      </c>
      <c r="J786" t="s">
        <v>4418</v>
      </c>
      <c r="L786" t="s">
        <v>247</v>
      </c>
      <c r="M786" t="s">
        <v>108</v>
      </c>
      <c r="R786" t="s">
        <v>4419</v>
      </c>
      <c r="W786" t="s">
        <v>4417</v>
      </c>
      <c r="X786" t="s">
        <v>3014</v>
      </c>
      <c r="Y786" t="s">
        <v>1655</v>
      </c>
      <c r="Z786" t="s">
        <v>111</v>
      </c>
      <c r="AA786" t="str">
        <f>"14865-9740"</f>
        <v>14865-9740</v>
      </c>
      <c r="AB786" t="s">
        <v>123</v>
      </c>
      <c r="AC786" t="s">
        <v>113</v>
      </c>
      <c r="AD786" t="s">
        <v>108</v>
      </c>
      <c r="AE786" t="s">
        <v>114</v>
      </c>
      <c r="AF786" t="s">
        <v>142</v>
      </c>
      <c r="AG786" t="s">
        <v>116</v>
      </c>
      <c r="AK786" t="str">
        <f t="shared" si="81"/>
        <v/>
      </c>
      <c r="AL786" t="s">
        <v>4416</v>
      </c>
      <c r="AM786">
        <v>1</v>
      </c>
      <c r="AN786">
        <v>1</v>
      </c>
      <c r="AO786">
        <v>0</v>
      </c>
      <c r="AP786">
        <v>0</v>
      </c>
      <c r="AQ786">
        <v>0</v>
      </c>
      <c r="AR786">
        <v>0</v>
      </c>
      <c r="AS786">
        <v>0</v>
      </c>
      <c r="AT786">
        <v>0</v>
      </c>
      <c r="AU786">
        <v>0</v>
      </c>
      <c r="AV786">
        <v>0</v>
      </c>
      <c r="AW786">
        <v>0</v>
      </c>
      <c r="AX786" s="24" t="str">
        <f t="shared" si="79"/>
        <v/>
      </c>
      <c r="AY786" s="24">
        <f t="shared" si="79"/>
        <v>1</v>
      </c>
      <c r="AZ786" s="24" t="str">
        <f t="shared" si="83"/>
        <v/>
      </c>
      <c r="BA786" s="24" t="str">
        <f t="shared" si="83"/>
        <v/>
      </c>
      <c r="BB786" s="24" t="str">
        <f t="shared" si="83"/>
        <v/>
      </c>
      <c r="BC786" s="24" t="str">
        <f t="shared" si="83"/>
        <v/>
      </c>
      <c r="BD786" s="24" t="str">
        <f t="shared" si="83"/>
        <v/>
      </c>
      <c r="BE786" s="24" t="str">
        <f t="shared" si="83"/>
        <v/>
      </c>
      <c r="BF786" s="24" t="str">
        <f t="shared" si="83"/>
        <v/>
      </c>
      <c r="BG786" s="24" t="str">
        <f t="shared" si="83"/>
        <v/>
      </c>
      <c r="BH786" s="24" t="str">
        <f t="shared" si="82"/>
        <v/>
      </c>
      <c r="BI786" s="24" t="str">
        <f t="shared" si="83"/>
        <v/>
      </c>
      <c r="BJ786" s="24" t="str">
        <f t="shared" ref="BJ786:BJ849" si="84">IF(ISERROR(FIND(BJ$1,$L786,1)),"",1)</f>
        <v/>
      </c>
    </row>
    <row r="787" spans="1:62" ht="15" customHeight="1" x14ac:dyDescent="0.25">
      <c r="A787" t="str">
        <f>"1770871196"</f>
        <v>1770871196</v>
      </c>
      <c r="B787" t="str">
        <f>"03379751"</f>
        <v>03379751</v>
      </c>
      <c r="C787" t="s">
        <v>6422</v>
      </c>
      <c r="D787" t="s">
        <v>6423</v>
      </c>
      <c r="E787" t="s">
        <v>6424</v>
      </c>
      <c r="G787" t="s">
        <v>6330</v>
      </c>
      <c r="H787" t="s">
        <v>6331</v>
      </c>
      <c r="J787" t="s">
        <v>6332</v>
      </c>
      <c r="L787" t="s">
        <v>120</v>
      </c>
      <c r="M787" t="s">
        <v>108</v>
      </c>
      <c r="R787" t="s">
        <v>6425</v>
      </c>
      <c r="W787" t="s">
        <v>6424</v>
      </c>
      <c r="X787" t="s">
        <v>876</v>
      </c>
      <c r="Y787" t="s">
        <v>877</v>
      </c>
      <c r="Z787" t="s">
        <v>111</v>
      </c>
      <c r="AA787" t="str">
        <f>"13865-4109"</f>
        <v>13865-4109</v>
      </c>
      <c r="AB787" t="s">
        <v>123</v>
      </c>
      <c r="AC787" t="s">
        <v>113</v>
      </c>
      <c r="AD787" t="s">
        <v>108</v>
      </c>
      <c r="AE787" t="s">
        <v>114</v>
      </c>
      <c r="AF787" t="s">
        <v>115</v>
      </c>
      <c r="AG787" t="s">
        <v>116</v>
      </c>
      <c r="AK787" t="str">
        <f t="shared" si="81"/>
        <v>Lauren Crane, NP</v>
      </c>
      <c r="AL787" t="s">
        <v>6423</v>
      </c>
      <c r="AM787" t="s">
        <v>108</v>
      </c>
      <c r="AN787" t="s">
        <v>108</v>
      </c>
      <c r="AO787" t="s">
        <v>108</v>
      </c>
      <c r="AP787" t="s">
        <v>108</v>
      </c>
      <c r="AQ787" t="s">
        <v>108</v>
      </c>
      <c r="AR787" t="s">
        <v>108</v>
      </c>
      <c r="AS787" t="s">
        <v>108</v>
      </c>
      <c r="AT787" t="s">
        <v>108</v>
      </c>
      <c r="AU787">
        <v>1</v>
      </c>
      <c r="AV787" t="s">
        <v>108</v>
      </c>
      <c r="AW787" t="s">
        <v>108</v>
      </c>
      <c r="AX787" s="24">
        <f t="shared" si="79"/>
        <v>1</v>
      </c>
      <c r="AY787" s="24" t="str">
        <f t="shared" si="79"/>
        <v/>
      </c>
      <c r="AZ787" s="24" t="str">
        <f t="shared" si="83"/>
        <v/>
      </c>
      <c r="BA787" s="24" t="str">
        <f t="shared" si="83"/>
        <v/>
      </c>
      <c r="BB787" s="24" t="str">
        <f t="shared" si="83"/>
        <v/>
      </c>
      <c r="BC787" s="24" t="str">
        <f t="shared" si="83"/>
        <v/>
      </c>
      <c r="BD787" s="24" t="str">
        <f t="shared" si="83"/>
        <v/>
      </c>
      <c r="BE787" s="24" t="str">
        <f t="shared" si="83"/>
        <v/>
      </c>
      <c r="BF787" s="24" t="str">
        <f t="shared" si="83"/>
        <v/>
      </c>
      <c r="BG787" s="24" t="str">
        <f t="shared" si="83"/>
        <v/>
      </c>
      <c r="BH787" s="24" t="str">
        <f t="shared" si="82"/>
        <v/>
      </c>
      <c r="BI787" s="24">
        <f t="shared" si="83"/>
        <v>1</v>
      </c>
      <c r="BJ787" s="24" t="str">
        <f t="shared" si="84"/>
        <v/>
      </c>
    </row>
    <row r="788" spans="1:62" ht="15" customHeight="1" x14ac:dyDescent="0.25">
      <c r="A788" t="str">
        <f>"1699717843"</f>
        <v>1699717843</v>
      </c>
      <c r="B788" t="str">
        <f>"03135586"</f>
        <v>03135586</v>
      </c>
      <c r="C788" t="s">
        <v>6821</v>
      </c>
      <c r="D788" t="s">
        <v>7105</v>
      </c>
      <c r="E788" t="s">
        <v>6821</v>
      </c>
      <c r="G788" t="s">
        <v>815</v>
      </c>
      <c r="H788" t="s">
        <v>816</v>
      </c>
      <c r="J788" t="s">
        <v>817</v>
      </c>
      <c r="L788" t="s">
        <v>138</v>
      </c>
      <c r="M788" t="s">
        <v>108</v>
      </c>
      <c r="R788" t="s">
        <v>6821</v>
      </c>
      <c r="W788" t="s">
        <v>6821</v>
      </c>
      <c r="X788" t="s">
        <v>6962</v>
      </c>
      <c r="Y788" t="s">
        <v>1227</v>
      </c>
      <c r="Z788" t="s">
        <v>111</v>
      </c>
      <c r="AA788" t="str">
        <f>"13502-5416"</f>
        <v>13502-5416</v>
      </c>
      <c r="AB788" t="s">
        <v>123</v>
      </c>
      <c r="AC788" t="s">
        <v>113</v>
      </c>
      <c r="AD788" t="s">
        <v>108</v>
      </c>
      <c r="AE788" t="s">
        <v>114</v>
      </c>
      <c r="AF788" t="s">
        <v>115</v>
      </c>
      <c r="AG788" t="s">
        <v>116</v>
      </c>
      <c r="AK788" t="str">
        <f t="shared" si="81"/>
        <v>LAUTERBACH STEPHEN</v>
      </c>
      <c r="AL788" t="s">
        <v>7105</v>
      </c>
      <c r="AM788" t="s">
        <v>108</v>
      </c>
      <c r="AN788" t="s">
        <v>108</v>
      </c>
      <c r="AO788" t="s">
        <v>108</v>
      </c>
      <c r="AP788" t="s">
        <v>108</v>
      </c>
      <c r="AQ788" t="s">
        <v>108</v>
      </c>
      <c r="AR788" t="s">
        <v>108</v>
      </c>
      <c r="AS788" t="s">
        <v>108</v>
      </c>
      <c r="AT788" t="s">
        <v>108</v>
      </c>
      <c r="AU788">
        <v>0</v>
      </c>
      <c r="AV788" t="s">
        <v>108</v>
      </c>
      <c r="AW788" t="s">
        <v>108</v>
      </c>
      <c r="AX788" s="24" t="str">
        <f t="shared" si="79"/>
        <v/>
      </c>
      <c r="AY788" s="24">
        <f t="shared" si="79"/>
        <v>1</v>
      </c>
      <c r="AZ788" s="24" t="str">
        <f t="shared" si="83"/>
        <v/>
      </c>
      <c r="BA788" s="24" t="str">
        <f t="shared" si="83"/>
        <v/>
      </c>
      <c r="BB788" s="24" t="str">
        <f t="shared" si="83"/>
        <v/>
      </c>
      <c r="BC788" s="24" t="str">
        <f t="shared" si="83"/>
        <v/>
      </c>
      <c r="BD788" s="24" t="str">
        <f t="shared" si="83"/>
        <v/>
      </c>
      <c r="BE788" s="24" t="str">
        <f t="shared" si="83"/>
        <v/>
      </c>
      <c r="BF788" s="24" t="str">
        <f t="shared" si="83"/>
        <v/>
      </c>
      <c r="BG788" s="24" t="str">
        <f t="shared" si="83"/>
        <v/>
      </c>
      <c r="BH788" s="24" t="str">
        <f t="shared" si="82"/>
        <v/>
      </c>
      <c r="BI788" s="24">
        <f t="shared" si="83"/>
        <v>1</v>
      </c>
      <c r="BJ788" s="24" t="str">
        <f t="shared" si="84"/>
        <v/>
      </c>
    </row>
    <row r="789" spans="1:62" ht="15" customHeight="1" x14ac:dyDescent="0.25">
      <c r="A789" t="str">
        <f>"1184944191"</f>
        <v>1184944191</v>
      </c>
      <c r="B789" t="str">
        <f>"03350227"</f>
        <v>03350227</v>
      </c>
      <c r="C789" t="s">
        <v>4068</v>
      </c>
      <c r="D789" t="s">
        <v>4069</v>
      </c>
      <c r="E789" t="s">
        <v>4070</v>
      </c>
      <c r="L789" t="s">
        <v>138</v>
      </c>
      <c r="M789" t="s">
        <v>108</v>
      </c>
      <c r="R789" t="s">
        <v>4068</v>
      </c>
      <c r="W789" t="s">
        <v>4070</v>
      </c>
      <c r="X789" t="s">
        <v>2066</v>
      </c>
      <c r="Y789" t="s">
        <v>129</v>
      </c>
      <c r="Z789" t="s">
        <v>111</v>
      </c>
      <c r="AA789" t="str">
        <f>"13790-2176"</f>
        <v>13790-2176</v>
      </c>
      <c r="AB789" t="s">
        <v>123</v>
      </c>
      <c r="AC789" t="s">
        <v>113</v>
      </c>
      <c r="AD789" t="s">
        <v>108</v>
      </c>
      <c r="AE789" t="s">
        <v>114</v>
      </c>
      <c r="AF789" t="s">
        <v>115</v>
      </c>
      <c r="AG789" t="s">
        <v>116</v>
      </c>
      <c r="AK789" t="str">
        <f t="shared" si="81"/>
        <v/>
      </c>
      <c r="AL789" t="s">
        <v>4069</v>
      </c>
      <c r="AM789">
        <v>0</v>
      </c>
      <c r="AN789">
        <v>0</v>
      </c>
      <c r="AO789">
        <v>0</v>
      </c>
      <c r="AP789">
        <v>0</v>
      </c>
      <c r="AQ789">
        <v>0</v>
      </c>
      <c r="AR789">
        <v>0</v>
      </c>
      <c r="AS789">
        <v>0</v>
      </c>
      <c r="AT789">
        <v>0</v>
      </c>
      <c r="AU789">
        <v>0</v>
      </c>
      <c r="AV789">
        <v>0</v>
      </c>
      <c r="AW789">
        <v>0</v>
      </c>
      <c r="AX789" s="24" t="str">
        <f t="shared" si="79"/>
        <v/>
      </c>
      <c r="AY789" s="24">
        <f t="shared" si="79"/>
        <v>1</v>
      </c>
      <c r="AZ789" s="24" t="str">
        <f t="shared" si="83"/>
        <v/>
      </c>
      <c r="BA789" s="24" t="str">
        <f t="shared" si="83"/>
        <v/>
      </c>
      <c r="BB789" s="24" t="str">
        <f t="shared" si="83"/>
        <v/>
      </c>
      <c r="BC789" s="24" t="str">
        <f t="shared" si="83"/>
        <v/>
      </c>
      <c r="BD789" s="24" t="str">
        <f t="shared" si="83"/>
        <v/>
      </c>
      <c r="BE789" s="24" t="str">
        <f t="shared" si="83"/>
        <v/>
      </c>
      <c r="BF789" s="24" t="str">
        <f t="shared" si="83"/>
        <v/>
      </c>
      <c r="BG789" s="24" t="str">
        <f t="shared" si="83"/>
        <v/>
      </c>
      <c r="BH789" s="24" t="str">
        <f t="shared" si="82"/>
        <v/>
      </c>
      <c r="BI789" s="24">
        <f t="shared" si="83"/>
        <v>1</v>
      </c>
      <c r="BJ789" s="24" t="str">
        <f t="shared" si="84"/>
        <v/>
      </c>
    </row>
    <row r="790" spans="1:62" ht="15" customHeight="1" x14ac:dyDescent="0.25">
      <c r="A790" t="str">
        <f>"1831285279"</f>
        <v>1831285279</v>
      </c>
      <c r="B790" t="str">
        <f>"00968603"</f>
        <v>00968603</v>
      </c>
      <c r="C790" t="s">
        <v>2760</v>
      </c>
      <c r="D790" t="s">
        <v>2761</v>
      </c>
      <c r="E790" t="s">
        <v>2762</v>
      </c>
      <c r="G790" t="s">
        <v>2755</v>
      </c>
      <c r="H790" t="s">
        <v>2756</v>
      </c>
      <c r="J790" t="s">
        <v>2763</v>
      </c>
      <c r="L790" t="s">
        <v>138</v>
      </c>
      <c r="M790" t="s">
        <v>108</v>
      </c>
      <c r="R790" t="s">
        <v>2764</v>
      </c>
      <c r="W790" t="s">
        <v>2762</v>
      </c>
      <c r="X790" t="s">
        <v>1506</v>
      </c>
      <c r="Y790" t="s">
        <v>293</v>
      </c>
      <c r="Z790" t="s">
        <v>111</v>
      </c>
      <c r="AA790" t="str">
        <f>"14850-1345"</f>
        <v>14850-1345</v>
      </c>
      <c r="AB790" t="s">
        <v>123</v>
      </c>
      <c r="AC790" t="s">
        <v>113</v>
      </c>
      <c r="AD790" t="s">
        <v>108</v>
      </c>
      <c r="AE790" t="s">
        <v>114</v>
      </c>
      <c r="AF790" t="s">
        <v>142</v>
      </c>
      <c r="AG790" t="s">
        <v>116</v>
      </c>
      <c r="AK790" t="str">
        <f t="shared" si="81"/>
        <v/>
      </c>
      <c r="AL790" t="s">
        <v>2761</v>
      </c>
      <c r="AM790">
        <v>0</v>
      </c>
      <c r="AN790">
        <v>0</v>
      </c>
      <c r="AO790">
        <v>0</v>
      </c>
      <c r="AP790">
        <v>0</v>
      </c>
      <c r="AQ790">
        <v>0</v>
      </c>
      <c r="AR790">
        <v>0</v>
      </c>
      <c r="AS790">
        <v>0</v>
      </c>
      <c r="AT790">
        <v>0</v>
      </c>
      <c r="AU790">
        <v>0</v>
      </c>
      <c r="AV790">
        <v>0</v>
      </c>
      <c r="AW790">
        <v>0</v>
      </c>
      <c r="AX790" s="24" t="str">
        <f t="shared" si="79"/>
        <v/>
      </c>
      <c r="AY790" s="24">
        <f t="shared" si="79"/>
        <v>1</v>
      </c>
      <c r="AZ790" s="24" t="str">
        <f t="shared" si="83"/>
        <v/>
      </c>
      <c r="BA790" s="24" t="str">
        <f t="shared" si="83"/>
        <v/>
      </c>
      <c r="BB790" s="24" t="str">
        <f t="shared" si="83"/>
        <v/>
      </c>
      <c r="BC790" s="24" t="str">
        <f t="shared" si="83"/>
        <v/>
      </c>
      <c r="BD790" s="24" t="str">
        <f t="shared" si="83"/>
        <v/>
      </c>
      <c r="BE790" s="24" t="str">
        <f t="shared" si="83"/>
        <v/>
      </c>
      <c r="BF790" s="24" t="str">
        <f t="shared" si="83"/>
        <v/>
      </c>
      <c r="BG790" s="24" t="str">
        <f t="shared" si="83"/>
        <v/>
      </c>
      <c r="BH790" s="24" t="str">
        <f t="shared" si="82"/>
        <v/>
      </c>
      <c r="BI790" s="24">
        <f t="shared" si="83"/>
        <v>1</v>
      </c>
      <c r="BJ790" s="24" t="str">
        <f t="shared" si="84"/>
        <v/>
      </c>
    </row>
    <row r="791" spans="1:62" ht="15" customHeight="1" x14ac:dyDescent="0.25">
      <c r="A791" t="str">
        <f>"1417971011"</f>
        <v>1417971011</v>
      </c>
      <c r="B791" t="str">
        <f>"02509882"</f>
        <v>02509882</v>
      </c>
      <c r="C791" t="s">
        <v>6809</v>
      </c>
      <c r="D791" t="s">
        <v>7089</v>
      </c>
      <c r="E791" t="s">
        <v>7090</v>
      </c>
      <c r="G791" t="s">
        <v>1352</v>
      </c>
      <c r="H791" t="s">
        <v>1301</v>
      </c>
      <c r="J791" t="s">
        <v>1354</v>
      </c>
      <c r="L791" t="s">
        <v>138</v>
      </c>
      <c r="M791" t="s">
        <v>108</v>
      </c>
      <c r="R791" t="s">
        <v>6809</v>
      </c>
      <c r="W791" t="s">
        <v>6950</v>
      </c>
      <c r="X791" t="s">
        <v>3211</v>
      </c>
      <c r="Y791" t="s">
        <v>293</v>
      </c>
      <c r="Z791" t="s">
        <v>111</v>
      </c>
      <c r="AA791" t="str">
        <f>"14850-1397"</f>
        <v>14850-1397</v>
      </c>
      <c r="AB791" t="s">
        <v>123</v>
      </c>
      <c r="AC791" t="s">
        <v>113</v>
      </c>
      <c r="AD791" t="s">
        <v>108</v>
      </c>
      <c r="AE791" t="s">
        <v>114</v>
      </c>
      <c r="AF791" t="s">
        <v>142</v>
      </c>
      <c r="AG791" t="s">
        <v>116</v>
      </c>
      <c r="AK791" t="str">
        <f t="shared" si="81"/>
        <v>LAWRENCE ERIN MS.</v>
      </c>
      <c r="AL791" t="s">
        <v>7089</v>
      </c>
      <c r="AM791" t="s">
        <v>108</v>
      </c>
      <c r="AN791" t="s">
        <v>108</v>
      </c>
      <c r="AO791" t="s">
        <v>108</v>
      </c>
      <c r="AP791" t="s">
        <v>108</v>
      </c>
      <c r="AQ791" t="s">
        <v>108</v>
      </c>
      <c r="AR791" t="s">
        <v>108</v>
      </c>
      <c r="AS791" t="s">
        <v>108</v>
      </c>
      <c r="AT791" t="s">
        <v>108</v>
      </c>
      <c r="AU791">
        <v>0</v>
      </c>
      <c r="AV791" t="s">
        <v>108</v>
      </c>
      <c r="AW791" t="s">
        <v>108</v>
      </c>
      <c r="AX791" s="24" t="str">
        <f t="shared" si="79"/>
        <v/>
      </c>
      <c r="AY791" s="24">
        <f t="shared" si="79"/>
        <v>1</v>
      </c>
      <c r="AZ791" s="24" t="str">
        <f t="shared" si="83"/>
        <v/>
      </c>
      <c r="BA791" s="24" t="str">
        <f t="shared" si="83"/>
        <v/>
      </c>
      <c r="BB791" s="24" t="str">
        <f t="shared" si="83"/>
        <v/>
      </c>
      <c r="BC791" s="24" t="str">
        <f t="shared" si="83"/>
        <v/>
      </c>
      <c r="BD791" s="24" t="str">
        <f t="shared" si="83"/>
        <v/>
      </c>
      <c r="BE791" s="24" t="str">
        <f t="shared" si="83"/>
        <v/>
      </c>
      <c r="BF791" s="24" t="str">
        <f t="shared" si="83"/>
        <v/>
      </c>
      <c r="BG791" s="24" t="str">
        <f t="shared" si="83"/>
        <v/>
      </c>
      <c r="BH791" s="24" t="str">
        <f t="shared" si="82"/>
        <v/>
      </c>
      <c r="BI791" s="24">
        <f t="shared" si="83"/>
        <v>1</v>
      </c>
      <c r="BJ791" s="24" t="str">
        <f t="shared" si="84"/>
        <v/>
      </c>
    </row>
    <row r="792" spans="1:62" ht="15" customHeight="1" x14ac:dyDescent="0.25">
      <c r="A792" t="str">
        <f>"1962481069"</f>
        <v>1962481069</v>
      </c>
      <c r="B792" t="str">
        <f>"02700907"</f>
        <v>02700907</v>
      </c>
      <c r="C792" t="s">
        <v>4572</v>
      </c>
      <c r="D792" t="s">
        <v>4573</v>
      </c>
      <c r="E792" t="s">
        <v>4574</v>
      </c>
      <c r="G792" t="s">
        <v>6330</v>
      </c>
      <c r="H792" t="s">
        <v>6331</v>
      </c>
      <c r="J792" t="s">
        <v>6332</v>
      </c>
      <c r="L792" t="s">
        <v>120</v>
      </c>
      <c r="M792" t="s">
        <v>108</v>
      </c>
      <c r="R792" t="s">
        <v>4572</v>
      </c>
      <c r="W792" t="s">
        <v>4574</v>
      </c>
      <c r="X792" t="s">
        <v>1151</v>
      </c>
      <c r="Y792" t="s">
        <v>1152</v>
      </c>
      <c r="Z792" t="s">
        <v>111</v>
      </c>
      <c r="AA792" t="str">
        <f>"13326-1301"</f>
        <v>13326-1301</v>
      </c>
      <c r="AB792" t="s">
        <v>123</v>
      </c>
      <c r="AC792" t="s">
        <v>113</v>
      </c>
      <c r="AD792" t="s">
        <v>108</v>
      </c>
      <c r="AE792" t="s">
        <v>114</v>
      </c>
      <c r="AF792" t="s">
        <v>124</v>
      </c>
      <c r="AG792" t="s">
        <v>116</v>
      </c>
      <c r="AK792" t="str">
        <f t="shared" si="81"/>
        <v/>
      </c>
      <c r="AL792" t="s">
        <v>4573</v>
      </c>
      <c r="AM792">
        <v>1</v>
      </c>
      <c r="AN792">
        <v>1</v>
      </c>
      <c r="AO792">
        <v>0</v>
      </c>
      <c r="AP792">
        <v>1</v>
      </c>
      <c r="AQ792">
        <v>1</v>
      </c>
      <c r="AR792">
        <v>0</v>
      </c>
      <c r="AS792">
        <v>0</v>
      </c>
      <c r="AT792">
        <v>0</v>
      </c>
      <c r="AU792">
        <v>1</v>
      </c>
      <c r="AV792">
        <v>0</v>
      </c>
      <c r="AW792">
        <v>0</v>
      </c>
      <c r="AX792" s="24">
        <f t="shared" si="79"/>
        <v>1</v>
      </c>
      <c r="AY792" s="24" t="str">
        <f t="shared" si="79"/>
        <v/>
      </c>
      <c r="AZ792" s="24" t="str">
        <f t="shared" si="83"/>
        <v/>
      </c>
      <c r="BA792" s="24" t="str">
        <f t="shared" si="83"/>
        <v/>
      </c>
      <c r="BB792" s="24" t="str">
        <f t="shared" si="83"/>
        <v/>
      </c>
      <c r="BC792" s="24" t="str">
        <f t="shared" si="83"/>
        <v/>
      </c>
      <c r="BD792" s="24" t="str">
        <f t="shared" si="83"/>
        <v/>
      </c>
      <c r="BE792" s="24" t="str">
        <f t="shared" si="83"/>
        <v/>
      </c>
      <c r="BF792" s="24" t="str">
        <f t="shared" si="83"/>
        <v/>
      </c>
      <c r="BG792" s="24" t="str">
        <f t="shared" si="83"/>
        <v/>
      </c>
      <c r="BH792" s="24" t="str">
        <f t="shared" si="82"/>
        <v/>
      </c>
      <c r="BI792" s="24">
        <f t="shared" si="83"/>
        <v>1</v>
      </c>
      <c r="BJ792" s="24" t="str">
        <f t="shared" si="84"/>
        <v/>
      </c>
    </row>
    <row r="793" spans="1:62" ht="15" customHeight="1" x14ac:dyDescent="0.25">
      <c r="A793" t="str">
        <f>"1356312151"</f>
        <v>1356312151</v>
      </c>
      <c r="B793" t="str">
        <f>"00792810"</f>
        <v>00792810</v>
      </c>
      <c r="C793" t="s">
        <v>2246</v>
      </c>
      <c r="D793" t="s">
        <v>2247</v>
      </c>
      <c r="E793" t="s">
        <v>2248</v>
      </c>
      <c r="G793" t="s">
        <v>177</v>
      </c>
      <c r="H793" t="s">
        <v>178</v>
      </c>
      <c r="J793" t="s">
        <v>179</v>
      </c>
      <c r="L793" t="s">
        <v>138</v>
      </c>
      <c r="M793" t="s">
        <v>108</v>
      </c>
      <c r="R793" t="s">
        <v>2246</v>
      </c>
      <c r="W793" t="s">
        <v>2249</v>
      </c>
      <c r="X793" t="s">
        <v>186</v>
      </c>
      <c r="Y793" t="s">
        <v>181</v>
      </c>
      <c r="Z793" t="s">
        <v>182</v>
      </c>
      <c r="AA793" t="str">
        <f>"18840"</f>
        <v>18840</v>
      </c>
      <c r="AB793" t="s">
        <v>123</v>
      </c>
      <c r="AC793" t="s">
        <v>113</v>
      </c>
      <c r="AD793" t="s">
        <v>108</v>
      </c>
      <c r="AE793" t="s">
        <v>114</v>
      </c>
      <c r="AF793" t="s">
        <v>115</v>
      </c>
      <c r="AG793" t="s">
        <v>116</v>
      </c>
      <c r="AK793" t="str">
        <f t="shared" si="81"/>
        <v/>
      </c>
      <c r="AL793" t="s">
        <v>2247</v>
      </c>
      <c r="AM793">
        <v>0</v>
      </c>
      <c r="AN793">
        <v>0</v>
      </c>
      <c r="AO793">
        <v>0</v>
      </c>
      <c r="AP793">
        <v>0</v>
      </c>
      <c r="AQ793">
        <v>0</v>
      </c>
      <c r="AR793">
        <v>0</v>
      </c>
      <c r="AS793">
        <v>0</v>
      </c>
      <c r="AT793">
        <v>0</v>
      </c>
      <c r="AU793">
        <v>0</v>
      </c>
      <c r="AV793">
        <v>0</v>
      </c>
      <c r="AW793">
        <v>0</v>
      </c>
      <c r="AX793" s="24" t="str">
        <f t="shared" si="79"/>
        <v/>
      </c>
      <c r="AY793" s="24">
        <f t="shared" si="79"/>
        <v>1</v>
      </c>
      <c r="AZ793" s="24" t="str">
        <f t="shared" si="83"/>
        <v/>
      </c>
      <c r="BA793" s="24" t="str">
        <f t="shared" si="83"/>
        <v/>
      </c>
      <c r="BB793" s="24" t="str">
        <f t="shared" si="83"/>
        <v/>
      </c>
      <c r="BC793" s="24" t="str">
        <f t="shared" si="83"/>
        <v/>
      </c>
      <c r="BD793" s="24" t="str">
        <f t="shared" si="83"/>
        <v/>
      </c>
      <c r="BE793" s="24" t="str">
        <f t="shared" si="83"/>
        <v/>
      </c>
      <c r="BF793" s="24" t="str">
        <f t="shared" si="83"/>
        <v/>
      </c>
      <c r="BG793" s="24" t="str">
        <f t="shared" si="83"/>
        <v/>
      </c>
      <c r="BH793" s="24" t="str">
        <f t="shared" si="82"/>
        <v/>
      </c>
      <c r="BI793" s="24">
        <f t="shared" si="83"/>
        <v>1</v>
      </c>
      <c r="BJ793" s="24" t="str">
        <f t="shared" si="84"/>
        <v/>
      </c>
    </row>
    <row r="794" spans="1:62" ht="15" customHeight="1" x14ac:dyDescent="0.25">
      <c r="A794" t="str">
        <f>"1013981059"</f>
        <v>1013981059</v>
      </c>
      <c r="B794" t="str">
        <f>"00810628"</f>
        <v>00810628</v>
      </c>
      <c r="C794" t="s">
        <v>2490</v>
      </c>
      <c r="D794" t="s">
        <v>2491</v>
      </c>
      <c r="E794" t="s">
        <v>2492</v>
      </c>
      <c r="G794" t="s">
        <v>177</v>
      </c>
      <c r="H794" t="s">
        <v>178</v>
      </c>
      <c r="J794" t="s">
        <v>179</v>
      </c>
      <c r="L794" t="s">
        <v>138</v>
      </c>
      <c r="M794" t="s">
        <v>108</v>
      </c>
      <c r="R794" t="s">
        <v>2490</v>
      </c>
      <c r="W794" t="s">
        <v>2492</v>
      </c>
      <c r="X794" t="s">
        <v>2493</v>
      </c>
      <c r="Y794" t="s">
        <v>927</v>
      </c>
      <c r="Z794" t="s">
        <v>111</v>
      </c>
      <c r="AA794" t="str">
        <f>"14905-1627"</f>
        <v>14905-1627</v>
      </c>
      <c r="AB794" t="s">
        <v>123</v>
      </c>
      <c r="AC794" t="s">
        <v>113</v>
      </c>
      <c r="AD794" t="s">
        <v>108</v>
      </c>
      <c r="AE794" t="s">
        <v>114</v>
      </c>
      <c r="AF794" t="s">
        <v>149</v>
      </c>
      <c r="AG794" t="s">
        <v>116</v>
      </c>
      <c r="AK794" t="str">
        <f t="shared" si="81"/>
        <v/>
      </c>
      <c r="AL794" t="s">
        <v>2491</v>
      </c>
      <c r="AM794">
        <v>1</v>
      </c>
      <c r="AN794">
        <v>1</v>
      </c>
      <c r="AO794">
        <v>0</v>
      </c>
      <c r="AP794">
        <v>0</v>
      </c>
      <c r="AQ794">
        <v>0</v>
      </c>
      <c r="AR794">
        <v>0</v>
      </c>
      <c r="AS794">
        <v>0</v>
      </c>
      <c r="AT794">
        <v>0</v>
      </c>
      <c r="AU794">
        <v>0</v>
      </c>
      <c r="AV794">
        <v>1</v>
      </c>
      <c r="AW794">
        <v>0</v>
      </c>
      <c r="AX794" s="24" t="str">
        <f t="shared" si="79"/>
        <v/>
      </c>
      <c r="AY794" s="24">
        <f t="shared" si="79"/>
        <v>1</v>
      </c>
      <c r="AZ794" s="24" t="str">
        <f t="shared" si="83"/>
        <v/>
      </c>
      <c r="BA794" s="24" t="str">
        <f t="shared" si="83"/>
        <v/>
      </c>
      <c r="BB794" s="24" t="str">
        <f t="shared" si="83"/>
        <v/>
      </c>
      <c r="BC794" s="24" t="str">
        <f t="shared" si="83"/>
        <v/>
      </c>
      <c r="BD794" s="24" t="str">
        <f t="shared" si="83"/>
        <v/>
      </c>
      <c r="BE794" s="24" t="str">
        <f t="shared" si="83"/>
        <v/>
      </c>
      <c r="BF794" s="24" t="str">
        <f t="shared" si="83"/>
        <v/>
      </c>
      <c r="BG794" s="24" t="str">
        <f t="shared" si="83"/>
        <v/>
      </c>
      <c r="BH794" s="24" t="str">
        <f t="shared" si="82"/>
        <v/>
      </c>
      <c r="BI794" s="24">
        <f t="shared" si="83"/>
        <v>1</v>
      </c>
      <c r="BJ794" s="24" t="str">
        <f t="shared" si="84"/>
        <v/>
      </c>
    </row>
    <row r="795" spans="1:62" ht="15" customHeight="1" x14ac:dyDescent="0.25">
      <c r="A795" t="str">
        <f>"1447221189"</f>
        <v>1447221189</v>
      </c>
      <c r="B795" t="str">
        <f>"02411636"</f>
        <v>02411636</v>
      </c>
      <c r="C795" t="s">
        <v>2944</v>
      </c>
      <c r="D795" t="s">
        <v>2945</v>
      </c>
      <c r="E795" t="s">
        <v>2946</v>
      </c>
      <c r="G795" t="s">
        <v>177</v>
      </c>
      <c r="H795" t="s">
        <v>178</v>
      </c>
      <c r="J795" t="s">
        <v>179</v>
      </c>
      <c r="L795" t="s">
        <v>138</v>
      </c>
      <c r="M795" t="s">
        <v>108</v>
      </c>
      <c r="R795" t="s">
        <v>2944</v>
      </c>
      <c r="W795" t="s">
        <v>2946</v>
      </c>
      <c r="X795" t="s">
        <v>2947</v>
      </c>
      <c r="Y795" t="s">
        <v>592</v>
      </c>
      <c r="Z795" t="s">
        <v>111</v>
      </c>
      <c r="AA795" t="str">
        <f>"10467-2401"</f>
        <v>10467-2401</v>
      </c>
      <c r="AB795" t="s">
        <v>123</v>
      </c>
      <c r="AC795" t="s">
        <v>113</v>
      </c>
      <c r="AD795" t="s">
        <v>108</v>
      </c>
      <c r="AE795" t="s">
        <v>114</v>
      </c>
      <c r="AF795" t="s">
        <v>115</v>
      </c>
      <c r="AG795" t="s">
        <v>116</v>
      </c>
      <c r="AK795" t="str">
        <f t="shared" si="81"/>
        <v/>
      </c>
      <c r="AL795" t="s">
        <v>2945</v>
      </c>
      <c r="AM795">
        <v>1</v>
      </c>
      <c r="AN795">
        <v>1</v>
      </c>
      <c r="AO795">
        <v>0</v>
      </c>
      <c r="AP795">
        <v>0</v>
      </c>
      <c r="AQ795">
        <v>0</v>
      </c>
      <c r="AR795">
        <v>0</v>
      </c>
      <c r="AS795">
        <v>0</v>
      </c>
      <c r="AT795">
        <v>0</v>
      </c>
      <c r="AU795">
        <v>0</v>
      </c>
      <c r="AV795">
        <v>1</v>
      </c>
      <c r="AW795">
        <v>0</v>
      </c>
      <c r="AX795" s="24" t="str">
        <f t="shared" si="79"/>
        <v/>
      </c>
      <c r="AY795" s="24">
        <f t="shared" si="79"/>
        <v>1</v>
      </c>
      <c r="AZ795" s="24" t="str">
        <f t="shared" si="83"/>
        <v/>
      </c>
      <c r="BA795" s="24" t="str">
        <f t="shared" si="83"/>
        <v/>
      </c>
      <c r="BB795" s="24" t="str">
        <f t="shared" si="83"/>
        <v/>
      </c>
      <c r="BC795" s="24" t="str">
        <f t="shared" si="83"/>
        <v/>
      </c>
      <c r="BD795" s="24" t="str">
        <f t="shared" si="83"/>
        <v/>
      </c>
      <c r="BE795" s="24" t="str">
        <f t="shared" si="83"/>
        <v/>
      </c>
      <c r="BF795" s="24" t="str">
        <f t="shared" si="83"/>
        <v/>
      </c>
      <c r="BG795" s="24" t="str">
        <f t="shared" si="83"/>
        <v/>
      </c>
      <c r="BH795" s="24" t="str">
        <f t="shared" si="82"/>
        <v/>
      </c>
      <c r="BI795" s="24">
        <f t="shared" si="83"/>
        <v>1</v>
      </c>
      <c r="BJ795" s="24" t="str">
        <f t="shared" si="84"/>
        <v/>
      </c>
    </row>
    <row r="796" spans="1:62" ht="15" customHeight="1" x14ac:dyDescent="0.25">
      <c r="A796" t="str">
        <f>"1558410191"</f>
        <v>1558410191</v>
      </c>
      <c r="B796" t="str">
        <f>"03615547"</f>
        <v>03615547</v>
      </c>
      <c r="C796" t="s">
        <v>5011</v>
      </c>
      <c r="D796" t="s">
        <v>5012</v>
      </c>
      <c r="E796" t="s">
        <v>5011</v>
      </c>
      <c r="G796" t="s">
        <v>699</v>
      </c>
      <c r="H796" t="s">
        <v>700</v>
      </c>
      <c r="J796" t="s">
        <v>701</v>
      </c>
      <c r="L796" t="s">
        <v>120</v>
      </c>
      <c r="M796" t="s">
        <v>108</v>
      </c>
      <c r="R796" t="s">
        <v>5013</v>
      </c>
      <c r="W796" t="s">
        <v>5011</v>
      </c>
      <c r="X796" t="s">
        <v>196</v>
      </c>
      <c r="Y796" t="s">
        <v>181</v>
      </c>
      <c r="Z796" t="s">
        <v>182</v>
      </c>
      <c r="AA796" t="str">
        <f>"18840-1625"</f>
        <v>18840-1625</v>
      </c>
      <c r="AB796" t="s">
        <v>123</v>
      </c>
      <c r="AC796" t="s">
        <v>113</v>
      </c>
      <c r="AD796" t="s">
        <v>108</v>
      </c>
      <c r="AE796" t="s">
        <v>114</v>
      </c>
      <c r="AF796" t="s">
        <v>115</v>
      </c>
      <c r="AG796" t="s">
        <v>116</v>
      </c>
      <c r="AK796" t="str">
        <f t="shared" si="81"/>
        <v/>
      </c>
      <c r="AL796" t="s">
        <v>5012</v>
      </c>
      <c r="AM796">
        <v>1</v>
      </c>
      <c r="AN796">
        <v>1</v>
      </c>
      <c r="AO796">
        <v>0</v>
      </c>
      <c r="AP796">
        <v>0</v>
      </c>
      <c r="AQ796">
        <v>0</v>
      </c>
      <c r="AR796">
        <v>0</v>
      </c>
      <c r="AS796">
        <v>0</v>
      </c>
      <c r="AT796">
        <v>1</v>
      </c>
      <c r="AU796">
        <v>1</v>
      </c>
      <c r="AV796">
        <v>1</v>
      </c>
      <c r="AW796">
        <v>0</v>
      </c>
      <c r="AX796" s="24">
        <f t="shared" si="79"/>
        <v>1</v>
      </c>
      <c r="AY796" s="24" t="str">
        <f t="shared" si="79"/>
        <v/>
      </c>
      <c r="AZ796" s="24" t="str">
        <f t="shared" si="83"/>
        <v/>
      </c>
      <c r="BA796" s="24" t="str">
        <f t="shared" si="83"/>
        <v/>
      </c>
      <c r="BB796" s="24" t="str">
        <f t="shared" si="83"/>
        <v/>
      </c>
      <c r="BC796" s="24" t="str">
        <f t="shared" si="83"/>
        <v/>
      </c>
      <c r="BD796" s="24" t="str">
        <f t="shared" si="83"/>
        <v/>
      </c>
      <c r="BE796" s="24" t="str">
        <f t="shared" si="83"/>
        <v/>
      </c>
      <c r="BF796" s="24" t="str">
        <f t="shared" si="83"/>
        <v/>
      </c>
      <c r="BG796" s="24" t="str">
        <f t="shared" si="83"/>
        <v/>
      </c>
      <c r="BH796" s="24" t="str">
        <f t="shared" si="82"/>
        <v/>
      </c>
      <c r="BI796" s="24">
        <f t="shared" si="83"/>
        <v>1</v>
      </c>
      <c r="BJ796" s="24" t="str">
        <f t="shared" si="84"/>
        <v/>
      </c>
    </row>
    <row r="797" spans="1:62" ht="15" customHeight="1" x14ac:dyDescent="0.25">
      <c r="A797" t="str">
        <f>"1992083042"</f>
        <v>1992083042</v>
      </c>
      <c r="B797" t="str">
        <f>"04019081"</f>
        <v>04019081</v>
      </c>
      <c r="C797" t="s">
        <v>6544</v>
      </c>
      <c r="D797" t="s">
        <v>6545</v>
      </c>
      <c r="E797" t="s">
        <v>6546</v>
      </c>
      <c r="G797" t="s">
        <v>1352</v>
      </c>
      <c r="H797" t="s">
        <v>1683</v>
      </c>
      <c r="J797" t="s">
        <v>1354</v>
      </c>
      <c r="L797" t="s">
        <v>247</v>
      </c>
      <c r="M797" t="s">
        <v>108</v>
      </c>
      <c r="R797" t="s">
        <v>6547</v>
      </c>
      <c r="W797" t="s">
        <v>6548</v>
      </c>
      <c r="X797" t="s">
        <v>6549</v>
      </c>
      <c r="Y797" t="s">
        <v>2510</v>
      </c>
      <c r="Z797" t="s">
        <v>111</v>
      </c>
      <c r="AA797" t="str">
        <f>"13077-1528"</f>
        <v>13077-1528</v>
      </c>
      <c r="AB797" t="s">
        <v>123</v>
      </c>
      <c r="AC797" t="s">
        <v>113</v>
      </c>
      <c r="AD797" t="s">
        <v>108</v>
      </c>
      <c r="AE797" t="s">
        <v>114</v>
      </c>
      <c r="AF797" t="s">
        <v>142</v>
      </c>
      <c r="AG797" t="s">
        <v>116</v>
      </c>
      <c r="AK797" t="str">
        <f t="shared" si="81"/>
        <v>Leonard Kelly</v>
      </c>
      <c r="AL797" t="s">
        <v>6545</v>
      </c>
      <c r="AM797" t="s">
        <v>108</v>
      </c>
      <c r="AN797" t="s">
        <v>108</v>
      </c>
      <c r="AO797" t="s">
        <v>108</v>
      </c>
      <c r="AP797" t="s">
        <v>108</v>
      </c>
      <c r="AQ797" t="s">
        <v>108</v>
      </c>
      <c r="AR797" t="s">
        <v>108</v>
      </c>
      <c r="AS797" t="s">
        <v>108</v>
      </c>
      <c r="AT797" t="s">
        <v>108</v>
      </c>
      <c r="AU797">
        <v>0</v>
      </c>
      <c r="AV797" t="s">
        <v>108</v>
      </c>
      <c r="AW797" t="s">
        <v>108</v>
      </c>
      <c r="AX797" s="24" t="str">
        <f t="shared" si="79"/>
        <v/>
      </c>
      <c r="AY797" s="24">
        <f t="shared" si="79"/>
        <v>1</v>
      </c>
      <c r="AZ797" s="24" t="str">
        <f t="shared" si="83"/>
        <v/>
      </c>
      <c r="BA797" s="24" t="str">
        <f t="shared" si="83"/>
        <v/>
      </c>
      <c r="BB797" s="24" t="str">
        <f t="shared" si="83"/>
        <v/>
      </c>
      <c r="BC797" s="24" t="str">
        <f t="shared" si="83"/>
        <v/>
      </c>
      <c r="BD797" s="24" t="str">
        <f t="shared" si="83"/>
        <v/>
      </c>
      <c r="BE797" s="24" t="str">
        <f t="shared" si="83"/>
        <v/>
      </c>
      <c r="BF797" s="24" t="str">
        <f t="shared" si="83"/>
        <v/>
      </c>
      <c r="BG797" s="24" t="str">
        <f t="shared" si="83"/>
        <v/>
      </c>
      <c r="BH797" s="24" t="str">
        <f t="shared" si="82"/>
        <v/>
      </c>
      <c r="BI797" s="24" t="str">
        <f t="shared" si="83"/>
        <v/>
      </c>
      <c r="BJ797" s="24" t="str">
        <f t="shared" si="84"/>
        <v/>
      </c>
    </row>
    <row r="798" spans="1:62" ht="15" customHeight="1" x14ac:dyDescent="0.25">
      <c r="A798" t="str">
        <f>"1821166307"</f>
        <v>1821166307</v>
      </c>
      <c r="B798" t="str">
        <f>"00652433"</f>
        <v>00652433</v>
      </c>
      <c r="C798" t="s">
        <v>5519</v>
      </c>
      <c r="D798" t="s">
        <v>5520</v>
      </c>
      <c r="E798" t="s">
        <v>5521</v>
      </c>
      <c r="G798" t="s">
        <v>5522</v>
      </c>
      <c r="H798" t="s">
        <v>5523</v>
      </c>
      <c r="L798" t="s">
        <v>120</v>
      </c>
      <c r="M798" t="s">
        <v>139</v>
      </c>
      <c r="R798" t="s">
        <v>5519</v>
      </c>
      <c r="W798" t="s">
        <v>5524</v>
      </c>
      <c r="X798" t="s">
        <v>2367</v>
      </c>
      <c r="Y798" t="s">
        <v>2368</v>
      </c>
      <c r="Z798" t="s">
        <v>111</v>
      </c>
      <c r="AA798" t="str">
        <f>"14886-9201"</f>
        <v>14886-9201</v>
      </c>
      <c r="AB798" t="s">
        <v>123</v>
      </c>
      <c r="AC798" t="s">
        <v>113</v>
      </c>
      <c r="AD798" t="s">
        <v>108</v>
      </c>
      <c r="AE798" t="s">
        <v>114</v>
      </c>
      <c r="AF798" t="s">
        <v>142</v>
      </c>
      <c r="AG798" t="s">
        <v>116</v>
      </c>
      <c r="AK798" t="str">
        <f t="shared" si="81"/>
        <v/>
      </c>
      <c r="AL798" t="s">
        <v>5520</v>
      </c>
      <c r="AM798">
        <v>0</v>
      </c>
      <c r="AN798">
        <v>0</v>
      </c>
      <c r="AO798">
        <v>0</v>
      </c>
      <c r="AP798">
        <v>0</v>
      </c>
      <c r="AQ798">
        <v>0</v>
      </c>
      <c r="AR798">
        <v>0</v>
      </c>
      <c r="AS798">
        <v>0</v>
      </c>
      <c r="AT798">
        <v>0</v>
      </c>
      <c r="AU798">
        <v>0</v>
      </c>
      <c r="AV798">
        <v>0</v>
      </c>
      <c r="AW798">
        <v>0</v>
      </c>
      <c r="AX798" s="24">
        <f t="shared" si="79"/>
        <v>1</v>
      </c>
      <c r="AY798" s="24" t="str">
        <f t="shared" si="79"/>
        <v/>
      </c>
      <c r="AZ798" s="24" t="str">
        <f t="shared" si="83"/>
        <v/>
      </c>
      <c r="BA798" s="24" t="str">
        <f t="shared" si="83"/>
        <v/>
      </c>
      <c r="BB798" s="24" t="str">
        <f t="shared" si="83"/>
        <v/>
      </c>
      <c r="BC798" s="24" t="str">
        <f t="shared" si="83"/>
        <v/>
      </c>
      <c r="BD798" s="24" t="str">
        <f t="shared" si="83"/>
        <v/>
      </c>
      <c r="BE798" s="24" t="str">
        <f t="shared" si="83"/>
        <v/>
      </c>
      <c r="BF798" s="24" t="str">
        <f t="shared" si="83"/>
        <v/>
      </c>
      <c r="BG798" s="24" t="str">
        <f t="shared" si="83"/>
        <v/>
      </c>
      <c r="BH798" s="24" t="str">
        <f t="shared" si="82"/>
        <v/>
      </c>
      <c r="BI798" s="24">
        <f t="shared" si="83"/>
        <v>1</v>
      </c>
      <c r="BJ798" s="24" t="str">
        <f t="shared" si="84"/>
        <v/>
      </c>
    </row>
    <row r="799" spans="1:62" ht="15" customHeight="1" x14ac:dyDescent="0.25">
      <c r="A799" t="str">
        <f>"1851362594"</f>
        <v>1851362594</v>
      </c>
      <c r="B799" t="str">
        <f>"01761302"</f>
        <v>01761302</v>
      </c>
      <c r="C799" t="s">
        <v>5014</v>
      </c>
      <c r="D799" t="s">
        <v>5015</v>
      </c>
      <c r="E799" t="s">
        <v>5014</v>
      </c>
      <c r="G799" t="s">
        <v>699</v>
      </c>
      <c r="H799" t="s">
        <v>700</v>
      </c>
      <c r="J799" t="s">
        <v>701</v>
      </c>
      <c r="L799" t="s">
        <v>120</v>
      </c>
      <c r="M799" t="s">
        <v>108</v>
      </c>
      <c r="R799" t="s">
        <v>5016</v>
      </c>
      <c r="W799" t="s">
        <v>5014</v>
      </c>
      <c r="X799" t="s">
        <v>5017</v>
      </c>
      <c r="Y799" t="s">
        <v>865</v>
      </c>
      <c r="Z799" t="s">
        <v>111</v>
      </c>
      <c r="AA799" t="str">
        <f>"11212-5638"</f>
        <v>11212-5638</v>
      </c>
      <c r="AB799" t="s">
        <v>123</v>
      </c>
      <c r="AC799" t="s">
        <v>113</v>
      </c>
      <c r="AD799" t="s">
        <v>108</v>
      </c>
      <c r="AE799" t="s">
        <v>114</v>
      </c>
      <c r="AF799" t="s">
        <v>149</v>
      </c>
      <c r="AG799" t="s">
        <v>116</v>
      </c>
      <c r="AK799" t="str">
        <f t="shared" si="81"/>
        <v/>
      </c>
      <c r="AL799" t="s">
        <v>5015</v>
      </c>
      <c r="AM799">
        <v>1</v>
      </c>
      <c r="AN799">
        <v>1</v>
      </c>
      <c r="AO799">
        <v>0</v>
      </c>
      <c r="AP799">
        <v>0</v>
      </c>
      <c r="AQ799">
        <v>0</v>
      </c>
      <c r="AR799">
        <v>0</v>
      </c>
      <c r="AS799">
        <v>0</v>
      </c>
      <c r="AT799">
        <v>1</v>
      </c>
      <c r="AU799">
        <v>1</v>
      </c>
      <c r="AV799">
        <v>1</v>
      </c>
      <c r="AW799">
        <v>0</v>
      </c>
      <c r="AX799" s="24">
        <f t="shared" si="79"/>
        <v>1</v>
      </c>
      <c r="AY799" s="24" t="str">
        <f t="shared" si="79"/>
        <v/>
      </c>
      <c r="AZ799" s="24" t="str">
        <f t="shared" si="83"/>
        <v/>
      </c>
      <c r="BA799" s="24" t="str">
        <f t="shared" si="83"/>
        <v/>
      </c>
      <c r="BB799" s="24" t="str">
        <f t="shared" si="83"/>
        <v/>
      </c>
      <c r="BC799" s="24" t="str">
        <f t="shared" si="83"/>
        <v/>
      </c>
      <c r="BD799" s="24" t="str">
        <f t="shared" si="83"/>
        <v/>
      </c>
      <c r="BE799" s="24" t="str">
        <f t="shared" si="83"/>
        <v/>
      </c>
      <c r="BF799" s="24" t="str">
        <f t="shared" si="83"/>
        <v/>
      </c>
      <c r="BG799" s="24" t="str">
        <f t="shared" si="83"/>
        <v/>
      </c>
      <c r="BH799" s="24" t="str">
        <f t="shared" si="82"/>
        <v/>
      </c>
      <c r="BI799" s="24">
        <f t="shared" si="83"/>
        <v>1</v>
      </c>
      <c r="BJ799" s="24" t="str">
        <f t="shared" si="84"/>
        <v/>
      </c>
    </row>
    <row r="800" spans="1:62" ht="15" customHeight="1" x14ac:dyDescent="0.25">
      <c r="C800" t="s">
        <v>6845</v>
      </c>
      <c r="G800" t="s">
        <v>1996</v>
      </c>
      <c r="H800" t="s">
        <v>1294</v>
      </c>
      <c r="J800" t="s">
        <v>1997</v>
      </c>
      <c r="K800" t="s">
        <v>1597</v>
      </c>
      <c r="L800" t="s">
        <v>781</v>
      </c>
      <c r="M800" t="s">
        <v>108</v>
      </c>
      <c r="AC800" t="s">
        <v>113</v>
      </c>
      <c r="AD800" t="s">
        <v>108</v>
      </c>
      <c r="AE800" t="s">
        <v>784</v>
      </c>
      <c r="AF800" t="s">
        <v>142</v>
      </c>
      <c r="AG800" t="s">
        <v>116</v>
      </c>
      <c r="AK800" t="str">
        <f t="shared" si="81"/>
        <v/>
      </c>
      <c r="AL800" t="s">
        <v>6845</v>
      </c>
      <c r="AM800">
        <v>1</v>
      </c>
      <c r="AN800">
        <v>1</v>
      </c>
      <c r="AO800" t="s">
        <v>108</v>
      </c>
      <c r="AP800" t="s">
        <v>108</v>
      </c>
      <c r="AQ800" t="s">
        <v>108</v>
      </c>
      <c r="AR800" t="s">
        <v>108</v>
      </c>
      <c r="AS800" t="s">
        <v>108</v>
      </c>
      <c r="AT800" t="s">
        <v>108</v>
      </c>
      <c r="AU800">
        <v>0</v>
      </c>
      <c r="AV800" t="s">
        <v>108</v>
      </c>
      <c r="AW800" t="s">
        <v>108</v>
      </c>
      <c r="AX800" s="24" t="str">
        <f t="shared" si="79"/>
        <v/>
      </c>
      <c r="AY800" s="24" t="str">
        <f t="shared" si="79"/>
        <v/>
      </c>
      <c r="AZ800" s="24" t="str">
        <f t="shared" si="83"/>
        <v/>
      </c>
      <c r="BA800" s="24" t="str">
        <f t="shared" si="83"/>
        <v/>
      </c>
      <c r="BB800" s="24" t="str">
        <f t="shared" si="83"/>
        <v/>
      </c>
      <c r="BC800" s="24" t="str">
        <f t="shared" si="83"/>
        <v/>
      </c>
      <c r="BD800" s="24" t="str">
        <f t="shared" si="83"/>
        <v/>
      </c>
      <c r="BE800" s="24" t="str">
        <f t="shared" si="83"/>
        <v/>
      </c>
      <c r="BF800" s="24" t="str">
        <f t="shared" si="83"/>
        <v/>
      </c>
      <c r="BG800" s="24" t="str">
        <f t="shared" si="83"/>
        <v/>
      </c>
      <c r="BH800" s="24">
        <f t="shared" si="82"/>
        <v>1</v>
      </c>
      <c r="BI800" s="24" t="str">
        <f t="shared" si="83"/>
        <v/>
      </c>
      <c r="BJ800" s="24" t="str">
        <f t="shared" si="84"/>
        <v/>
      </c>
    </row>
    <row r="801" spans="1:62" ht="15" customHeight="1" x14ac:dyDescent="0.25">
      <c r="B801" t="str">
        <f>"03869665"</f>
        <v>03869665</v>
      </c>
      <c r="C801" t="s">
        <v>1995</v>
      </c>
      <c r="D801" t="s">
        <v>2879</v>
      </c>
      <c r="E801" t="s">
        <v>1995</v>
      </c>
      <c r="G801" t="s">
        <v>2880</v>
      </c>
      <c r="H801" t="s">
        <v>2881</v>
      </c>
      <c r="J801" t="s">
        <v>2882</v>
      </c>
      <c r="L801" t="s">
        <v>133</v>
      </c>
      <c r="M801" t="s">
        <v>108</v>
      </c>
      <c r="W801" t="s">
        <v>1995</v>
      </c>
      <c r="X801" t="s">
        <v>2001</v>
      </c>
      <c r="Y801" t="s">
        <v>141</v>
      </c>
      <c r="Z801" t="s">
        <v>111</v>
      </c>
      <c r="AA801" t="str">
        <f>"13203-2730"</f>
        <v>13203-2730</v>
      </c>
      <c r="AB801" t="s">
        <v>165</v>
      </c>
      <c r="AC801" t="s">
        <v>113</v>
      </c>
      <c r="AD801" t="s">
        <v>108</v>
      </c>
      <c r="AE801" t="s">
        <v>114</v>
      </c>
      <c r="AF801" t="s">
        <v>142</v>
      </c>
      <c r="AG801" t="s">
        <v>116</v>
      </c>
      <c r="AK801" t="str">
        <f t="shared" si="81"/>
        <v>LIBERTY RESOURCES INC</v>
      </c>
      <c r="AL801" t="s">
        <v>2879</v>
      </c>
      <c r="AM801" t="s">
        <v>108</v>
      </c>
      <c r="AN801" t="s">
        <v>108</v>
      </c>
      <c r="AO801" t="s">
        <v>108</v>
      </c>
      <c r="AP801" t="s">
        <v>108</v>
      </c>
      <c r="AQ801" t="s">
        <v>108</v>
      </c>
      <c r="AR801" t="s">
        <v>108</v>
      </c>
      <c r="AS801" t="s">
        <v>108</v>
      </c>
      <c r="AT801" t="s">
        <v>108</v>
      </c>
      <c r="AU801">
        <v>0</v>
      </c>
      <c r="AV801" t="s">
        <v>108</v>
      </c>
      <c r="AW801" t="s">
        <v>108</v>
      </c>
      <c r="AX801" s="24" t="str">
        <f t="shared" si="79"/>
        <v/>
      </c>
      <c r="AY801" s="24" t="str">
        <f t="shared" si="79"/>
        <v/>
      </c>
      <c r="AZ801" s="24" t="str">
        <f t="shared" si="83"/>
        <v/>
      </c>
      <c r="BA801" s="24" t="str">
        <f t="shared" si="83"/>
        <v/>
      </c>
      <c r="BB801" s="24" t="str">
        <f t="shared" si="83"/>
        <v/>
      </c>
      <c r="BC801" s="24" t="str">
        <f t="shared" si="83"/>
        <v/>
      </c>
      <c r="BD801" s="24" t="str">
        <f t="shared" si="83"/>
        <v/>
      </c>
      <c r="BE801" s="24" t="str">
        <f t="shared" si="83"/>
        <v/>
      </c>
      <c r="BF801" s="24" t="str">
        <f t="shared" si="83"/>
        <v/>
      </c>
      <c r="BG801" s="24" t="str">
        <f t="shared" si="83"/>
        <v/>
      </c>
      <c r="BH801" s="24" t="str">
        <f t="shared" si="82"/>
        <v/>
      </c>
      <c r="BI801" s="24" t="str">
        <f t="shared" si="83"/>
        <v/>
      </c>
      <c r="BJ801" s="24">
        <f t="shared" si="84"/>
        <v>1</v>
      </c>
    </row>
    <row r="802" spans="1:62" ht="15" customHeight="1" x14ac:dyDescent="0.25">
      <c r="B802" t="str">
        <f>"03296100"</f>
        <v>03296100</v>
      </c>
      <c r="C802" t="s">
        <v>1291</v>
      </c>
      <c r="D802" t="s">
        <v>1292</v>
      </c>
      <c r="E802" t="s">
        <v>1291</v>
      </c>
      <c r="G802" t="s">
        <v>1293</v>
      </c>
      <c r="H802" t="s">
        <v>1294</v>
      </c>
      <c r="J802" t="s">
        <v>1295</v>
      </c>
      <c r="L802" t="s">
        <v>68</v>
      </c>
      <c r="M802" t="s">
        <v>108</v>
      </c>
      <c r="W802" t="s">
        <v>1291</v>
      </c>
      <c r="X802" t="s">
        <v>1296</v>
      </c>
      <c r="Y802" t="s">
        <v>239</v>
      </c>
      <c r="Z802" t="s">
        <v>111</v>
      </c>
      <c r="AA802" t="str">
        <f>"13045-2555"</f>
        <v>13045-2555</v>
      </c>
      <c r="AB802" t="s">
        <v>165</v>
      </c>
      <c r="AC802" t="s">
        <v>113</v>
      </c>
      <c r="AD802" t="s">
        <v>108</v>
      </c>
      <c r="AE802" t="s">
        <v>114</v>
      </c>
      <c r="AF802" t="s">
        <v>142</v>
      </c>
      <c r="AG802" t="s">
        <v>116</v>
      </c>
      <c r="AK802" t="str">
        <f t="shared" si="81"/>
        <v/>
      </c>
      <c r="AL802" t="s">
        <v>1292</v>
      </c>
      <c r="AM802">
        <v>1</v>
      </c>
      <c r="AN802">
        <v>1</v>
      </c>
      <c r="AO802">
        <v>0</v>
      </c>
      <c r="AP802">
        <v>0</v>
      </c>
      <c r="AQ802">
        <v>0</v>
      </c>
      <c r="AR802">
        <v>0</v>
      </c>
      <c r="AS802">
        <v>0</v>
      </c>
      <c r="AT802">
        <v>0</v>
      </c>
      <c r="AU802">
        <v>0</v>
      </c>
      <c r="AV802">
        <v>0</v>
      </c>
      <c r="AW802">
        <v>0</v>
      </c>
      <c r="AX802" s="24" t="str">
        <f t="shared" si="79"/>
        <v/>
      </c>
      <c r="AY802" s="24" t="str">
        <f t="shared" si="79"/>
        <v/>
      </c>
      <c r="AZ802" s="24" t="str">
        <f t="shared" si="83"/>
        <v/>
      </c>
      <c r="BA802" s="24" t="str">
        <f t="shared" si="83"/>
        <v/>
      </c>
      <c r="BB802" s="24" t="str">
        <f t="shared" si="83"/>
        <v/>
      </c>
      <c r="BC802" s="24" t="str">
        <f t="shared" si="83"/>
        <v/>
      </c>
      <c r="BD802" s="24" t="str">
        <f t="shared" si="83"/>
        <v/>
      </c>
      <c r="BE802" s="24" t="str">
        <f t="shared" si="83"/>
        <v/>
      </c>
      <c r="BF802" s="24" t="str">
        <f t="shared" si="83"/>
        <v/>
      </c>
      <c r="BG802" s="24" t="str">
        <f t="shared" si="83"/>
        <v/>
      </c>
      <c r="BH802" s="24" t="str">
        <f t="shared" si="82"/>
        <v/>
      </c>
      <c r="BI802" s="24">
        <f t="shared" si="83"/>
        <v>1</v>
      </c>
      <c r="BJ802" s="24" t="str">
        <f t="shared" si="84"/>
        <v/>
      </c>
    </row>
    <row r="803" spans="1:62" ht="15" customHeight="1" x14ac:dyDescent="0.25">
      <c r="A803" t="str">
        <f>"1225254881"</f>
        <v>1225254881</v>
      </c>
      <c r="B803" t="str">
        <f>"02994810"</f>
        <v>02994810</v>
      </c>
      <c r="C803" t="s">
        <v>1993</v>
      </c>
      <c r="D803" t="s">
        <v>1994</v>
      </c>
      <c r="E803" t="s">
        <v>1995</v>
      </c>
      <c r="G803" t="s">
        <v>1996</v>
      </c>
      <c r="H803" t="s">
        <v>1294</v>
      </c>
      <c r="J803" t="s">
        <v>1997</v>
      </c>
      <c r="L803" t="s">
        <v>6870</v>
      </c>
      <c r="M803" t="s">
        <v>139</v>
      </c>
      <c r="R803" t="s">
        <v>1999</v>
      </c>
      <c r="W803" t="s">
        <v>2000</v>
      </c>
      <c r="X803" t="s">
        <v>2001</v>
      </c>
      <c r="Y803" t="s">
        <v>141</v>
      </c>
      <c r="Z803" t="s">
        <v>111</v>
      </c>
      <c r="AA803" t="str">
        <f>"13203-2703"</f>
        <v>13203-2703</v>
      </c>
      <c r="AB803" t="s">
        <v>385</v>
      </c>
      <c r="AC803" t="s">
        <v>113</v>
      </c>
      <c r="AD803" t="s">
        <v>108</v>
      </c>
      <c r="AE803" t="s">
        <v>114</v>
      </c>
      <c r="AF803" t="s">
        <v>124</v>
      </c>
      <c r="AG803" t="s">
        <v>116</v>
      </c>
      <c r="AK803" t="str">
        <f t="shared" si="81"/>
        <v/>
      </c>
      <c r="AL803" t="s">
        <v>1994</v>
      </c>
      <c r="AM803">
        <v>1</v>
      </c>
      <c r="AN803">
        <v>1</v>
      </c>
      <c r="AO803">
        <v>0</v>
      </c>
      <c r="AP803">
        <v>0</v>
      </c>
      <c r="AQ803">
        <v>0</v>
      </c>
      <c r="AR803">
        <v>0</v>
      </c>
      <c r="AS803">
        <v>0</v>
      </c>
      <c r="AT803">
        <v>0</v>
      </c>
      <c r="AU803">
        <v>0</v>
      </c>
      <c r="AV803">
        <v>0</v>
      </c>
      <c r="AW803">
        <v>0</v>
      </c>
      <c r="AX803" s="24" t="str">
        <f t="shared" si="79"/>
        <v/>
      </c>
      <c r="AY803" s="24" t="str">
        <f t="shared" si="79"/>
        <v/>
      </c>
      <c r="AZ803" s="24" t="str">
        <f t="shared" si="83"/>
        <v/>
      </c>
      <c r="BA803" s="24" t="str">
        <f t="shared" si="83"/>
        <v/>
      </c>
      <c r="BB803" s="24">
        <f t="shared" si="83"/>
        <v>1</v>
      </c>
      <c r="BC803" s="24">
        <f t="shared" si="83"/>
        <v>1</v>
      </c>
      <c r="BD803" s="24">
        <f t="shared" si="83"/>
        <v>1</v>
      </c>
      <c r="BE803" s="24" t="str">
        <f t="shared" si="83"/>
        <v/>
      </c>
      <c r="BF803" s="24" t="str">
        <f t="shared" si="83"/>
        <v/>
      </c>
      <c r="BG803" s="24" t="str">
        <f t="shared" si="83"/>
        <v/>
      </c>
      <c r="BH803" s="24" t="str">
        <f t="shared" si="82"/>
        <v/>
      </c>
      <c r="BI803" s="24">
        <f t="shared" si="83"/>
        <v>1</v>
      </c>
      <c r="BJ803" s="24" t="str">
        <f t="shared" si="84"/>
        <v/>
      </c>
    </row>
    <row r="804" spans="1:62" ht="15" customHeight="1" x14ac:dyDescent="0.25">
      <c r="B804" t="str">
        <f>"01386718"</f>
        <v>01386718</v>
      </c>
      <c r="C804" t="s">
        <v>1993</v>
      </c>
      <c r="D804" t="s">
        <v>2002</v>
      </c>
      <c r="E804" t="s">
        <v>1995</v>
      </c>
      <c r="G804" t="s">
        <v>1996</v>
      </c>
      <c r="H804" t="s">
        <v>1294</v>
      </c>
      <c r="J804" t="s">
        <v>1997</v>
      </c>
      <c r="L804" t="s">
        <v>133</v>
      </c>
      <c r="M804" t="s">
        <v>108</v>
      </c>
      <c r="W804" t="s">
        <v>1995</v>
      </c>
      <c r="X804" t="s">
        <v>2003</v>
      </c>
      <c r="Y804" t="s">
        <v>904</v>
      </c>
      <c r="Z804" t="s">
        <v>111</v>
      </c>
      <c r="AA804" t="str">
        <f>"13421-1806"</f>
        <v>13421-1806</v>
      </c>
      <c r="AB804" t="s">
        <v>165</v>
      </c>
      <c r="AC804" t="s">
        <v>113</v>
      </c>
      <c r="AD804" t="s">
        <v>108</v>
      </c>
      <c r="AE804" t="s">
        <v>114</v>
      </c>
      <c r="AF804" t="s">
        <v>124</v>
      </c>
      <c r="AG804" t="s">
        <v>116</v>
      </c>
      <c r="AK804" t="str">
        <f t="shared" si="81"/>
        <v>Liberty Resources, Inc.</v>
      </c>
      <c r="AL804" t="s">
        <v>2002</v>
      </c>
      <c r="AM804" t="s">
        <v>108</v>
      </c>
      <c r="AN804" t="s">
        <v>108</v>
      </c>
      <c r="AO804" t="s">
        <v>108</v>
      </c>
      <c r="AP804" t="s">
        <v>108</v>
      </c>
      <c r="AQ804" t="s">
        <v>108</v>
      </c>
      <c r="AR804" t="s">
        <v>108</v>
      </c>
      <c r="AS804" t="s">
        <v>108</v>
      </c>
      <c r="AT804" t="s">
        <v>108</v>
      </c>
      <c r="AU804">
        <v>0</v>
      </c>
      <c r="AV804" t="s">
        <v>108</v>
      </c>
      <c r="AW804" t="s">
        <v>108</v>
      </c>
      <c r="AX804" s="24" t="str">
        <f t="shared" si="79"/>
        <v/>
      </c>
      <c r="AY804" s="24" t="str">
        <f t="shared" si="79"/>
        <v/>
      </c>
      <c r="AZ804" s="24" t="str">
        <f t="shared" si="83"/>
        <v/>
      </c>
      <c r="BA804" s="24" t="str">
        <f t="shared" ref="AZ804:BI829" si="85">IF(ISERROR(FIND(BA$1,$L804,1)),"",1)</f>
        <v/>
      </c>
      <c r="BB804" s="24" t="str">
        <f t="shared" si="85"/>
        <v/>
      </c>
      <c r="BC804" s="24" t="str">
        <f t="shared" si="85"/>
        <v/>
      </c>
      <c r="BD804" s="24" t="str">
        <f t="shared" si="85"/>
        <v/>
      </c>
      <c r="BE804" s="24" t="str">
        <f t="shared" si="85"/>
        <v/>
      </c>
      <c r="BF804" s="24" t="str">
        <f t="shared" si="85"/>
        <v/>
      </c>
      <c r="BG804" s="24" t="str">
        <f t="shared" si="85"/>
        <v/>
      </c>
      <c r="BH804" s="24" t="str">
        <f t="shared" si="82"/>
        <v/>
      </c>
      <c r="BI804" s="24" t="str">
        <f t="shared" si="85"/>
        <v/>
      </c>
      <c r="BJ804" s="24">
        <f t="shared" si="84"/>
        <v>1</v>
      </c>
    </row>
    <row r="805" spans="1:62" ht="15" customHeight="1" x14ac:dyDescent="0.25">
      <c r="B805" t="str">
        <f>"01227274"</f>
        <v>01227274</v>
      </c>
      <c r="C805" t="s">
        <v>1993</v>
      </c>
      <c r="D805" t="s">
        <v>1994</v>
      </c>
      <c r="E805" t="s">
        <v>1995</v>
      </c>
      <c r="G805" t="s">
        <v>1996</v>
      </c>
      <c r="H805" t="s">
        <v>1294</v>
      </c>
      <c r="J805" t="s">
        <v>1997</v>
      </c>
      <c r="L805" t="s">
        <v>6870</v>
      </c>
      <c r="M805" t="s">
        <v>139</v>
      </c>
      <c r="W805" t="s">
        <v>2000</v>
      </c>
      <c r="X805" t="s">
        <v>2498</v>
      </c>
      <c r="Y805" t="s">
        <v>904</v>
      </c>
      <c r="Z805" t="s">
        <v>111</v>
      </c>
      <c r="AA805" t="str">
        <f>"13421-1626"</f>
        <v>13421-1626</v>
      </c>
      <c r="AB805" t="s">
        <v>165</v>
      </c>
      <c r="AC805" t="s">
        <v>113</v>
      </c>
      <c r="AD805" t="s">
        <v>108</v>
      </c>
      <c r="AE805" t="s">
        <v>114</v>
      </c>
      <c r="AF805" t="s">
        <v>124</v>
      </c>
      <c r="AG805" t="s">
        <v>116</v>
      </c>
      <c r="AK805" t="str">
        <f t="shared" si="81"/>
        <v/>
      </c>
      <c r="AL805" t="s">
        <v>1994</v>
      </c>
      <c r="AM805">
        <v>1</v>
      </c>
      <c r="AN805">
        <v>1</v>
      </c>
      <c r="AO805">
        <v>0</v>
      </c>
      <c r="AP805">
        <v>0</v>
      </c>
      <c r="AQ805">
        <v>0</v>
      </c>
      <c r="AR805">
        <v>0</v>
      </c>
      <c r="AS805">
        <v>0</v>
      </c>
      <c r="AT805">
        <v>0</v>
      </c>
      <c r="AU805">
        <v>0</v>
      </c>
      <c r="AV805">
        <v>0</v>
      </c>
      <c r="AW805">
        <v>0</v>
      </c>
      <c r="AX805" s="24" t="str">
        <f t="shared" si="79"/>
        <v/>
      </c>
      <c r="AY805" s="24" t="str">
        <f t="shared" si="79"/>
        <v/>
      </c>
      <c r="AZ805" s="24" t="str">
        <f t="shared" si="85"/>
        <v/>
      </c>
      <c r="BA805" s="24" t="str">
        <f t="shared" si="85"/>
        <v/>
      </c>
      <c r="BB805" s="24">
        <f t="shared" si="85"/>
        <v>1</v>
      </c>
      <c r="BC805" s="24">
        <f t="shared" si="85"/>
        <v>1</v>
      </c>
      <c r="BD805" s="24">
        <f t="shared" si="85"/>
        <v>1</v>
      </c>
      <c r="BE805" s="24" t="str">
        <f t="shared" si="85"/>
        <v/>
      </c>
      <c r="BF805" s="24" t="str">
        <f t="shared" si="85"/>
        <v/>
      </c>
      <c r="BG805" s="24" t="str">
        <f t="shared" si="85"/>
        <v/>
      </c>
      <c r="BH805" s="24" t="str">
        <f t="shared" si="82"/>
        <v/>
      </c>
      <c r="BI805" s="24">
        <f t="shared" si="85"/>
        <v>1</v>
      </c>
      <c r="BJ805" s="24" t="str">
        <f t="shared" si="84"/>
        <v/>
      </c>
    </row>
    <row r="806" spans="1:62" ht="15" customHeight="1" x14ac:dyDescent="0.25">
      <c r="B806" t="str">
        <f>"01304847"</f>
        <v>01304847</v>
      </c>
      <c r="C806" t="s">
        <v>1993</v>
      </c>
      <c r="D806" t="s">
        <v>1994</v>
      </c>
      <c r="E806" t="s">
        <v>1995</v>
      </c>
      <c r="G806" t="s">
        <v>1996</v>
      </c>
      <c r="H806" t="s">
        <v>1294</v>
      </c>
      <c r="J806" t="s">
        <v>1997</v>
      </c>
      <c r="L806" t="s">
        <v>6870</v>
      </c>
      <c r="M806" t="s">
        <v>139</v>
      </c>
      <c r="W806" t="s">
        <v>1995</v>
      </c>
      <c r="X806" t="s">
        <v>2499</v>
      </c>
      <c r="Y806" t="s">
        <v>904</v>
      </c>
      <c r="Z806" t="s">
        <v>111</v>
      </c>
      <c r="AA806" t="str">
        <f>"13421"</f>
        <v>13421</v>
      </c>
      <c r="AB806" t="s">
        <v>165</v>
      </c>
      <c r="AC806" t="s">
        <v>113</v>
      </c>
      <c r="AD806" t="s">
        <v>108</v>
      </c>
      <c r="AE806" t="s">
        <v>114</v>
      </c>
      <c r="AF806" t="s">
        <v>124</v>
      </c>
      <c r="AG806" t="s">
        <v>116</v>
      </c>
      <c r="AK806" t="str">
        <f t="shared" si="81"/>
        <v/>
      </c>
      <c r="AL806" t="s">
        <v>1994</v>
      </c>
      <c r="AM806">
        <v>1</v>
      </c>
      <c r="AN806">
        <v>1</v>
      </c>
      <c r="AO806">
        <v>0</v>
      </c>
      <c r="AP806">
        <v>0</v>
      </c>
      <c r="AQ806">
        <v>0</v>
      </c>
      <c r="AR806">
        <v>0</v>
      </c>
      <c r="AS806">
        <v>0</v>
      </c>
      <c r="AT806">
        <v>0</v>
      </c>
      <c r="AU806">
        <v>0</v>
      </c>
      <c r="AV806">
        <v>0</v>
      </c>
      <c r="AW806">
        <v>0</v>
      </c>
      <c r="AX806" s="24" t="str">
        <f t="shared" si="79"/>
        <v/>
      </c>
      <c r="AY806" s="24" t="str">
        <f t="shared" si="79"/>
        <v/>
      </c>
      <c r="AZ806" s="24" t="str">
        <f t="shared" si="85"/>
        <v/>
      </c>
      <c r="BA806" s="24" t="str">
        <f t="shared" si="85"/>
        <v/>
      </c>
      <c r="BB806" s="24">
        <f t="shared" si="85"/>
        <v>1</v>
      </c>
      <c r="BC806" s="24">
        <f t="shared" si="85"/>
        <v>1</v>
      </c>
      <c r="BD806" s="24">
        <f t="shared" si="85"/>
        <v>1</v>
      </c>
      <c r="BE806" s="24" t="str">
        <f t="shared" si="85"/>
        <v/>
      </c>
      <c r="BF806" s="24" t="str">
        <f t="shared" si="85"/>
        <v/>
      </c>
      <c r="BG806" s="24" t="str">
        <f t="shared" si="85"/>
        <v/>
      </c>
      <c r="BH806" s="24" t="str">
        <f t="shared" si="82"/>
        <v/>
      </c>
      <c r="BI806" s="24">
        <f t="shared" si="85"/>
        <v>1</v>
      </c>
      <c r="BJ806" s="24" t="str">
        <f t="shared" si="84"/>
        <v/>
      </c>
    </row>
    <row r="807" spans="1:62" ht="15" customHeight="1" x14ac:dyDescent="0.25">
      <c r="A807" t="str">
        <f>"1780677864"</f>
        <v>1780677864</v>
      </c>
      <c r="B807" t="str">
        <f>"00958512"</f>
        <v>00958512</v>
      </c>
      <c r="C807" t="s">
        <v>419</v>
      </c>
      <c r="D807" t="s">
        <v>420</v>
      </c>
      <c r="E807" t="s">
        <v>421</v>
      </c>
      <c r="G807" t="s">
        <v>419</v>
      </c>
      <c r="H807" t="s">
        <v>403</v>
      </c>
      <c r="J807" t="s">
        <v>422</v>
      </c>
      <c r="L807" t="s">
        <v>138</v>
      </c>
      <c r="M807" t="s">
        <v>108</v>
      </c>
      <c r="R807" t="s">
        <v>423</v>
      </c>
      <c r="W807" t="s">
        <v>424</v>
      </c>
      <c r="X807" t="s">
        <v>425</v>
      </c>
      <c r="Y807" t="s">
        <v>110</v>
      </c>
      <c r="Z807" t="s">
        <v>111</v>
      </c>
      <c r="AA807" t="str">
        <f>"13903"</f>
        <v>13903</v>
      </c>
      <c r="AB807" t="s">
        <v>123</v>
      </c>
      <c r="AC807" t="s">
        <v>113</v>
      </c>
      <c r="AD807" t="s">
        <v>108</v>
      </c>
      <c r="AE807" t="s">
        <v>114</v>
      </c>
      <c r="AF807" t="s">
        <v>115</v>
      </c>
      <c r="AG807" t="s">
        <v>116</v>
      </c>
      <c r="AK807" t="str">
        <f t="shared" si="81"/>
        <v/>
      </c>
      <c r="AL807" t="s">
        <v>420</v>
      </c>
      <c r="AM807">
        <v>0</v>
      </c>
      <c r="AN807">
        <v>0</v>
      </c>
      <c r="AO807">
        <v>0</v>
      </c>
      <c r="AP807">
        <v>0</v>
      </c>
      <c r="AQ807">
        <v>0</v>
      </c>
      <c r="AR807">
        <v>0</v>
      </c>
      <c r="AS807">
        <v>0</v>
      </c>
      <c r="AT807">
        <v>0</v>
      </c>
      <c r="AU807">
        <v>0</v>
      </c>
      <c r="AV807">
        <v>0</v>
      </c>
      <c r="AW807">
        <v>0</v>
      </c>
      <c r="AX807" s="24" t="str">
        <f t="shared" si="79"/>
        <v/>
      </c>
      <c r="AY807" s="24">
        <f t="shared" si="79"/>
        <v>1</v>
      </c>
      <c r="AZ807" s="24" t="str">
        <f t="shared" si="85"/>
        <v/>
      </c>
      <c r="BA807" s="24" t="str">
        <f t="shared" si="85"/>
        <v/>
      </c>
      <c r="BB807" s="24" t="str">
        <f t="shared" si="85"/>
        <v/>
      </c>
      <c r="BC807" s="24" t="str">
        <f t="shared" si="85"/>
        <v/>
      </c>
      <c r="BD807" s="24" t="str">
        <f t="shared" si="85"/>
        <v/>
      </c>
      <c r="BE807" s="24" t="str">
        <f t="shared" si="85"/>
        <v/>
      </c>
      <c r="BF807" s="24" t="str">
        <f t="shared" si="85"/>
        <v/>
      </c>
      <c r="BG807" s="24" t="str">
        <f t="shared" si="85"/>
        <v/>
      </c>
      <c r="BH807" s="24" t="str">
        <f t="shared" si="82"/>
        <v/>
      </c>
      <c r="BI807" s="24">
        <f t="shared" si="85"/>
        <v>1</v>
      </c>
      <c r="BJ807" s="24" t="str">
        <f t="shared" si="84"/>
        <v/>
      </c>
    </row>
    <row r="808" spans="1:62" ht="15" customHeight="1" x14ac:dyDescent="0.25">
      <c r="A808" t="str">
        <f>"1528139490"</f>
        <v>1528139490</v>
      </c>
      <c r="B808" t="str">
        <f>"02328976"</f>
        <v>02328976</v>
      </c>
      <c r="C808" t="s">
        <v>5951</v>
      </c>
      <c r="D808" t="s">
        <v>5952</v>
      </c>
      <c r="E808" t="s">
        <v>5953</v>
      </c>
      <c r="G808" t="s">
        <v>815</v>
      </c>
      <c r="H808" t="s">
        <v>816</v>
      </c>
      <c r="J808" t="s">
        <v>817</v>
      </c>
      <c r="L808" t="s">
        <v>138</v>
      </c>
      <c r="M808" t="s">
        <v>108</v>
      </c>
      <c r="R808" t="s">
        <v>5954</v>
      </c>
      <c r="W808" t="s">
        <v>5955</v>
      </c>
      <c r="X808" t="s">
        <v>204</v>
      </c>
      <c r="Y808" t="s">
        <v>110</v>
      </c>
      <c r="Z808" t="s">
        <v>111</v>
      </c>
      <c r="AA808" t="str">
        <f>"13905-4246"</f>
        <v>13905-4246</v>
      </c>
      <c r="AB808" t="s">
        <v>123</v>
      </c>
      <c r="AC808" t="s">
        <v>113</v>
      </c>
      <c r="AD808" t="s">
        <v>108</v>
      </c>
      <c r="AE808" t="s">
        <v>114</v>
      </c>
      <c r="AF808" t="s">
        <v>115</v>
      </c>
      <c r="AG808" t="s">
        <v>116</v>
      </c>
      <c r="AK808" t="str">
        <f t="shared" si="81"/>
        <v>Linda K. Tuyn, FNP</v>
      </c>
      <c r="AL808" t="s">
        <v>5952</v>
      </c>
      <c r="AM808" t="s">
        <v>108</v>
      </c>
      <c r="AN808" t="s">
        <v>108</v>
      </c>
      <c r="AO808" t="s">
        <v>108</v>
      </c>
      <c r="AP808" t="s">
        <v>108</v>
      </c>
      <c r="AQ808" t="s">
        <v>108</v>
      </c>
      <c r="AR808" t="s">
        <v>108</v>
      </c>
      <c r="AS808" t="s">
        <v>108</v>
      </c>
      <c r="AT808" t="s">
        <v>108</v>
      </c>
      <c r="AU808">
        <v>0</v>
      </c>
      <c r="AV808" t="s">
        <v>108</v>
      </c>
      <c r="AW808" t="s">
        <v>108</v>
      </c>
      <c r="AX808" s="24" t="str">
        <f t="shared" ref="AX808:AY871" si="86">IF(ISERROR(FIND(AX$1,$L808,1)),"",1)</f>
        <v/>
      </c>
      <c r="AY808" s="24">
        <f t="shared" si="86"/>
        <v>1</v>
      </c>
      <c r="AZ808" s="24" t="str">
        <f t="shared" si="85"/>
        <v/>
      </c>
      <c r="BA808" s="24" t="str">
        <f t="shared" si="85"/>
        <v/>
      </c>
      <c r="BB808" s="24" t="str">
        <f t="shared" si="85"/>
        <v/>
      </c>
      <c r="BC808" s="24" t="str">
        <f t="shared" si="85"/>
        <v/>
      </c>
      <c r="BD808" s="24" t="str">
        <f t="shared" si="85"/>
        <v/>
      </c>
      <c r="BE808" s="24" t="str">
        <f t="shared" si="85"/>
        <v/>
      </c>
      <c r="BF808" s="24" t="str">
        <f t="shared" si="85"/>
        <v/>
      </c>
      <c r="BG808" s="24" t="str">
        <f t="shared" si="85"/>
        <v/>
      </c>
      <c r="BH808" s="24" t="str">
        <f t="shared" si="82"/>
        <v/>
      </c>
      <c r="BI808" s="24">
        <f t="shared" si="85"/>
        <v>1</v>
      </c>
      <c r="BJ808" s="24" t="str">
        <f t="shared" si="84"/>
        <v/>
      </c>
    </row>
    <row r="809" spans="1:62" ht="15" customHeight="1" x14ac:dyDescent="0.25">
      <c r="A809" t="str">
        <f>"1750324307"</f>
        <v>1750324307</v>
      </c>
      <c r="B809" t="str">
        <f>"03561240"</f>
        <v>03561240</v>
      </c>
      <c r="C809" t="s">
        <v>2962</v>
      </c>
      <c r="D809" t="s">
        <v>2963</v>
      </c>
      <c r="E809" t="s">
        <v>2964</v>
      </c>
      <c r="G809" t="s">
        <v>177</v>
      </c>
      <c r="H809" t="s">
        <v>178</v>
      </c>
      <c r="J809" t="s">
        <v>179</v>
      </c>
      <c r="L809" t="s">
        <v>138</v>
      </c>
      <c r="M809" t="s">
        <v>108</v>
      </c>
      <c r="R809" t="s">
        <v>2962</v>
      </c>
      <c r="W809" t="s">
        <v>2964</v>
      </c>
      <c r="X809" t="s">
        <v>196</v>
      </c>
      <c r="Y809" t="s">
        <v>181</v>
      </c>
      <c r="Z809" t="s">
        <v>182</v>
      </c>
      <c r="AA809" t="str">
        <f>"18840-1625"</f>
        <v>18840-1625</v>
      </c>
      <c r="AB809" t="s">
        <v>123</v>
      </c>
      <c r="AC809" t="s">
        <v>113</v>
      </c>
      <c r="AD809" t="s">
        <v>108</v>
      </c>
      <c r="AE809" t="s">
        <v>114</v>
      </c>
      <c r="AF809" t="s">
        <v>115</v>
      </c>
      <c r="AG809" t="s">
        <v>116</v>
      </c>
      <c r="AK809" t="str">
        <f t="shared" si="81"/>
        <v/>
      </c>
      <c r="AL809" t="s">
        <v>2963</v>
      </c>
      <c r="AM809">
        <v>0</v>
      </c>
      <c r="AN809">
        <v>0</v>
      </c>
      <c r="AO809">
        <v>0</v>
      </c>
      <c r="AP809">
        <v>0</v>
      </c>
      <c r="AQ809">
        <v>0</v>
      </c>
      <c r="AR809">
        <v>0</v>
      </c>
      <c r="AS809">
        <v>0</v>
      </c>
      <c r="AT809">
        <v>0</v>
      </c>
      <c r="AU809">
        <v>0</v>
      </c>
      <c r="AV809">
        <v>0</v>
      </c>
      <c r="AW809">
        <v>0</v>
      </c>
      <c r="AX809" s="24" t="str">
        <f t="shared" si="86"/>
        <v/>
      </c>
      <c r="AY809" s="24">
        <f t="shared" si="86"/>
        <v>1</v>
      </c>
      <c r="AZ809" s="24" t="str">
        <f t="shared" si="85"/>
        <v/>
      </c>
      <c r="BA809" s="24" t="str">
        <f t="shared" si="85"/>
        <v/>
      </c>
      <c r="BB809" s="24" t="str">
        <f t="shared" si="85"/>
        <v/>
      </c>
      <c r="BC809" s="24" t="str">
        <f t="shared" si="85"/>
        <v/>
      </c>
      <c r="BD809" s="24" t="str">
        <f t="shared" si="85"/>
        <v/>
      </c>
      <c r="BE809" s="24" t="str">
        <f t="shared" si="85"/>
        <v/>
      </c>
      <c r="BF809" s="24" t="str">
        <f t="shared" si="85"/>
        <v/>
      </c>
      <c r="BG809" s="24" t="str">
        <f t="shared" si="85"/>
        <v/>
      </c>
      <c r="BH809" s="24" t="str">
        <f t="shared" si="82"/>
        <v/>
      </c>
      <c r="BI809" s="24">
        <f t="shared" si="85"/>
        <v>1</v>
      </c>
      <c r="BJ809" s="24" t="str">
        <f t="shared" si="84"/>
        <v/>
      </c>
    </row>
    <row r="810" spans="1:62" ht="15" customHeight="1" x14ac:dyDescent="0.25">
      <c r="A810" t="str">
        <f>"1558628255"</f>
        <v>1558628255</v>
      </c>
      <c r="B810" t="str">
        <f>"04148716"</f>
        <v>04148716</v>
      </c>
      <c r="C810" t="s">
        <v>6585</v>
      </c>
      <c r="D810" t="s">
        <v>6586</v>
      </c>
      <c r="E810" t="s">
        <v>6587</v>
      </c>
      <c r="G810" t="s">
        <v>6302</v>
      </c>
      <c r="H810" t="s">
        <v>3155</v>
      </c>
      <c r="J810" t="s">
        <v>6303</v>
      </c>
      <c r="L810" t="s">
        <v>6867</v>
      </c>
      <c r="M810" t="s">
        <v>108</v>
      </c>
      <c r="R810" t="s">
        <v>6588</v>
      </c>
      <c r="W810" t="s">
        <v>6587</v>
      </c>
      <c r="X810" t="s">
        <v>3158</v>
      </c>
      <c r="Y810" t="s">
        <v>293</v>
      </c>
      <c r="Z810" t="s">
        <v>111</v>
      </c>
      <c r="AA810" t="str">
        <f>"14850-1055"</f>
        <v>14850-1055</v>
      </c>
      <c r="AB810" t="s">
        <v>123</v>
      </c>
      <c r="AC810" t="s">
        <v>113</v>
      </c>
      <c r="AD810" t="s">
        <v>108</v>
      </c>
      <c r="AE810" t="s">
        <v>114</v>
      </c>
      <c r="AF810" t="s">
        <v>142</v>
      </c>
      <c r="AG810" t="s">
        <v>116</v>
      </c>
      <c r="AK810" t="str">
        <f t="shared" si="81"/>
        <v>Lindsay Tamborelle</v>
      </c>
      <c r="AL810" t="s">
        <v>6586</v>
      </c>
      <c r="AM810" t="s">
        <v>108</v>
      </c>
      <c r="AN810" t="s">
        <v>108</v>
      </c>
      <c r="AO810" t="s">
        <v>108</v>
      </c>
      <c r="AP810" t="s">
        <v>108</v>
      </c>
      <c r="AQ810" t="s">
        <v>108</v>
      </c>
      <c r="AR810" t="s">
        <v>108</v>
      </c>
      <c r="AS810" t="s">
        <v>108</v>
      </c>
      <c r="AT810" t="s">
        <v>108</v>
      </c>
      <c r="AU810">
        <v>0</v>
      </c>
      <c r="AV810" t="s">
        <v>108</v>
      </c>
      <c r="AW810" t="s">
        <v>108</v>
      </c>
      <c r="AX810" s="24">
        <f t="shared" si="86"/>
        <v>1</v>
      </c>
      <c r="AY810" s="24">
        <f t="shared" si="86"/>
        <v>1</v>
      </c>
      <c r="AZ810" s="24" t="str">
        <f t="shared" si="85"/>
        <v/>
      </c>
      <c r="BA810" s="24" t="str">
        <f t="shared" si="85"/>
        <v/>
      </c>
      <c r="BB810" s="24" t="str">
        <f t="shared" si="85"/>
        <v/>
      </c>
      <c r="BC810" s="24" t="str">
        <f t="shared" si="85"/>
        <v/>
      </c>
      <c r="BD810" s="24" t="str">
        <f t="shared" si="85"/>
        <v/>
      </c>
      <c r="BE810" s="24" t="str">
        <f t="shared" si="85"/>
        <v/>
      </c>
      <c r="BF810" s="24" t="str">
        <f t="shared" si="85"/>
        <v/>
      </c>
      <c r="BG810" s="24" t="str">
        <f t="shared" si="85"/>
        <v/>
      </c>
      <c r="BH810" s="24" t="str">
        <f t="shared" si="82"/>
        <v/>
      </c>
      <c r="BI810" s="24">
        <f t="shared" si="85"/>
        <v>1</v>
      </c>
      <c r="BJ810" s="24" t="str">
        <f t="shared" si="84"/>
        <v/>
      </c>
    </row>
    <row r="811" spans="1:62" ht="15" customHeight="1" x14ac:dyDescent="0.25">
      <c r="A811" t="str">
        <f>"1154322493"</f>
        <v>1154322493</v>
      </c>
      <c r="B811" t="str">
        <f>"00487105"</f>
        <v>00487105</v>
      </c>
      <c r="C811" t="s">
        <v>3577</v>
      </c>
      <c r="D811" t="s">
        <v>3578</v>
      </c>
      <c r="E811" t="s">
        <v>3579</v>
      </c>
      <c r="G811" t="s">
        <v>3566</v>
      </c>
      <c r="H811" t="s">
        <v>3567</v>
      </c>
      <c r="J811" t="s">
        <v>3580</v>
      </c>
      <c r="L811" t="s">
        <v>138</v>
      </c>
      <c r="M811" t="s">
        <v>108</v>
      </c>
      <c r="R811" t="s">
        <v>3581</v>
      </c>
      <c r="W811" t="s">
        <v>3582</v>
      </c>
      <c r="X811" t="s">
        <v>3583</v>
      </c>
      <c r="Y811" t="s">
        <v>1053</v>
      </c>
      <c r="Z811" t="s">
        <v>111</v>
      </c>
      <c r="AA811" t="str">
        <f>"14607-4000"</f>
        <v>14607-4000</v>
      </c>
      <c r="AB811" t="s">
        <v>123</v>
      </c>
      <c r="AC811" t="s">
        <v>113</v>
      </c>
      <c r="AD811" t="s">
        <v>108</v>
      </c>
      <c r="AE811" t="s">
        <v>114</v>
      </c>
      <c r="AF811" t="s">
        <v>142</v>
      </c>
      <c r="AG811" t="s">
        <v>116</v>
      </c>
      <c r="AK811" t="str">
        <f t="shared" si="81"/>
        <v/>
      </c>
      <c r="AL811" t="s">
        <v>3578</v>
      </c>
      <c r="AM811">
        <v>1</v>
      </c>
      <c r="AN811">
        <v>1</v>
      </c>
      <c r="AO811">
        <v>0</v>
      </c>
      <c r="AP811">
        <v>0</v>
      </c>
      <c r="AQ811">
        <v>0</v>
      </c>
      <c r="AR811">
        <v>0</v>
      </c>
      <c r="AS811">
        <v>0</v>
      </c>
      <c r="AT811">
        <v>0</v>
      </c>
      <c r="AU811">
        <v>0</v>
      </c>
      <c r="AV811">
        <v>0</v>
      </c>
      <c r="AW811">
        <v>0</v>
      </c>
      <c r="AX811" s="24" t="str">
        <f t="shared" si="86"/>
        <v/>
      </c>
      <c r="AY811" s="24">
        <f t="shared" si="86"/>
        <v>1</v>
      </c>
      <c r="AZ811" s="24" t="str">
        <f t="shared" si="85"/>
        <v/>
      </c>
      <c r="BA811" s="24" t="str">
        <f t="shared" si="85"/>
        <v/>
      </c>
      <c r="BB811" s="24" t="str">
        <f t="shared" si="85"/>
        <v/>
      </c>
      <c r="BC811" s="24" t="str">
        <f t="shared" si="85"/>
        <v/>
      </c>
      <c r="BD811" s="24" t="str">
        <f t="shared" si="85"/>
        <v/>
      </c>
      <c r="BE811" s="24" t="str">
        <f t="shared" si="85"/>
        <v/>
      </c>
      <c r="BF811" s="24" t="str">
        <f t="shared" si="85"/>
        <v/>
      </c>
      <c r="BG811" s="24" t="str">
        <f t="shared" si="85"/>
        <v/>
      </c>
      <c r="BH811" s="24" t="str">
        <f t="shared" si="82"/>
        <v/>
      </c>
      <c r="BI811" s="24">
        <f t="shared" si="85"/>
        <v>1</v>
      </c>
      <c r="BJ811" s="24" t="str">
        <f t="shared" si="84"/>
        <v/>
      </c>
    </row>
    <row r="812" spans="1:62" ht="15" customHeight="1" x14ac:dyDescent="0.25">
      <c r="A812" t="str">
        <f>"1730486945"</f>
        <v>1730486945</v>
      </c>
      <c r="B812" t="str">
        <f>"03687914"</f>
        <v>03687914</v>
      </c>
      <c r="C812" t="s">
        <v>3171</v>
      </c>
      <c r="D812" t="s">
        <v>3172</v>
      </c>
      <c r="E812" t="s">
        <v>3173</v>
      </c>
      <c r="G812" t="s">
        <v>3174</v>
      </c>
      <c r="H812" t="s">
        <v>3175</v>
      </c>
      <c r="J812" t="s">
        <v>3176</v>
      </c>
      <c r="L812" t="s">
        <v>138</v>
      </c>
      <c r="M812" t="s">
        <v>108</v>
      </c>
      <c r="R812" t="s">
        <v>3173</v>
      </c>
      <c r="W812" t="s">
        <v>3177</v>
      </c>
      <c r="X812" t="s">
        <v>3178</v>
      </c>
      <c r="Y812" t="s">
        <v>293</v>
      </c>
      <c r="Z812" t="s">
        <v>111</v>
      </c>
      <c r="AA812" t="str">
        <f>"14850-1869"</f>
        <v>14850-1869</v>
      </c>
      <c r="AB812" t="s">
        <v>123</v>
      </c>
      <c r="AC812" t="s">
        <v>113</v>
      </c>
      <c r="AD812" t="s">
        <v>108</v>
      </c>
      <c r="AE812" t="s">
        <v>114</v>
      </c>
      <c r="AF812" t="s">
        <v>142</v>
      </c>
      <c r="AG812" t="s">
        <v>116</v>
      </c>
      <c r="AK812" t="str">
        <f t="shared" si="81"/>
        <v/>
      </c>
      <c r="AL812" t="s">
        <v>3172</v>
      </c>
      <c r="AM812">
        <v>1</v>
      </c>
      <c r="AN812">
        <v>1</v>
      </c>
      <c r="AO812">
        <v>0</v>
      </c>
      <c r="AP812">
        <v>0</v>
      </c>
      <c r="AQ812">
        <v>0</v>
      </c>
      <c r="AR812">
        <v>0</v>
      </c>
      <c r="AS812">
        <v>0</v>
      </c>
      <c r="AT812">
        <v>0</v>
      </c>
      <c r="AU812">
        <v>0</v>
      </c>
      <c r="AV812">
        <v>0</v>
      </c>
      <c r="AW812">
        <v>0</v>
      </c>
      <c r="AX812" s="24" t="str">
        <f t="shared" si="86"/>
        <v/>
      </c>
      <c r="AY812" s="24">
        <f t="shared" si="86"/>
        <v>1</v>
      </c>
      <c r="AZ812" s="24" t="str">
        <f t="shared" si="85"/>
        <v/>
      </c>
      <c r="BA812" s="24" t="str">
        <f t="shared" si="85"/>
        <v/>
      </c>
      <c r="BB812" s="24" t="str">
        <f t="shared" si="85"/>
        <v/>
      </c>
      <c r="BC812" s="24" t="str">
        <f t="shared" si="85"/>
        <v/>
      </c>
      <c r="BD812" s="24" t="str">
        <f t="shared" si="85"/>
        <v/>
      </c>
      <c r="BE812" s="24" t="str">
        <f t="shared" si="85"/>
        <v/>
      </c>
      <c r="BF812" s="24" t="str">
        <f t="shared" si="85"/>
        <v/>
      </c>
      <c r="BG812" s="24" t="str">
        <f t="shared" si="85"/>
        <v/>
      </c>
      <c r="BH812" s="24" t="str">
        <f t="shared" si="82"/>
        <v/>
      </c>
      <c r="BI812" s="24">
        <f t="shared" si="85"/>
        <v>1</v>
      </c>
      <c r="BJ812" s="24" t="str">
        <f t="shared" si="84"/>
        <v/>
      </c>
    </row>
    <row r="813" spans="1:62" ht="15" customHeight="1" x14ac:dyDescent="0.25">
      <c r="A813" t="str">
        <f>"1265423743"</f>
        <v>1265423743</v>
      </c>
      <c r="B813" t="str">
        <f>"02057216"</f>
        <v>02057216</v>
      </c>
      <c r="C813" t="s">
        <v>249</v>
      </c>
      <c r="D813" t="s">
        <v>250</v>
      </c>
      <c r="E813" t="s">
        <v>251</v>
      </c>
      <c r="G813" t="s">
        <v>229</v>
      </c>
      <c r="H813" t="s">
        <v>230</v>
      </c>
      <c r="J813" t="s">
        <v>231</v>
      </c>
      <c r="L813" t="s">
        <v>138</v>
      </c>
      <c r="M813" t="s">
        <v>108</v>
      </c>
      <c r="R813" t="s">
        <v>252</v>
      </c>
      <c r="W813" t="s">
        <v>251</v>
      </c>
      <c r="X813" t="s">
        <v>238</v>
      </c>
      <c r="Y813" t="s">
        <v>239</v>
      </c>
      <c r="Z813" t="s">
        <v>111</v>
      </c>
      <c r="AA813" t="str">
        <f>"13045-1206"</f>
        <v>13045-1206</v>
      </c>
      <c r="AB813" t="s">
        <v>123</v>
      </c>
      <c r="AC813" t="s">
        <v>113</v>
      </c>
      <c r="AD813" t="s">
        <v>108</v>
      </c>
      <c r="AE813" t="s">
        <v>114</v>
      </c>
      <c r="AF813" t="s">
        <v>142</v>
      </c>
      <c r="AG813" t="s">
        <v>116</v>
      </c>
      <c r="AK813" t="str">
        <f t="shared" si="81"/>
        <v/>
      </c>
      <c r="AL813" t="s">
        <v>250</v>
      </c>
      <c r="AM813">
        <v>1</v>
      </c>
      <c r="AN813">
        <v>1</v>
      </c>
      <c r="AO813">
        <v>0</v>
      </c>
      <c r="AP813">
        <v>0</v>
      </c>
      <c r="AQ813">
        <v>1</v>
      </c>
      <c r="AR813">
        <v>0</v>
      </c>
      <c r="AS813">
        <v>0</v>
      </c>
      <c r="AT813">
        <v>0</v>
      </c>
      <c r="AU813">
        <v>0</v>
      </c>
      <c r="AV813">
        <v>0</v>
      </c>
      <c r="AW813">
        <v>0</v>
      </c>
      <c r="AX813" s="24" t="str">
        <f t="shared" si="86"/>
        <v/>
      </c>
      <c r="AY813" s="24">
        <f t="shared" si="86"/>
        <v>1</v>
      </c>
      <c r="AZ813" s="24" t="str">
        <f t="shared" si="85"/>
        <v/>
      </c>
      <c r="BA813" s="24" t="str">
        <f t="shared" si="85"/>
        <v/>
      </c>
      <c r="BB813" s="24" t="str">
        <f t="shared" si="85"/>
        <v/>
      </c>
      <c r="BC813" s="24" t="str">
        <f t="shared" si="85"/>
        <v/>
      </c>
      <c r="BD813" s="24" t="str">
        <f t="shared" si="85"/>
        <v/>
      </c>
      <c r="BE813" s="24" t="str">
        <f t="shared" si="85"/>
        <v/>
      </c>
      <c r="BF813" s="24" t="str">
        <f t="shared" si="85"/>
        <v/>
      </c>
      <c r="BG813" s="24" t="str">
        <f t="shared" si="85"/>
        <v/>
      </c>
      <c r="BH813" s="24" t="str">
        <f t="shared" si="82"/>
        <v/>
      </c>
      <c r="BI813" s="24">
        <f t="shared" si="85"/>
        <v>1</v>
      </c>
      <c r="BJ813" s="24" t="str">
        <f t="shared" si="84"/>
        <v/>
      </c>
    </row>
    <row r="814" spans="1:62" ht="15" customHeight="1" x14ac:dyDescent="0.25">
      <c r="A814" t="str">
        <f>"1215098025"</f>
        <v>1215098025</v>
      </c>
      <c r="B814" t="str">
        <f>"02805301"</f>
        <v>02805301</v>
      </c>
      <c r="C814" t="s">
        <v>4087</v>
      </c>
      <c r="D814" t="s">
        <v>4088</v>
      </c>
      <c r="E814" t="s">
        <v>4089</v>
      </c>
      <c r="G814" t="s">
        <v>6330</v>
      </c>
      <c r="H814" t="s">
        <v>6331</v>
      </c>
      <c r="J814" t="s">
        <v>6332</v>
      </c>
      <c r="L814" t="s">
        <v>120</v>
      </c>
      <c r="M814" t="s">
        <v>108</v>
      </c>
      <c r="R814" t="s">
        <v>4087</v>
      </c>
      <c r="W814" t="s">
        <v>4089</v>
      </c>
      <c r="X814" t="s">
        <v>1920</v>
      </c>
      <c r="Y814" t="s">
        <v>110</v>
      </c>
      <c r="Z814" t="s">
        <v>111</v>
      </c>
      <c r="AA814" t="str">
        <f>"13903-1674"</f>
        <v>13903-1674</v>
      </c>
      <c r="AB814" t="s">
        <v>123</v>
      </c>
      <c r="AC814" t="s">
        <v>113</v>
      </c>
      <c r="AD814" t="s">
        <v>108</v>
      </c>
      <c r="AE814" t="s">
        <v>114</v>
      </c>
      <c r="AF814" t="s">
        <v>115</v>
      </c>
      <c r="AG814" t="s">
        <v>116</v>
      </c>
      <c r="AK814" t="str">
        <f t="shared" si="81"/>
        <v/>
      </c>
      <c r="AL814" t="s">
        <v>4088</v>
      </c>
      <c r="AM814">
        <v>1</v>
      </c>
      <c r="AN814">
        <v>1</v>
      </c>
      <c r="AO814">
        <v>0</v>
      </c>
      <c r="AP814">
        <v>1</v>
      </c>
      <c r="AQ814">
        <v>1</v>
      </c>
      <c r="AR814">
        <v>0</v>
      </c>
      <c r="AS814">
        <v>0</v>
      </c>
      <c r="AT814">
        <v>0</v>
      </c>
      <c r="AU814">
        <v>1</v>
      </c>
      <c r="AV814">
        <v>0</v>
      </c>
      <c r="AW814">
        <v>0</v>
      </c>
      <c r="AX814" s="24">
        <f t="shared" si="86"/>
        <v>1</v>
      </c>
      <c r="AY814" s="24" t="str">
        <f t="shared" si="86"/>
        <v/>
      </c>
      <c r="AZ814" s="24" t="str">
        <f t="shared" si="85"/>
        <v/>
      </c>
      <c r="BA814" s="24" t="str">
        <f t="shared" si="85"/>
        <v/>
      </c>
      <c r="BB814" s="24" t="str">
        <f t="shared" si="85"/>
        <v/>
      </c>
      <c r="BC814" s="24" t="str">
        <f t="shared" si="85"/>
        <v/>
      </c>
      <c r="BD814" s="24" t="str">
        <f t="shared" si="85"/>
        <v/>
      </c>
      <c r="BE814" s="24" t="str">
        <f t="shared" si="85"/>
        <v/>
      </c>
      <c r="BF814" s="24" t="str">
        <f t="shared" si="85"/>
        <v/>
      </c>
      <c r="BG814" s="24" t="str">
        <f t="shared" si="85"/>
        <v/>
      </c>
      <c r="BH814" s="24" t="str">
        <f t="shared" si="82"/>
        <v/>
      </c>
      <c r="BI814" s="24">
        <f t="shared" si="85"/>
        <v>1</v>
      </c>
      <c r="BJ814" s="24" t="str">
        <f t="shared" si="84"/>
        <v/>
      </c>
    </row>
    <row r="815" spans="1:62" ht="15" customHeight="1" x14ac:dyDescent="0.25">
      <c r="A815" t="str">
        <f>"1619954211"</f>
        <v>1619954211</v>
      </c>
      <c r="B815" t="str">
        <f>"00940107"</f>
        <v>00940107</v>
      </c>
      <c r="C815" t="s">
        <v>6806</v>
      </c>
      <c r="D815" t="s">
        <v>7084</v>
      </c>
      <c r="E815" t="s">
        <v>7085</v>
      </c>
      <c r="G815" t="s">
        <v>1352</v>
      </c>
      <c r="H815" t="s">
        <v>1301</v>
      </c>
      <c r="J815" t="s">
        <v>1354</v>
      </c>
      <c r="L815" t="s">
        <v>247</v>
      </c>
      <c r="M815" t="s">
        <v>108</v>
      </c>
      <c r="R815" t="s">
        <v>6806</v>
      </c>
      <c r="W815" t="s">
        <v>6806</v>
      </c>
      <c r="X815" t="s">
        <v>6948</v>
      </c>
      <c r="Y815" t="s">
        <v>239</v>
      </c>
      <c r="Z815" t="s">
        <v>111</v>
      </c>
      <c r="AA815" t="str">
        <f>"13045-1012"</f>
        <v>13045-1012</v>
      </c>
      <c r="AB815" t="s">
        <v>123</v>
      </c>
      <c r="AC815" t="s">
        <v>113</v>
      </c>
      <c r="AD815" t="s">
        <v>108</v>
      </c>
      <c r="AE815" t="s">
        <v>114</v>
      </c>
      <c r="AF815" t="s">
        <v>142</v>
      </c>
      <c r="AG815" t="s">
        <v>116</v>
      </c>
      <c r="AK815" t="str">
        <f t="shared" si="81"/>
        <v>LITVIN YAIR</v>
      </c>
      <c r="AL815" t="s">
        <v>7084</v>
      </c>
      <c r="AM815" t="s">
        <v>108</v>
      </c>
      <c r="AN815" t="s">
        <v>108</v>
      </c>
      <c r="AO815" t="s">
        <v>108</v>
      </c>
      <c r="AP815" t="s">
        <v>108</v>
      </c>
      <c r="AQ815" t="s">
        <v>108</v>
      </c>
      <c r="AR815" t="s">
        <v>108</v>
      </c>
      <c r="AS815" t="s">
        <v>108</v>
      </c>
      <c r="AT815" t="s">
        <v>108</v>
      </c>
      <c r="AU815">
        <v>0</v>
      </c>
      <c r="AV815" t="s">
        <v>108</v>
      </c>
      <c r="AW815" t="s">
        <v>108</v>
      </c>
      <c r="AX815" s="24" t="str">
        <f t="shared" si="86"/>
        <v/>
      </c>
      <c r="AY815" s="24">
        <f t="shared" si="86"/>
        <v>1</v>
      </c>
      <c r="AZ815" s="24" t="str">
        <f t="shared" si="85"/>
        <v/>
      </c>
      <c r="BA815" s="24" t="str">
        <f t="shared" si="85"/>
        <v/>
      </c>
      <c r="BB815" s="24" t="str">
        <f t="shared" si="85"/>
        <v/>
      </c>
      <c r="BC815" s="24" t="str">
        <f t="shared" si="85"/>
        <v/>
      </c>
      <c r="BD815" s="24" t="str">
        <f t="shared" si="85"/>
        <v/>
      </c>
      <c r="BE815" s="24" t="str">
        <f t="shared" si="85"/>
        <v/>
      </c>
      <c r="BF815" s="24" t="str">
        <f t="shared" si="85"/>
        <v/>
      </c>
      <c r="BG815" s="24" t="str">
        <f t="shared" si="85"/>
        <v/>
      </c>
      <c r="BH815" s="24" t="str">
        <f t="shared" si="82"/>
        <v/>
      </c>
      <c r="BI815" s="24" t="str">
        <f t="shared" si="85"/>
        <v/>
      </c>
      <c r="BJ815" s="24" t="str">
        <f t="shared" si="84"/>
        <v/>
      </c>
    </row>
    <row r="816" spans="1:62" ht="15" customHeight="1" x14ac:dyDescent="0.25">
      <c r="A816" t="str">
        <f>"1740376615"</f>
        <v>1740376615</v>
      </c>
      <c r="B816" t="str">
        <f>"02079541"</f>
        <v>02079541</v>
      </c>
      <c r="C816" t="s">
        <v>4320</v>
      </c>
      <c r="D816" t="s">
        <v>4321</v>
      </c>
      <c r="E816" t="s">
        <v>4322</v>
      </c>
      <c r="G816" t="s">
        <v>4304</v>
      </c>
      <c r="H816" t="s">
        <v>4305</v>
      </c>
      <c r="J816" t="s">
        <v>4323</v>
      </c>
      <c r="L816" t="s">
        <v>120</v>
      </c>
      <c r="M816" t="s">
        <v>108</v>
      </c>
      <c r="R816" t="s">
        <v>4324</v>
      </c>
      <c r="W816" t="s">
        <v>4322</v>
      </c>
      <c r="X816" t="s">
        <v>4308</v>
      </c>
      <c r="Y816" t="s">
        <v>293</v>
      </c>
      <c r="Z816" t="s">
        <v>111</v>
      </c>
      <c r="AA816" t="str">
        <f>"14850-5489"</f>
        <v>14850-5489</v>
      </c>
      <c r="AB816" t="s">
        <v>123</v>
      </c>
      <c r="AC816" t="s">
        <v>113</v>
      </c>
      <c r="AD816" t="s">
        <v>108</v>
      </c>
      <c r="AE816" t="s">
        <v>114</v>
      </c>
      <c r="AF816" t="s">
        <v>142</v>
      </c>
      <c r="AG816" t="s">
        <v>116</v>
      </c>
      <c r="AK816" t="str">
        <f t="shared" si="81"/>
        <v/>
      </c>
      <c r="AL816" t="s">
        <v>4321</v>
      </c>
      <c r="AM816">
        <v>1</v>
      </c>
      <c r="AN816">
        <v>1</v>
      </c>
      <c r="AO816">
        <v>0</v>
      </c>
      <c r="AP816">
        <v>0</v>
      </c>
      <c r="AQ816">
        <v>0</v>
      </c>
      <c r="AR816">
        <v>0</v>
      </c>
      <c r="AS816">
        <v>0</v>
      </c>
      <c r="AT816">
        <v>0</v>
      </c>
      <c r="AU816">
        <v>0</v>
      </c>
      <c r="AV816">
        <v>0</v>
      </c>
      <c r="AW816">
        <v>0</v>
      </c>
      <c r="AX816" s="24">
        <f t="shared" si="86"/>
        <v>1</v>
      </c>
      <c r="AY816" s="24" t="str">
        <f t="shared" si="86"/>
        <v/>
      </c>
      <c r="AZ816" s="24" t="str">
        <f t="shared" si="85"/>
        <v/>
      </c>
      <c r="BA816" s="24" t="str">
        <f t="shared" si="85"/>
        <v/>
      </c>
      <c r="BB816" s="24" t="str">
        <f t="shared" si="85"/>
        <v/>
      </c>
      <c r="BC816" s="24" t="str">
        <f t="shared" si="85"/>
        <v/>
      </c>
      <c r="BD816" s="24" t="str">
        <f t="shared" si="85"/>
        <v/>
      </c>
      <c r="BE816" s="24" t="str">
        <f t="shared" si="85"/>
        <v/>
      </c>
      <c r="BF816" s="24" t="str">
        <f t="shared" si="85"/>
        <v/>
      </c>
      <c r="BG816" s="24" t="str">
        <f t="shared" si="85"/>
        <v/>
      </c>
      <c r="BH816" s="24" t="str">
        <f t="shared" si="82"/>
        <v/>
      </c>
      <c r="BI816" s="24">
        <f t="shared" si="85"/>
        <v>1</v>
      </c>
      <c r="BJ816" s="24" t="str">
        <f t="shared" si="84"/>
        <v/>
      </c>
    </row>
    <row r="817" spans="1:62" ht="15" customHeight="1" x14ac:dyDescent="0.25">
      <c r="A817" t="str">
        <f>"1811960560"</f>
        <v>1811960560</v>
      </c>
      <c r="B817" t="str">
        <f>"01354594"</f>
        <v>01354594</v>
      </c>
      <c r="C817" t="s">
        <v>2276</v>
      </c>
      <c r="D817" t="s">
        <v>2277</v>
      </c>
      <c r="E817" t="s">
        <v>2278</v>
      </c>
      <c r="G817" t="s">
        <v>177</v>
      </c>
      <c r="H817" t="s">
        <v>178</v>
      </c>
      <c r="J817" t="s">
        <v>179</v>
      </c>
      <c r="L817" t="s">
        <v>138</v>
      </c>
      <c r="M817" t="s">
        <v>108</v>
      </c>
      <c r="R817" t="s">
        <v>2276</v>
      </c>
      <c r="W817" t="s">
        <v>2278</v>
      </c>
      <c r="X817" t="s">
        <v>180</v>
      </c>
      <c r="Y817" t="s">
        <v>181</v>
      </c>
      <c r="Z817" t="s">
        <v>182</v>
      </c>
      <c r="AA817" t="str">
        <f>"18840"</f>
        <v>18840</v>
      </c>
      <c r="AB817" t="s">
        <v>123</v>
      </c>
      <c r="AC817" t="s">
        <v>113</v>
      </c>
      <c r="AD817" t="s">
        <v>108</v>
      </c>
      <c r="AE817" t="s">
        <v>114</v>
      </c>
      <c r="AF817" t="s">
        <v>115</v>
      </c>
      <c r="AG817" t="s">
        <v>116</v>
      </c>
      <c r="AK817" t="str">
        <f t="shared" si="81"/>
        <v/>
      </c>
      <c r="AL817" t="s">
        <v>2277</v>
      </c>
      <c r="AM817">
        <v>0</v>
      </c>
      <c r="AN817">
        <v>0</v>
      </c>
      <c r="AO817">
        <v>0</v>
      </c>
      <c r="AP817">
        <v>0</v>
      </c>
      <c r="AQ817">
        <v>0</v>
      </c>
      <c r="AR817">
        <v>0</v>
      </c>
      <c r="AS817">
        <v>0</v>
      </c>
      <c r="AT817">
        <v>0</v>
      </c>
      <c r="AU817">
        <v>0</v>
      </c>
      <c r="AV817">
        <v>0</v>
      </c>
      <c r="AW817">
        <v>0</v>
      </c>
      <c r="AX817" s="24" t="str">
        <f t="shared" si="86"/>
        <v/>
      </c>
      <c r="AY817" s="24">
        <f t="shared" si="86"/>
        <v>1</v>
      </c>
      <c r="AZ817" s="24" t="str">
        <f t="shared" si="85"/>
        <v/>
      </c>
      <c r="BA817" s="24" t="str">
        <f t="shared" si="85"/>
        <v/>
      </c>
      <c r="BB817" s="24" t="str">
        <f t="shared" si="85"/>
        <v/>
      </c>
      <c r="BC817" s="24" t="str">
        <f t="shared" si="85"/>
        <v/>
      </c>
      <c r="BD817" s="24" t="str">
        <f t="shared" si="85"/>
        <v/>
      </c>
      <c r="BE817" s="24" t="str">
        <f t="shared" si="85"/>
        <v/>
      </c>
      <c r="BF817" s="24" t="str">
        <f t="shared" si="85"/>
        <v/>
      </c>
      <c r="BG817" s="24" t="str">
        <f t="shared" si="85"/>
        <v/>
      </c>
      <c r="BH817" s="24" t="str">
        <f t="shared" si="82"/>
        <v/>
      </c>
      <c r="BI817" s="24">
        <f t="shared" si="85"/>
        <v>1</v>
      </c>
      <c r="BJ817" s="24" t="str">
        <f t="shared" si="84"/>
        <v/>
      </c>
    </row>
    <row r="818" spans="1:62" ht="15" customHeight="1" x14ac:dyDescent="0.25">
      <c r="A818" t="str">
        <f>"1184684714"</f>
        <v>1184684714</v>
      </c>
      <c r="B818" t="str">
        <f>"02080362"</f>
        <v>02080362</v>
      </c>
      <c r="C818" t="s">
        <v>4062</v>
      </c>
      <c r="D818" t="s">
        <v>4063</v>
      </c>
      <c r="E818" t="s">
        <v>4064</v>
      </c>
      <c r="L818" t="s">
        <v>138</v>
      </c>
      <c r="M818" t="s">
        <v>108</v>
      </c>
      <c r="R818" t="s">
        <v>4062</v>
      </c>
      <c r="W818" t="s">
        <v>4064</v>
      </c>
      <c r="X818" t="s">
        <v>140</v>
      </c>
      <c r="Y818" t="s">
        <v>141</v>
      </c>
      <c r="Z818" t="s">
        <v>111</v>
      </c>
      <c r="AA818" t="str">
        <f>"13210-2342"</f>
        <v>13210-2342</v>
      </c>
      <c r="AB818" t="s">
        <v>123</v>
      </c>
      <c r="AC818" t="s">
        <v>113</v>
      </c>
      <c r="AD818" t="s">
        <v>108</v>
      </c>
      <c r="AE818" t="s">
        <v>114</v>
      </c>
      <c r="AF818" t="s">
        <v>142</v>
      </c>
      <c r="AG818" t="s">
        <v>116</v>
      </c>
      <c r="AK818" t="str">
        <f t="shared" si="81"/>
        <v/>
      </c>
      <c r="AL818" t="s">
        <v>4063</v>
      </c>
      <c r="AM818">
        <v>1</v>
      </c>
      <c r="AN818">
        <v>1</v>
      </c>
      <c r="AO818">
        <v>0</v>
      </c>
      <c r="AP818">
        <v>1</v>
      </c>
      <c r="AQ818">
        <v>1</v>
      </c>
      <c r="AR818">
        <v>0</v>
      </c>
      <c r="AS818">
        <v>0</v>
      </c>
      <c r="AT818">
        <v>0</v>
      </c>
      <c r="AU818">
        <v>0</v>
      </c>
      <c r="AV818">
        <v>0</v>
      </c>
      <c r="AW818">
        <v>0</v>
      </c>
      <c r="AX818" s="24" t="str">
        <f t="shared" si="86"/>
        <v/>
      </c>
      <c r="AY818" s="24">
        <f t="shared" si="86"/>
        <v>1</v>
      </c>
      <c r="AZ818" s="24" t="str">
        <f t="shared" si="85"/>
        <v/>
      </c>
      <c r="BA818" s="24" t="str">
        <f t="shared" si="85"/>
        <v/>
      </c>
      <c r="BB818" s="24" t="str">
        <f t="shared" si="85"/>
        <v/>
      </c>
      <c r="BC818" s="24" t="str">
        <f t="shared" si="85"/>
        <v/>
      </c>
      <c r="BD818" s="24" t="str">
        <f t="shared" si="85"/>
        <v/>
      </c>
      <c r="BE818" s="24" t="str">
        <f t="shared" si="85"/>
        <v/>
      </c>
      <c r="BF818" s="24" t="str">
        <f t="shared" si="85"/>
        <v/>
      </c>
      <c r="BG818" s="24" t="str">
        <f t="shared" si="85"/>
        <v/>
      </c>
      <c r="BH818" s="24" t="str">
        <f t="shared" si="82"/>
        <v/>
      </c>
      <c r="BI818" s="24">
        <f t="shared" si="85"/>
        <v>1</v>
      </c>
      <c r="BJ818" s="24" t="str">
        <f t="shared" si="84"/>
        <v/>
      </c>
    </row>
    <row r="819" spans="1:62" ht="15" customHeight="1" x14ac:dyDescent="0.25">
      <c r="A819" t="str">
        <f>"1548372436"</f>
        <v>1548372436</v>
      </c>
      <c r="B819" t="str">
        <f>"03016915"</f>
        <v>03016915</v>
      </c>
      <c r="C819" t="s">
        <v>3330</v>
      </c>
      <c r="D819" t="s">
        <v>3331</v>
      </c>
      <c r="E819" t="s">
        <v>3330</v>
      </c>
      <c r="G819" t="s">
        <v>786</v>
      </c>
      <c r="H819" t="s">
        <v>787</v>
      </c>
      <c r="J819" t="s">
        <v>788</v>
      </c>
      <c r="L819" t="s">
        <v>809</v>
      </c>
      <c r="M819" t="s">
        <v>108</v>
      </c>
      <c r="R819" t="s">
        <v>3330</v>
      </c>
      <c r="W819" t="s">
        <v>3332</v>
      </c>
      <c r="X819" t="s">
        <v>3333</v>
      </c>
      <c r="Y819" t="s">
        <v>239</v>
      </c>
      <c r="Z819" t="s">
        <v>111</v>
      </c>
      <c r="AA819" t="str">
        <f>"13045-2610"</f>
        <v>13045-2610</v>
      </c>
      <c r="AB819" t="s">
        <v>811</v>
      </c>
      <c r="AC819" t="s">
        <v>113</v>
      </c>
      <c r="AD819" t="s">
        <v>108</v>
      </c>
      <c r="AE819" t="s">
        <v>114</v>
      </c>
      <c r="AF819" t="s">
        <v>142</v>
      </c>
      <c r="AG819" t="s">
        <v>116</v>
      </c>
      <c r="AK819" t="str">
        <f t="shared" si="81"/>
        <v/>
      </c>
      <c r="AL819" t="s">
        <v>3331</v>
      </c>
      <c r="AM819">
        <v>0</v>
      </c>
      <c r="AN819">
        <v>0</v>
      </c>
      <c r="AO819">
        <v>0</v>
      </c>
      <c r="AP819">
        <v>0</v>
      </c>
      <c r="AQ819">
        <v>0</v>
      </c>
      <c r="AR819">
        <v>0</v>
      </c>
      <c r="AS819">
        <v>0</v>
      </c>
      <c r="AT819">
        <v>0</v>
      </c>
      <c r="AU819">
        <v>0</v>
      </c>
      <c r="AV819">
        <v>0</v>
      </c>
      <c r="AW819">
        <v>0</v>
      </c>
      <c r="AX819" s="24" t="str">
        <f t="shared" si="86"/>
        <v/>
      </c>
      <c r="AY819" s="24">
        <f t="shared" si="86"/>
        <v>1</v>
      </c>
      <c r="AZ819" s="24" t="str">
        <f t="shared" si="85"/>
        <v/>
      </c>
      <c r="BA819" s="24" t="str">
        <f t="shared" si="85"/>
        <v/>
      </c>
      <c r="BB819" s="24" t="str">
        <f t="shared" si="85"/>
        <v/>
      </c>
      <c r="BC819" s="24">
        <f t="shared" si="85"/>
        <v>1</v>
      </c>
      <c r="BD819" s="24" t="str">
        <f t="shared" si="85"/>
        <v/>
      </c>
      <c r="BE819" s="24" t="str">
        <f t="shared" si="85"/>
        <v/>
      </c>
      <c r="BF819" s="24" t="str">
        <f t="shared" si="85"/>
        <v/>
      </c>
      <c r="BG819" s="24" t="str">
        <f t="shared" si="85"/>
        <v/>
      </c>
      <c r="BH819" s="24" t="str">
        <f t="shared" si="82"/>
        <v/>
      </c>
      <c r="BI819" s="24" t="str">
        <f t="shared" si="85"/>
        <v/>
      </c>
      <c r="BJ819" s="24" t="str">
        <f t="shared" si="84"/>
        <v/>
      </c>
    </row>
    <row r="820" spans="1:62" ht="15" customHeight="1" x14ac:dyDescent="0.25">
      <c r="A820" t="str">
        <f>"1275664690"</f>
        <v>1275664690</v>
      </c>
      <c r="B820" t="str">
        <f>"01805985"</f>
        <v>01805985</v>
      </c>
      <c r="C820" t="s">
        <v>4126</v>
      </c>
      <c r="D820" t="s">
        <v>4127</v>
      </c>
      <c r="E820" t="s">
        <v>4128</v>
      </c>
      <c r="L820" t="s">
        <v>120</v>
      </c>
      <c r="M820" t="s">
        <v>108</v>
      </c>
      <c r="R820" t="s">
        <v>4126</v>
      </c>
      <c r="W820" t="s">
        <v>4128</v>
      </c>
      <c r="X820" t="s">
        <v>4129</v>
      </c>
      <c r="Y820" t="s">
        <v>321</v>
      </c>
      <c r="Z820" t="s">
        <v>111</v>
      </c>
      <c r="AA820" t="str">
        <f>"13760-5430"</f>
        <v>13760-5430</v>
      </c>
      <c r="AB820" t="s">
        <v>123</v>
      </c>
      <c r="AC820" t="s">
        <v>113</v>
      </c>
      <c r="AD820" t="s">
        <v>108</v>
      </c>
      <c r="AE820" t="s">
        <v>114</v>
      </c>
      <c r="AF820" t="s">
        <v>115</v>
      </c>
      <c r="AG820" t="s">
        <v>116</v>
      </c>
      <c r="AK820" t="str">
        <f t="shared" si="81"/>
        <v/>
      </c>
      <c r="AL820" t="s">
        <v>4127</v>
      </c>
      <c r="AM820">
        <v>1</v>
      </c>
      <c r="AN820">
        <v>1</v>
      </c>
      <c r="AO820">
        <v>0</v>
      </c>
      <c r="AP820">
        <v>1</v>
      </c>
      <c r="AQ820">
        <v>1</v>
      </c>
      <c r="AR820">
        <v>0</v>
      </c>
      <c r="AS820">
        <v>0</v>
      </c>
      <c r="AT820">
        <v>0</v>
      </c>
      <c r="AU820">
        <v>1</v>
      </c>
      <c r="AV820">
        <v>0</v>
      </c>
      <c r="AW820">
        <v>0</v>
      </c>
      <c r="AX820" s="24">
        <f t="shared" si="86"/>
        <v>1</v>
      </c>
      <c r="AY820" s="24" t="str">
        <f t="shared" si="86"/>
        <v/>
      </c>
      <c r="AZ820" s="24" t="str">
        <f t="shared" si="85"/>
        <v/>
      </c>
      <c r="BA820" s="24" t="str">
        <f t="shared" si="85"/>
        <v/>
      </c>
      <c r="BB820" s="24" t="str">
        <f t="shared" si="85"/>
        <v/>
      </c>
      <c r="BC820" s="24" t="str">
        <f t="shared" si="85"/>
        <v/>
      </c>
      <c r="BD820" s="24" t="str">
        <f t="shared" si="85"/>
        <v/>
      </c>
      <c r="BE820" s="24" t="str">
        <f t="shared" si="85"/>
        <v/>
      </c>
      <c r="BF820" s="24" t="str">
        <f t="shared" si="85"/>
        <v/>
      </c>
      <c r="BG820" s="24" t="str">
        <f t="shared" si="85"/>
        <v/>
      </c>
      <c r="BH820" s="24" t="str">
        <f t="shared" si="82"/>
        <v/>
      </c>
      <c r="BI820" s="24">
        <f t="shared" si="85"/>
        <v>1</v>
      </c>
      <c r="BJ820" s="24" t="str">
        <f t="shared" si="84"/>
        <v/>
      </c>
    </row>
    <row r="821" spans="1:62" ht="15" customHeight="1" x14ac:dyDescent="0.25">
      <c r="A821" t="str">
        <f>"1700873361"</f>
        <v>1700873361</v>
      </c>
      <c r="B821" t="str">
        <f>"02223361"</f>
        <v>02223361</v>
      </c>
      <c r="C821" t="s">
        <v>1433</v>
      </c>
      <c r="D821" t="s">
        <v>1434</v>
      </c>
      <c r="E821" t="s">
        <v>1435</v>
      </c>
      <c r="G821" t="s">
        <v>1433</v>
      </c>
      <c r="H821" t="s">
        <v>467</v>
      </c>
      <c r="J821" t="s">
        <v>1436</v>
      </c>
      <c r="L821" t="s">
        <v>138</v>
      </c>
      <c r="M821" t="s">
        <v>108</v>
      </c>
      <c r="R821" t="s">
        <v>1435</v>
      </c>
      <c r="W821" t="s">
        <v>1435</v>
      </c>
      <c r="X821" t="s">
        <v>1435</v>
      </c>
      <c r="Y821" t="s">
        <v>129</v>
      </c>
      <c r="Z821" t="s">
        <v>111</v>
      </c>
      <c r="AA821" t="str">
        <f>"13790-2107"</f>
        <v>13790-2107</v>
      </c>
      <c r="AB821" t="s">
        <v>123</v>
      </c>
      <c r="AC821" t="s">
        <v>113</v>
      </c>
      <c r="AD821" t="s">
        <v>108</v>
      </c>
      <c r="AE821" t="s">
        <v>114</v>
      </c>
      <c r="AF821" t="s">
        <v>115</v>
      </c>
      <c r="AG821" t="s">
        <v>116</v>
      </c>
      <c r="AK821" t="str">
        <f t="shared" si="81"/>
        <v/>
      </c>
      <c r="AL821" t="s">
        <v>1434</v>
      </c>
      <c r="AM821">
        <v>1</v>
      </c>
      <c r="AN821">
        <v>1</v>
      </c>
      <c r="AO821">
        <v>0</v>
      </c>
      <c r="AP821">
        <v>1</v>
      </c>
      <c r="AQ821">
        <v>1</v>
      </c>
      <c r="AR821">
        <v>0</v>
      </c>
      <c r="AS821">
        <v>0</v>
      </c>
      <c r="AT821">
        <v>0</v>
      </c>
      <c r="AU821">
        <v>0</v>
      </c>
      <c r="AV821">
        <v>0</v>
      </c>
      <c r="AW821">
        <v>0</v>
      </c>
      <c r="AX821" s="24" t="str">
        <f t="shared" si="86"/>
        <v/>
      </c>
      <c r="AY821" s="24">
        <f t="shared" si="86"/>
        <v>1</v>
      </c>
      <c r="AZ821" s="24" t="str">
        <f t="shared" si="85"/>
        <v/>
      </c>
      <c r="BA821" s="24" t="str">
        <f t="shared" si="85"/>
        <v/>
      </c>
      <c r="BB821" s="24" t="str">
        <f t="shared" si="85"/>
        <v/>
      </c>
      <c r="BC821" s="24" t="str">
        <f t="shared" si="85"/>
        <v/>
      </c>
      <c r="BD821" s="24" t="str">
        <f t="shared" si="85"/>
        <v/>
      </c>
      <c r="BE821" s="24" t="str">
        <f t="shared" si="85"/>
        <v/>
      </c>
      <c r="BF821" s="24" t="str">
        <f t="shared" si="85"/>
        <v/>
      </c>
      <c r="BG821" s="24" t="str">
        <f t="shared" si="85"/>
        <v/>
      </c>
      <c r="BH821" s="24" t="str">
        <f t="shared" si="82"/>
        <v/>
      </c>
      <c r="BI821" s="24">
        <f t="shared" si="85"/>
        <v>1</v>
      </c>
      <c r="BJ821" s="24" t="str">
        <f t="shared" si="84"/>
        <v/>
      </c>
    </row>
    <row r="822" spans="1:62" ht="15" customHeight="1" x14ac:dyDescent="0.25">
      <c r="A822" t="str">
        <f>"1083780555"</f>
        <v>1083780555</v>
      </c>
      <c r="B822" t="str">
        <f>"02563477"</f>
        <v>02563477</v>
      </c>
      <c r="C822" t="s">
        <v>5963</v>
      </c>
      <c r="D822" t="s">
        <v>5964</v>
      </c>
      <c r="E822" t="s">
        <v>5965</v>
      </c>
      <c r="G822" t="s">
        <v>815</v>
      </c>
      <c r="H822" t="s">
        <v>816</v>
      </c>
      <c r="J822" t="s">
        <v>817</v>
      </c>
      <c r="L822" t="s">
        <v>138</v>
      </c>
      <c r="M822" t="s">
        <v>108</v>
      </c>
      <c r="R822" t="s">
        <v>5966</v>
      </c>
      <c r="W822" t="s">
        <v>5965</v>
      </c>
      <c r="X822" t="s">
        <v>204</v>
      </c>
      <c r="Y822" t="s">
        <v>110</v>
      </c>
      <c r="Z822" t="s">
        <v>111</v>
      </c>
      <c r="AA822" t="str">
        <f>"13905-4246"</f>
        <v>13905-4246</v>
      </c>
      <c r="AB822" t="s">
        <v>123</v>
      </c>
      <c r="AC822" t="s">
        <v>113</v>
      </c>
      <c r="AD822" t="s">
        <v>108</v>
      </c>
      <c r="AE822" t="s">
        <v>114</v>
      </c>
      <c r="AF822" t="s">
        <v>115</v>
      </c>
      <c r="AG822" t="s">
        <v>116</v>
      </c>
      <c r="AK822" t="str">
        <f t="shared" si="81"/>
        <v>Lori B. Smith, RPA</v>
      </c>
      <c r="AL822" t="s">
        <v>5964</v>
      </c>
      <c r="AM822" t="s">
        <v>108</v>
      </c>
      <c r="AN822" t="s">
        <v>108</v>
      </c>
      <c r="AO822" t="s">
        <v>108</v>
      </c>
      <c r="AP822" t="s">
        <v>108</v>
      </c>
      <c r="AQ822" t="s">
        <v>108</v>
      </c>
      <c r="AR822" t="s">
        <v>108</v>
      </c>
      <c r="AS822" t="s">
        <v>108</v>
      </c>
      <c r="AT822" t="s">
        <v>108</v>
      </c>
      <c r="AU822">
        <v>0</v>
      </c>
      <c r="AV822" t="s">
        <v>108</v>
      </c>
      <c r="AW822" t="s">
        <v>108</v>
      </c>
      <c r="AX822" s="24" t="str">
        <f t="shared" si="86"/>
        <v/>
      </c>
      <c r="AY822" s="24">
        <f t="shared" si="86"/>
        <v>1</v>
      </c>
      <c r="AZ822" s="24" t="str">
        <f t="shared" si="85"/>
        <v/>
      </c>
      <c r="BA822" s="24" t="str">
        <f t="shared" si="85"/>
        <v/>
      </c>
      <c r="BB822" s="24" t="str">
        <f t="shared" si="85"/>
        <v/>
      </c>
      <c r="BC822" s="24" t="str">
        <f t="shared" si="85"/>
        <v/>
      </c>
      <c r="BD822" s="24" t="str">
        <f t="shared" si="85"/>
        <v/>
      </c>
      <c r="BE822" s="24" t="str">
        <f t="shared" si="85"/>
        <v/>
      </c>
      <c r="BF822" s="24" t="str">
        <f t="shared" si="85"/>
        <v/>
      </c>
      <c r="BG822" s="24" t="str">
        <f t="shared" si="85"/>
        <v/>
      </c>
      <c r="BH822" s="24" t="str">
        <f t="shared" si="82"/>
        <v/>
      </c>
      <c r="BI822" s="24">
        <f t="shared" si="85"/>
        <v>1</v>
      </c>
      <c r="BJ822" s="24" t="str">
        <f t="shared" si="84"/>
        <v/>
      </c>
    </row>
    <row r="823" spans="1:62" ht="15" customHeight="1" x14ac:dyDescent="0.25">
      <c r="A823" t="str">
        <f>"1689746729"</f>
        <v>1689746729</v>
      </c>
      <c r="B823" t="str">
        <f>"02503620"</f>
        <v>02503620</v>
      </c>
      <c r="C823" t="s">
        <v>1939</v>
      </c>
      <c r="D823" t="s">
        <v>1940</v>
      </c>
      <c r="E823" t="s">
        <v>1941</v>
      </c>
      <c r="G823" t="s">
        <v>815</v>
      </c>
      <c r="H823" t="s">
        <v>816</v>
      </c>
      <c r="J823" t="s">
        <v>817</v>
      </c>
      <c r="L823" t="s">
        <v>138</v>
      </c>
      <c r="M823" t="s">
        <v>108</v>
      </c>
      <c r="R823" t="s">
        <v>1939</v>
      </c>
      <c r="W823" t="s">
        <v>1941</v>
      </c>
      <c r="X823" t="s">
        <v>1811</v>
      </c>
      <c r="Y823" t="s">
        <v>110</v>
      </c>
      <c r="Z823" t="s">
        <v>111</v>
      </c>
      <c r="AA823" t="str">
        <f>"13905-4176"</f>
        <v>13905-4176</v>
      </c>
      <c r="AB823" t="s">
        <v>123</v>
      </c>
      <c r="AC823" t="s">
        <v>113</v>
      </c>
      <c r="AD823" t="s">
        <v>108</v>
      </c>
      <c r="AE823" t="s">
        <v>114</v>
      </c>
      <c r="AF823" t="s">
        <v>115</v>
      </c>
      <c r="AG823" t="s">
        <v>116</v>
      </c>
      <c r="AK823" t="str">
        <f t="shared" si="81"/>
        <v/>
      </c>
      <c r="AL823" t="s">
        <v>1940</v>
      </c>
      <c r="AM823">
        <v>1</v>
      </c>
      <c r="AN823">
        <v>1</v>
      </c>
      <c r="AO823">
        <v>0</v>
      </c>
      <c r="AP823">
        <v>1</v>
      </c>
      <c r="AQ823">
        <v>1</v>
      </c>
      <c r="AR823">
        <v>0</v>
      </c>
      <c r="AS823">
        <v>0</v>
      </c>
      <c r="AT823">
        <v>0</v>
      </c>
      <c r="AU823">
        <v>1</v>
      </c>
      <c r="AV823">
        <v>0</v>
      </c>
      <c r="AW823">
        <v>0</v>
      </c>
      <c r="AX823" s="24" t="str">
        <f t="shared" si="86"/>
        <v/>
      </c>
      <c r="AY823" s="24">
        <f t="shared" si="86"/>
        <v>1</v>
      </c>
      <c r="AZ823" s="24" t="str">
        <f t="shared" si="85"/>
        <v/>
      </c>
      <c r="BA823" s="24" t="str">
        <f t="shared" si="85"/>
        <v/>
      </c>
      <c r="BB823" s="24" t="str">
        <f t="shared" si="85"/>
        <v/>
      </c>
      <c r="BC823" s="24" t="str">
        <f t="shared" si="85"/>
        <v/>
      </c>
      <c r="BD823" s="24" t="str">
        <f t="shared" si="85"/>
        <v/>
      </c>
      <c r="BE823" s="24" t="str">
        <f t="shared" si="85"/>
        <v/>
      </c>
      <c r="BF823" s="24" t="str">
        <f t="shared" si="85"/>
        <v/>
      </c>
      <c r="BG823" s="24" t="str">
        <f t="shared" si="85"/>
        <v/>
      </c>
      <c r="BH823" s="24" t="str">
        <f t="shared" si="82"/>
        <v/>
      </c>
      <c r="BI823" s="24">
        <f t="shared" si="85"/>
        <v>1</v>
      </c>
      <c r="BJ823" s="24" t="str">
        <f t="shared" si="84"/>
        <v/>
      </c>
    </row>
    <row r="824" spans="1:62" ht="15" customHeight="1" x14ac:dyDescent="0.25">
      <c r="A824" t="str">
        <f>"1578568150"</f>
        <v>1578568150</v>
      </c>
      <c r="B824" t="str">
        <f>"01043443"</f>
        <v>01043443</v>
      </c>
      <c r="C824" t="s">
        <v>6466</v>
      </c>
      <c r="D824" t="s">
        <v>6467</v>
      </c>
      <c r="E824" t="s">
        <v>6468</v>
      </c>
      <c r="G824" t="s">
        <v>6330</v>
      </c>
      <c r="H824" t="s">
        <v>6331</v>
      </c>
      <c r="J824" t="s">
        <v>6332</v>
      </c>
      <c r="L824" t="s">
        <v>120</v>
      </c>
      <c r="M824" t="s">
        <v>139</v>
      </c>
      <c r="R824" t="s">
        <v>6469</v>
      </c>
      <c r="W824" t="s">
        <v>6470</v>
      </c>
      <c r="X824" t="s">
        <v>6471</v>
      </c>
      <c r="Y824" t="s">
        <v>471</v>
      </c>
      <c r="Z824" t="s">
        <v>111</v>
      </c>
      <c r="AA824" t="str">
        <f>"14215-1436"</f>
        <v>14215-1436</v>
      </c>
      <c r="AB824" t="s">
        <v>123</v>
      </c>
      <c r="AC824" t="s">
        <v>113</v>
      </c>
      <c r="AD824" t="s">
        <v>108</v>
      </c>
      <c r="AE824" t="s">
        <v>114</v>
      </c>
      <c r="AF824" t="s">
        <v>115</v>
      </c>
      <c r="AG824" t="s">
        <v>116</v>
      </c>
      <c r="AK824" t="str">
        <f t="shared" si="81"/>
        <v>Lorne Campbell, MD</v>
      </c>
      <c r="AL824" t="s">
        <v>6467</v>
      </c>
      <c r="AM824" t="s">
        <v>108</v>
      </c>
      <c r="AN824" t="s">
        <v>108</v>
      </c>
      <c r="AO824" t="s">
        <v>108</v>
      </c>
      <c r="AP824" t="s">
        <v>108</v>
      </c>
      <c r="AQ824" t="s">
        <v>108</v>
      </c>
      <c r="AR824" t="s">
        <v>108</v>
      </c>
      <c r="AS824" t="s">
        <v>108</v>
      </c>
      <c r="AT824" t="s">
        <v>108</v>
      </c>
      <c r="AU824">
        <v>1</v>
      </c>
      <c r="AV824" t="s">
        <v>108</v>
      </c>
      <c r="AW824" t="s">
        <v>108</v>
      </c>
      <c r="AX824" s="24">
        <f t="shared" si="86"/>
        <v>1</v>
      </c>
      <c r="AY824" s="24" t="str">
        <f t="shared" si="86"/>
        <v/>
      </c>
      <c r="AZ824" s="24" t="str">
        <f t="shared" si="85"/>
        <v/>
      </c>
      <c r="BA824" s="24" t="str">
        <f t="shared" si="85"/>
        <v/>
      </c>
      <c r="BB824" s="24" t="str">
        <f t="shared" si="85"/>
        <v/>
      </c>
      <c r="BC824" s="24" t="str">
        <f t="shared" si="85"/>
        <v/>
      </c>
      <c r="BD824" s="24" t="str">
        <f t="shared" si="85"/>
        <v/>
      </c>
      <c r="BE824" s="24" t="str">
        <f t="shared" si="85"/>
        <v/>
      </c>
      <c r="BF824" s="24" t="str">
        <f t="shared" si="85"/>
        <v/>
      </c>
      <c r="BG824" s="24" t="str">
        <f t="shared" si="85"/>
        <v/>
      </c>
      <c r="BH824" s="24" t="str">
        <f t="shared" si="82"/>
        <v/>
      </c>
      <c r="BI824" s="24">
        <f t="shared" si="85"/>
        <v>1</v>
      </c>
      <c r="BJ824" s="24" t="str">
        <f t="shared" si="84"/>
        <v/>
      </c>
    </row>
    <row r="825" spans="1:62" ht="15" customHeight="1" x14ac:dyDescent="0.25">
      <c r="A825" t="str">
        <f>"1801114285"</f>
        <v>1801114285</v>
      </c>
      <c r="B825" t="str">
        <f>"03644020"</f>
        <v>03644020</v>
      </c>
      <c r="C825" t="s">
        <v>6837</v>
      </c>
      <c r="D825" t="s">
        <v>7125</v>
      </c>
      <c r="E825" t="s">
        <v>7126</v>
      </c>
      <c r="G825" t="s">
        <v>7184</v>
      </c>
      <c r="H825" t="s">
        <v>2379</v>
      </c>
      <c r="J825" t="s">
        <v>7185</v>
      </c>
      <c r="L825" t="s">
        <v>120</v>
      </c>
      <c r="M825" t="s">
        <v>108</v>
      </c>
      <c r="R825" t="s">
        <v>6837</v>
      </c>
      <c r="W825" t="s">
        <v>6983</v>
      </c>
      <c r="X825" t="s">
        <v>2382</v>
      </c>
      <c r="Y825" t="s">
        <v>979</v>
      </c>
      <c r="Z825" t="s">
        <v>111</v>
      </c>
      <c r="AA825" t="str">
        <f>"13760-3646"</f>
        <v>13760-3646</v>
      </c>
      <c r="AB825" t="s">
        <v>123</v>
      </c>
      <c r="AC825" t="s">
        <v>113</v>
      </c>
      <c r="AD825" t="s">
        <v>108</v>
      </c>
      <c r="AE825" t="s">
        <v>114</v>
      </c>
      <c r="AF825" t="s">
        <v>115</v>
      </c>
      <c r="AG825" t="s">
        <v>116</v>
      </c>
      <c r="AK825" t="str">
        <f t="shared" si="81"/>
        <v>LORRAINE ERIC</v>
      </c>
      <c r="AL825" t="s">
        <v>7125</v>
      </c>
      <c r="AM825" t="s">
        <v>108</v>
      </c>
      <c r="AN825" t="s">
        <v>108</v>
      </c>
      <c r="AO825" t="s">
        <v>108</v>
      </c>
      <c r="AP825" t="s">
        <v>108</v>
      </c>
      <c r="AQ825" t="s">
        <v>108</v>
      </c>
      <c r="AR825" t="s">
        <v>108</v>
      </c>
      <c r="AS825" t="s">
        <v>108</v>
      </c>
      <c r="AT825" t="s">
        <v>108</v>
      </c>
      <c r="AU825">
        <v>0</v>
      </c>
      <c r="AV825" t="s">
        <v>108</v>
      </c>
      <c r="AW825" t="s">
        <v>108</v>
      </c>
      <c r="AX825" s="24">
        <f t="shared" si="86"/>
        <v>1</v>
      </c>
      <c r="AY825" s="24" t="str">
        <f t="shared" si="86"/>
        <v/>
      </c>
      <c r="AZ825" s="24" t="str">
        <f t="shared" si="85"/>
        <v/>
      </c>
      <c r="BA825" s="24" t="str">
        <f t="shared" si="85"/>
        <v/>
      </c>
      <c r="BB825" s="24" t="str">
        <f t="shared" si="85"/>
        <v/>
      </c>
      <c r="BC825" s="24" t="str">
        <f t="shared" si="85"/>
        <v/>
      </c>
      <c r="BD825" s="24" t="str">
        <f t="shared" si="85"/>
        <v/>
      </c>
      <c r="BE825" s="24" t="str">
        <f t="shared" si="85"/>
        <v/>
      </c>
      <c r="BF825" s="24" t="str">
        <f t="shared" si="85"/>
        <v/>
      </c>
      <c r="BG825" s="24" t="str">
        <f t="shared" si="85"/>
        <v/>
      </c>
      <c r="BH825" s="24" t="str">
        <f t="shared" si="82"/>
        <v/>
      </c>
      <c r="BI825" s="24">
        <f t="shared" si="85"/>
        <v>1</v>
      </c>
      <c r="BJ825" s="24" t="str">
        <f t="shared" si="84"/>
        <v/>
      </c>
    </row>
    <row r="826" spans="1:62" ht="15" customHeight="1" x14ac:dyDescent="0.25">
      <c r="A826" t="str">
        <f>"1326081183"</f>
        <v>1326081183</v>
      </c>
      <c r="B826" t="str">
        <f>"02371222"</f>
        <v>02371222</v>
      </c>
      <c r="C826" t="s">
        <v>5750</v>
      </c>
      <c r="D826" t="s">
        <v>5751</v>
      </c>
      <c r="E826" t="s">
        <v>5752</v>
      </c>
      <c r="G826" t="s">
        <v>5753</v>
      </c>
      <c r="H826" t="s">
        <v>5754</v>
      </c>
      <c r="J826" t="s">
        <v>5755</v>
      </c>
      <c r="L826" t="s">
        <v>133</v>
      </c>
      <c r="M826" t="s">
        <v>108</v>
      </c>
      <c r="R826" t="s">
        <v>5750</v>
      </c>
      <c r="W826" t="s">
        <v>5752</v>
      </c>
      <c r="X826" t="s">
        <v>5756</v>
      </c>
      <c r="Y826" t="s">
        <v>110</v>
      </c>
      <c r="Z826" t="s">
        <v>111</v>
      </c>
      <c r="AA826" t="str">
        <f>"13905-1117"</f>
        <v>13905-1117</v>
      </c>
      <c r="AB826" t="s">
        <v>1075</v>
      </c>
      <c r="AC826" t="s">
        <v>113</v>
      </c>
      <c r="AD826" t="s">
        <v>108</v>
      </c>
      <c r="AE826" t="s">
        <v>114</v>
      </c>
      <c r="AF826" t="s">
        <v>115</v>
      </c>
      <c r="AG826" t="s">
        <v>116</v>
      </c>
      <c r="AK826" t="str">
        <f t="shared" si="81"/>
        <v>LOURDES HEALTH SUPPORT, LLC</v>
      </c>
      <c r="AL826" t="s">
        <v>5751</v>
      </c>
      <c r="AM826" t="s">
        <v>108</v>
      </c>
      <c r="AN826" t="s">
        <v>108</v>
      </c>
      <c r="AO826" t="s">
        <v>108</v>
      </c>
      <c r="AP826" t="s">
        <v>108</v>
      </c>
      <c r="AQ826" t="s">
        <v>108</v>
      </c>
      <c r="AR826" t="s">
        <v>108</v>
      </c>
      <c r="AS826" t="s">
        <v>108</v>
      </c>
      <c r="AT826" t="s">
        <v>108</v>
      </c>
      <c r="AU826">
        <v>0</v>
      </c>
      <c r="AV826" t="s">
        <v>108</v>
      </c>
      <c r="AW826" t="s">
        <v>108</v>
      </c>
      <c r="AX826" s="24" t="str">
        <f t="shared" si="86"/>
        <v/>
      </c>
      <c r="AY826" s="24" t="str">
        <f t="shared" si="86"/>
        <v/>
      </c>
      <c r="AZ826" s="24" t="str">
        <f t="shared" si="85"/>
        <v/>
      </c>
      <c r="BA826" s="24" t="str">
        <f t="shared" si="85"/>
        <v/>
      </c>
      <c r="BB826" s="24" t="str">
        <f t="shared" si="85"/>
        <v/>
      </c>
      <c r="BC826" s="24" t="str">
        <f t="shared" si="85"/>
        <v/>
      </c>
      <c r="BD826" s="24" t="str">
        <f t="shared" si="85"/>
        <v/>
      </c>
      <c r="BE826" s="24" t="str">
        <f t="shared" si="85"/>
        <v/>
      </c>
      <c r="BF826" s="24" t="str">
        <f t="shared" si="85"/>
        <v/>
      </c>
      <c r="BG826" s="24" t="str">
        <f t="shared" si="85"/>
        <v/>
      </c>
      <c r="BH826" s="24" t="str">
        <f t="shared" si="82"/>
        <v/>
      </c>
      <c r="BI826" s="24" t="str">
        <f t="shared" si="85"/>
        <v/>
      </c>
      <c r="BJ826" s="24">
        <f t="shared" si="84"/>
        <v>1</v>
      </c>
    </row>
    <row r="827" spans="1:62" ht="15" customHeight="1" x14ac:dyDescent="0.25">
      <c r="A827" t="str">
        <f>"1598075871"</f>
        <v>1598075871</v>
      </c>
      <c r="B827" t="str">
        <f>"03280504"</f>
        <v>03280504</v>
      </c>
      <c r="C827" t="s">
        <v>1862</v>
      </c>
      <c r="D827" t="s">
        <v>1863</v>
      </c>
      <c r="E827" t="s">
        <v>1864</v>
      </c>
      <c r="L827" t="s">
        <v>138</v>
      </c>
      <c r="M827" t="s">
        <v>108</v>
      </c>
      <c r="R827" t="s">
        <v>1862</v>
      </c>
      <c r="W827" t="s">
        <v>1864</v>
      </c>
      <c r="X827" t="s">
        <v>1048</v>
      </c>
      <c r="Y827" t="s">
        <v>966</v>
      </c>
      <c r="Z827" t="s">
        <v>111</v>
      </c>
      <c r="AA827" t="str">
        <f>"13850-3514"</f>
        <v>13850-3514</v>
      </c>
      <c r="AB827" t="s">
        <v>123</v>
      </c>
      <c r="AC827" t="s">
        <v>113</v>
      </c>
      <c r="AD827" t="s">
        <v>108</v>
      </c>
      <c r="AE827" t="s">
        <v>114</v>
      </c>
      <c r="AF827" t="s">
        <v>115</v>
      </c>
      <c r="AG827" t="s">
        <v>116</v>
      </c>
      <c r="AK827" t="str">
        <f t="shared" si="81"/>
        <v/>
      </c>
      <c r="AL827" t="s">
        <v>1863</v>
      </c>
      <c r="AM827">
        <v>1</v>
      </c>
      <c r="AN827">
        <v>1</v>
      </c>
      <c r="AO827">
        <v>0</v>
      </c>
      <c r="AP827">
        <v>1</v>
      </c>
      <c r="AQ827">
        <v>1</v>
      </c>
      <c r="AR827">
        <v>0</v>
      </c>
      <c r="AS827">
        <v>0</v>
      </c>
      <c r="AT827">
        <v>0</v>
      </c>
      <c r="AU827">
        <v>0</v>
      </c>
      <c r="AV827">
        <v>0</v>
      </c>
      <c r="AW827">
        <v>0</v>
      </c>
      <c r="AX827" s="24" t="str">
        <f t="shared" si="86"/>
        <v/>
      </c>
      <c r="AY827" s="24">
        <f t="shared" si="86"/>
        <v>1</v>
      </c>
      <c r="AZ827" s="24" t="str">
        <f t="shared" si="85"/>
        <v/>
      </c>
      <c r="BA827" s="24" t="str">
        <f t="shared" si="85"/>
        <v/>
      </c>
      <c r="BB827" s="24" t="str">
        <f t="shared" si="85"/>
        <v/>
      </c>
      <c r="BC827" s="24" t="str">
        <f t="shared" si="85"/>
        <v/>
      </c>
      <c r="BD827" s="24" t="str">
        <f t="shared" si="85"/>
        <v/>
      </c>
      <c r="BE827" s="24" t="str">
        <f t="shared" si="85"/>
        <v/>
      </c>
      <c r="BF827" s="24" t="str">
        <f t="shared" si="85"/>
        <v/>
      </c>
      <c r="BG827" s="24" t="str">
        <f t="shared" si="85"/>
        <v/>
      </c>
      <c r="BH827" s="24" t="str">
        <f t="shared" si="82"/>
        <v/>
      </c>
      <c r="BI827" s="24">
        <f t="shared" si="85"/>
        <v>1</v>
      </c>
      <c r="BJ827" s="24" t="str">
        <f t="shared" si="84"/>
        <v/>
      </c>
    </row>
    <row r="828" spans="1:62" ht="15" customHeight="1" x14ac:dyDescent="0.25">
      <c r="A828" t="str">
        <f>"1518949080"</f>
        <v>1518949080</v>
      </c>
      <c r="B828" t="str">
        <f>"02533993"</f>
        <v>02533993</v>
      </c>
      <c r="C828" t="s">
        <v>2936</v>
      </c>
      <c r="D828" t="s">
        <v>2937</v>
      </c>
      <c r="E828" t="s">
        <v>2938</v>
      </c>
      <c r="G828" t="s">
        <v>177</v>
      </c>
      <c r="H828" t="s">
        <v>178</v>
      </c>
      <c r="J828" t="s">
        <v>179</v>
      </c>
      <c r="L828" t="s">
        <v>138</v>
      </c>
      <c r="M828" t="s">
        <v>108</v>
      </c>
      <c r="R828" t="s">
        <v>2936</v>
      </c>
      <c r="W828" t="s">
        <v>2939</v>
      </c>
      <c r="X828" t="s">
        <v>508</v>
      </c>
      <c r="Y828" t="s">
        <v>181</v>
      </c>
      <c r="Z828" t="s">
        <v>182</v>
      </c>
      <c r="AA828" t="str">
        <f>"18840-1625"</f>
        <v>18840-1625</v>
      </c>
      <c r="AB828" t="s">
        <v>123</v>
      </c>
      <c r="AC828" t="s">
        <v>113</v>
      </c>
      <c r="AD828" t="s">
        <v>108</v>
      </c>
      <c r="AE828" t="s">
        <v>114</v>
      </c>
      <c r="AF828" t="s">
        <v>115</v>
      </c>
      <c r="AG828" t="s">
        <v>116</v>
      </c>
      <c r="AK828" t="str">
        <f t="shared" si="81"/>
        <v/>
      </c>
      <c r="AL828" t="s">
        <v>2937</v>
      </c>
      <c r="AM828">
        <v>0</v>
      </c>
      <c r="AN828">
        <v>0</v>
      </c>
      <c r="AO828">
        <v>0</v>
      </c>
      <c r="AP828">
        <v>0</v>
      </c>
      <c r="AQ828">
        <v>0</v>
      </c>
      <c r="AR828">
        <v>0</v>
      </c>
      <c r="AS828">
        <v>0</v>
      </c>
      <c r="AT828">
        <v>0</v>
      </c>
      <c r="AU828">
        <v>0</v>
      </c>
      <c r="AV828">
        <v>0</v>
      </c>
      <c r="AW828">
        <v>0</v>
      </c>
      <c r="AX828" s="24" t="str">
        <f t="shared" si="86"/>
        <v/>
      </c>
      <c r="AY828" s="24">
        <f t="shared" si="86"/>
        <v>1</v>
      </c>
      <c r="AZ828" s="24" t="str">
        <f t="shared" si="85"/>
        <v/>
      </c>
      <c r="BA828" s="24" t="str">
        <f t="shared" si="85"/>
        <v/>
      </c>
      <c r="BB828" s="24" t="str">
        <f t="shared" si="85"/>
        <v/>
      </c>
      <c r="BC828" s="24" t="str">
        <f t="shared" si="85"/>
        <v/>
      </c>
      <c r="BD828" s="24" t="str">
        <f t="shared" si="85"/>
        <v/>
      </c>
      <c r="BE828" s="24" t="str">
        <f t="shared" si="85"/>
        <v/>
      </c>
      <c r="BF828" s="24" t="str">
        <f t="shared" si="85"/>
        <v/>
      </c>
      <c r="BG828" s="24" t="str">
        <f t="shared" si="85"/>
        <v/>
      </c>
      <c r="BH828" s="24" t="str">
        <f t="shared" si="82"/>
        <v/>
      </c>
      <c r="BI828" s="24">
        <f t="shared" si="85"/>
        <v>1</v>
      </c>
      <c r="BJ828" s="24" t="str">
        <f t="shared" si="84"/>
        <v/>
      </c>
    </row>
    <row r="829" spans="1:62" ht="15" customHeight="1" x14ac:dyDescent="0.25">
      <c r="A829" t="str">
        <f>"1134294978"</f>
        <v>1134294978</v>
      </c>
      <c r="B829" t="str">
        <f>"00689721"</f>
        <v>00689721</v>
      </c>
      <c r="C829" t="s">
        <v>6311</v>
      </c>
      <c r="D829" t="s">
        <v>6312</v>
      </c>
      <c r="E829" t="s">
        <v>6313</v>
      </c>
      <c r="G829" t="s">
        <v>6314</v>
      </c>
      <c r="H829" t="s">
        <v>6315</v>
      </c>
      <c r="J829" t="s">
        <v>6316</v>
      </c>
      <c r="L829" t="s">
        <v>616</v>
      </c>
      <c r="M829" t="s">
        <v>139</v>
      </c>
      <c r="R829" t="s">
        <v>6311</v>
      </c>
      <c r="W829" t="s">
        <v>6317</v>
      </c>
      <c r="X829" t="s">
        <v>6318</v>
      </c>
      <c r="Y829" t="s">
        <v>1053</v>
      </c>
      <c r="Z829" t="s">
        <v>111</v>
      </c>
      <c r="AA829" t="str">
        <f>"14611-2453"</f>
        <v>14611-2453</v>
      </c>
      <c r="AB829" t="s">
        <v>303</v>
      </c>
      <c r="AC829" t="s">
        <v>113</v>
      </c>
      <c r="AD829" t="s">
        <v>108</v>
      </c>
      <c r="AE829" t="s">
        <v>114</v>
      </c>
      <c r="AF829" t="s">
        <v>149</v>
      </c>
      <c r="AG829" t="s">
        <v>116</v>
      </c>
      <c r="AK829" t="str">
        <f t="shared" si="81"/>
        <v>LOYOLA RECOVERY FOUNDATION, INC.</v>
      </c>
      <c r="AL829" t="s">
        <v>6312</v>
      </c>
      <c r="AM829" t="s">
        <v>108</v>
      </c>
      <c r="AN829" t="s">
        <v>108</v>
      </c>
      <c r="AO829" t="s">
        <v>108</v>
      </c>
      <c r="AP829" t="s">
        <v>108</v>
      </c>
      <c r="AQ829" t="s">
        <v>108</v>
      </c>
      <c r="AR829" t="s">
        <v>108</v>
      </c>
      <c r="AS829" t="s">
        <v>108</v>
      </c>
      <c r="AT829" t="s">
        <v>108</v>
      </c>
      <c r="AU829">
        <v>0</v>
      </c>
      <c r="AV829" t="s">
        <v>108</v>
      </c>
      <c r="AW829" t="s">
        <v>108</v>
      </c>
      <c r="AX829" s="24" t="str">
        <f t="shared" si="86"/>
        <v/>
      </c>
      <c r="AY829" s="24" t="str">
        <f t="shared" si="86"/>
        <v/>
      </c>
      <c r="AZ829" s="24" t="str">
        <f t="shared" si="85"/>
        <v/>
      </c>
      <c r="BA829" s="24" t="str">
        <f t="shared" si="85"/>
        <v/>
      </c>
      <c r="BB829" s="24" t="str">
        <f t="shared" si="85"/>
        <v/>
      </c>
      <c r="BC829" s="24">
        <f t="shared" si="85"/>
        <v>1</v>
      </c>
      <c r="BD829" s="24">
        <f t="shared" si="85"/>
        <v>1</v>
      </c>
      <c r="BE829" s="24" t="str">
        <f t="shared" si="85"/>
        <v/>
      </c>
      <c r="BF829" s="24" t="str">
        <f t="shared" ref="AZ829:BI855" si="87">IF(ISERROR(FIND(BF$1,$L829,1)),"",1)</f>
        <v/>
      </c>
      <c r="BG829" s="24" t="str">
        <f t="shared" si="87"/>
        <v/>
      </c>
      <c r="BH829" s="24" t="str">
        <f t="shared" si="82"/>
        <v/>
      </c>
      <c r="BI829" s="24">
        <f t="shared" si="87"/>
        <v>1</v>
      </c>
      <c r="BJ829" s="24" t="str">
        <f t="shared" si="84"/>
        <v/>
      </c>
    </row>
    <row r="830" spans="1:62" ht="15" customHeight="1" x14ac:dyDescent="0.25">
      <c r="A830" t="str">
        <f>"1366413916"</f>
        <v>1366413916</v>
      </c>
      <c r="B830" t="str">
        <f>"02633232"</f>
        <v>02633232</v>
      </c>
      <c r="C830" t="s">
        <v>2213</v>
      </c>
      <c r="D830" t="s">
        <v>2214</v>
      </c>
      <c r="E830" t="s">
        <v>2215</v>
      </c>
      <c r="G830" t="s">
        <v>177</v>
      </c>
      <c r="H830" t="s">
        <v>178</v>
      </c>
      <c r="J830" t="s">
        <v>179</v>
      </c>
      <c r="L830" t="s">
        <v>138</v>
      </c>
      <c r="M830" t="s">
        <v>108</v>
      </c>
      <c r="R830" t="s">
        <v>2213</v>
      </c>
      <c r="W830" t="s">
        <v>2215</v>
      </c>
      <c r="X830" t="s">
        <v>740</v>
      </c>
      <c r="Y830" t="s">
        <v>181</v>
      </c>
      <c r="Z830" t="s">
        <v>182</v>
      </c>
      <c r="AA830" t="str">
        <f>"18840"</f>
        <v>18840</v>
      </c>
      <c r="AB830" t="s">
        <v>123</v>
      </c>
      <c r="AC830" t="s">
        <v>113</v>
      </c>
      <c r="AD830" t="s">
        <v>108</v>
      </c>
      <c r="AE830" t="s">
        <v>114</v>
      </c>
      <c r="AF830" t="s">
        <v>115</v>
      </c>
      <c r="AG830" t="s">
        <v>116</v>
      </c>
      <c r="AK830" t="str">
        <f t="shared" si="81"/>
        <v/>
      </c>
      <c r="AL830" t="s">
        <v>2214</v>
      </c>
      <c r="AM830">
        <v>1</v>
      </c>
      <c r="AN830">
        <v>1</v>
      </c>
      <c r="AO830">
        <v>0</v>
      </c>
      <c r="AP830">
        <v>0</v>
      </c>
      <c r="AQ830">
        <v>0</v>
      </c>
      <c r="AR830">
        <v>0</v>
      </c>
      <c r="AS830">
        <v>0</v>
      </c>
      <c r="AT830">
        <v>0</v>
      </c>
      <c r="AU830">
        <v>0</v>
      </c>
      <c r="AV830">
        <v>1</v>
      </c>
      <c r="AW830">
        <v>0</v>
      </c>
      <c r="AX830" s="24" t="str">
        <f t="shared" si="86"/>
        <v/>
      </c>
      <c r="AY830" s="24">
        <f t="shared" si="86"/>
        <v>1</v>
      </c>
      <c r="AZ830" s="24" t="str">
        <f t="shared" si="87"/>
        <v/>
      </c>
      <c r="BA830" s="24" t="str">
        <f t="shared" si="87"/>
        <v/>
      </c>
      <c r="BB830" s="24" t="str">
        <f t="shared" si="87"/>
        <v/>
      </c>
      <c r="BC830" s="24" t="str">
        <f t="shared" si="87"/>
        <v/>
      </c>
      <c r="BD830" s="24" t="str">
        <f t="shared" si="87"/>
        <v/>
      </c>
      <c r="BE830" s="24" t="str">
        <f t="shared" si="87"/>
        <v/>
      </c>
      <c r="BF830" s="24" t="str">
        <f t="shared" si="87"/>
        <v/>
      </c>
      <c r="BG830" s="24" t="str">
        <f t="shared" si="87"/>
        <v/>
      </c>
      <c r="BH830" s="24" t="str">
        <f t="shared" si="82"/>
        <v/>
      </c>
      <c r="BI830" s="24">
        <f t="shared" si="87"/>
        <v>1</v>
      </c>
      <c r="BJ830" s="24" t="str">
        <f t="shared" si="84"/>
        <v/>
      </c>
    </row>
    <row r="831" spans="1:62" ht="15" customHeight="1" x14ac:dyDescent="0.25">
      <c r="A831" t="str">
        <f>"1851368732"</f>
        <v>1851368732</v>
      </c>
      <c r="B831" t="str">
        <f>"02367595"</f>
        <v>02367595</v>
      </c>
      <c r="C831" t="s">
        <v>5601</v>
      </c>
      <c r="D831" t="s">
        <v>5602</v>
      </c>
      <c r="E831" t="s">
        <v>5603</v>
      </c>
      <c r="G831" t="s">
        <v>4251</v>
      </c>
      <c r="H831" t="s">
        <v>4252</v>
      </c>
      <c r="J831" t="s">
        <v>5604</v>
      </c>
      <c r="L831" t="s">
        <v>120</v>
      </c>
      <c r="M831" t="s">
        <v>108</v>
      </c>
      <c r="R831" t="s">
        <v>5605</v>
      </c>
      <c r="W831" t="s">
        <v>5603</v>
      </c>
      <c r="X831" t="s">
        <v>4256</v>
      </c>
      <c r="Y831" t="s">
        <v>293</v>
      </c>
      <c r="Z831" t="s">
        <v>111</v>
      </c>
      <c r="AA831" t="str">
        <f>"14850-4345"</f>
        <v>14850-4345</v>
      </c>
      <c r="AB831" t="s">
        <v>123</v>
      </c>
      <c r="AC831" t="s">
        <v>113</v>
      </c>
      <c r="AD831" t="s">
        <v>108</v>
      </c>
      <c r="AE831" t="s">
        <v>114</v>
      </c>
      <c r="AF831" t="s">
        <v>142</v>
      </c>
      <c r="AG831" t="s">
        <v>116</v>
      </c>
      <c r="AK831" t="str">
        <f t="shared" si="81"/>
        <v/>
      </c>
      <c r="AL831" t="s">
        <v>5602</v>
      </c>
      <c r="AM831">
        <v>1</v>
      </c>
      <c r="AN831">
        <v>1</v>
      </c>
      <c r="AO831">
        <v>0</v>
      </c>
      <c r="AP831">
        <v>0</v>
      </c>
      <c r="AQ831">
        <v>0</v>
      </c>
      <c r="AR831">
        <v>0</v>
      </c>
      <c r="AS831">
        <v>0</v>
      </c>
      <c r="AT831">
        <v>0</v>
      </c>
      <c r="AU831">
        <v>0</v>
      </c>
      <c r="AV831">
        <v>0</v>
      </c>
      <c r="AW831">
        <v>0</v>
      </c>
      <c r="AX831" s="24">
        <f t="shared" si="86"/>
        <v>1</v>
      </c>
      <c r="AY831" s="24" t="str">
        <f t="shared" si="86"/>
        <v/>
      </c>
      <c r="AZ831" s="24" t="str">
        <f t="shared" si="87"/>
        <v/>
      </c>
      <c r="BA831" s="24" t="str">
        <f t="shared" si="87"/>
        <v/>
      </c>
      <c r="BB831" s="24" t="str">
        <f t="shared" si="87"/>
        <v/>
      </c>
      <c r="BC831" s="24" t="str">
        <f t="shared" si="87"/>
        <v/>
      </c>
      <c r="BD831" s="24" t="str">
        <f t="shared" si="87"/>
        <v/>
      </c>
      <c r="BE831" s="24" t="str">
        <f t="shared" si="87"/>
        <v/>
      </c>
      <c r="BF831" s="24" t="str">
        <f t="shared" si="87"/>
        <v/>
      </c>
      <c r="BG831" s="24" t="str">
        <f t="shared" si="87"/>
        <v/>
      </c>
      <c r="BH831" s="24" t="str">
        <f t="shared" si="82"/>
        <v/>
      </c>
      <c r="BI831" s="24">
        <f t="shared" si="87"/>
        <v>1</v>
      </c>
      <c r="BJ831" s="24" t="str">
        <f t="shared" si="84"/>
        <v/>
      </c>
    </row>
    <row r="832" spans="1:62" ht="15" customHeight="1" x14ac:dyDescent="0.25">
      <c r="A832" t="str">
        <f>"1285673244"</f>
        <v>1285673244</v>
      </c>
      <c r="B832" t="str">
        <f>"00498444"</f>
        <v>00498444</v>
      </c>
      <c r="C832" t="s">
        <v>4138</v>
      </c>
      <c r="D832" t="s">
        <v>4139</v>
      </c>
      <c r="E832" t="s">
        <v>4140</v>
      </c>
      <c r="L832" t="s">
        <v>133</v>
      </c>
      <c r="M832" t="s">
        <v>108</v>
      </c>
      <c r="W832" t="s">
        <v>4140</v>
      </c>
      <c r="X832" t="s">
        <v>4141</v>
      </c>
      <c r="Y832" t="s">
        <v>991</v>
      </c>
      <c r="Z832" t="s">
        <v>111</v>
      </c>
      <c r="AA832" t="str">
        <f>"13838"</f>
        <v>13838</v>
      </c>
      <c r="AB832" t="s">
        <v>123</v>
      </c>
      <c r="AC832" t="s">
        <v>113</v>
      </c>
      <c r="AD832" t="s">
        <v>108</v>
      </c>
      <c r="AE832" t="s">
        <v>114</v>
      </c>
      <c r="AF832" t="s">
        <v>124</v>
      </c>
      <c r="AG832" t="s">
        <v>116</v>
      </c>
      <c r="AK832" t="str">
        <f t="shared" si="81"/>
        <v>LUKOSE JOSEPH DR.</v>
      </c>
      <c r="AL832" t="s">
        <v>4139</v>
      </c>
      <c r="AM832" t="s">
        <v>108</v>
      </c>
      <c r="AN832" t="s">
        <v>108</v>
      </c>
      <c r="AO832" t="s">
        <v>108</v>
      </c>
      <c r="AP832" t="s">
        <v>108</v>
      </c>
      <c r="AQ832" t="s">
        <v>108</v>
      </c>
      <c r="AR832" t="s">
        <v>108</v>
      </c>
      <c r="AS832" t="s">
        <v>108</v>
      </c>
      <c r="AT832" t="s">
        <v>108</v>
      </c>
      <c r="AU832">
        <v>0</v>
      </c>
      <c r="AV832" t="s">
        <v>108</v>
      </c>
      <c r="AW832" t="s">
        <v>108</v>
      </c>
      <c r="AX832" s="24" t="str">
        <f t="shared" si="86"/>
        <v/>
      </c>
      <c r="AY832" s="24" t="str">
        <f t="shared" si="86"/>
        <v/>
      </c>
      <c r="AZ832" s="24" t="str">
        <f t="shared" si="87"/>
        <v/>
      </c>
      <c r="BA832" s="24" t="str">
        <f t="shared" si="87"/>
        <v/>
      </c>
      <c r="BB832" s="24" t="str">
        <f t="shared" si="87"/>
        <v/>
      </c>
      <c r="BC832" s="24" t="str">
        <f t="shared" si="87"/>
        <v/>
      </c>
      <c r="BD832" s="24" t="str">
        <f t="shared" si="87"/>
        <v/>
      </c>
      <c r="BE832" s="24" t="str">
        <f t="shared" si="87"/>
        <v/>
      </c>
      <c r="BF832" s="24" t="str">
        <f t="shared" si="87"/>
        <v/>
      </c>
      <c r="BG832" s="24" t="str">
        <f t="shared" si="87"/>
        <v/>
      </c>
      <c r="BH832" s="24" t="str">
        <f t="shared" si="82"/>
        <v/>
      </c>
      <c r="BI832" s="24" t="str">
        <f t="shared" si="87"/>
        <v/>
      </c>
      <c r="BJ832" s="24">
        <f t="shared" si="84"/>
        <v>1</v>
      </c>
    </row>
    <row r="833" spans="1:62" ht="15" customHeight="1" x14ac:dyDescent="0.25">
      <c r="A833" t="str">
        <f>"1790726255"</f>
        <v>1790726255</v>
      </c>
      <c r="B833" t="str">
        <f>"03300378"</f>
        <v>03300378</v>
      </c>
      <c r="C833" t="s">
        <v>2480</v>
      </c>
      <c r="D833" t="s">
        <v>2481</v>
      </c>
      <c r="E833" t="s">
        <v>2482</v>
      </c>
      <c r="G833" t="s">
        <v>177</v>
      </c>
      <c r="H833" t="s">
        <v>178</v>
      </c>
      <c r="J833" t="s">
        <v>179</v>
      </c>
      <c r="L833" t="s">
        <v>138</v>
      </c>
      <c r="M833" t="s">
        <v>108</v>
      </c>
      <c r="R833" t="s">
        <v>2480</v>
      </c>
      <c r="W833" t="s">
        <v>2482</v>
      </c>
      <c r="X833" t="s">
        <v>196</v>
      </c>
      <c r="Y833" t="s">
        <v>181</v>
      </c>
      <c r="Z833" t="s">
        <v>182</v>
      </c>
      <c r="AA833" t="str">
        <f>"18840-1625"</f>
        <v>18840-1625</v>
      </c>
      <c r="AB833" t="s">
        <v>123</v>
      </c>
      <c r="AC833" t="s">
        <v>113</v>
      </c>
      <c r="AD833" t="s">
        <v>108</v>
      </c>
      <c r="AE833" t="s">
        <v>114</v>
      </c>
      <c r="AF833" t="s">
        <v>115</v>
      </c>
      <c r="AG833" t="s">
        <v>116</v>
      </c>
      <c r="AK833" t="str">
        <f t="shared" si="81"/>
        <v/>
      </c>
      <c r="AL833" t="s">
        <v>2481</v>
      </c>
      <c r="AM833">
        <v>0</v>
      </c>
      <c r="AN833">
        <v>0</v>
      </c>
      <c r="AO833">
        <v>0</v>
      </c>
      <c r="AP833">
        <v>0</v>
      </c>
      <c r="AQ833">
        <v>0</v>
      </c>
      <c r="AR833">
        <v>0</v>
      </c>
      <c r="AS833">
        <v>0</v>
      </c>
      <c r="AT833">
        <v>0</v>
      </c>
      <c r="AU833">
        <v>0</v>
      </c>
      <c r="AV833">
        <v>0</v>
      </c>
      <c r="AW833">
        <v>0</v>
      </c>
      <c r="AX833" s="24" t="str">
        <f t="shared" si="86"/>
        <v/>
      </c>
      <c r="AY833" s="24">
        <f t="shared" si="86"/>
        <v>1</v>
      </c>
      <c r="AZ833" s="24" t="str">
        <f t="shared" si="87"/>
        <v/>
      </c>
      <c r="BA833" s="24" t="str">
        <f t="shared" si="87"/>
        <v/>
      </c>
      <c r="BB833" s="24" t="str">
        <f t="shared" si="87"/>
        <v/>
      </c>
      <c r="BC833" s="24" t="str">
        <f t="shared" si="87"/>
        <v/>
      </c>
      <c r="BD833" s="24" t="str">
        <f t="shared" si="87"/>
        <v/>
      </c>
      <c r="BE833" s="24" t="str">
        <f t="shared" si="87"/>
        <v/>
      </c>
      <c r="BF833" s="24" t="str">
        <f t="shared" si="87"/>
        <v/>
      </c>
      <c r="BG833" s="24" t="str">
        <f t="shared" si="87"/>
        <v/>
      </c>
      <c r="BH833" s="24" t="str">
        <f t="shared" si="82"/>
        <v/>
      </c>
      <c r="BI833" s="24">
        <f t="shared" si="87"/>
        <v>1</v>
      </c>
      <c r="BJ833" s="24" t="str">
        <f t="shared" si="84"/>
        <v/>
      </c>
    </row>
    <row r="834" spans="1:62" ht="15" customHeight="1" x14ac:dyDescent="0.25">
      <c r="A834" t="str">
        <f>"1407927924"</f>
        <v>1407927924</v>
      </c>
      <c r="B834" t="str">
        <f>"02328985"</f>
        <v>02328985</v>
      </c>
      <c r="C834" t="s">
        <v>5945</v>
      </c>
      <c r="D834" t="s">
        <v>5946</v>
      </c>
      <c r="E834" t="s">
        <v>5947</v>
      </c>
      <c r="G834" t="s">
        <v>815</v>
      </c>
      <c r="H834" t="s">
        <v>816</v>
      </c>
      <c r="J834" t="s">
        <v>817</v>
      </c>
      <c r="L834" t="s">
        <v>120</v>
      </c>
      <c r="M834" t="s">
        <v>139</v>
      </c>
      <c r="R834" t="s">
        <v>5947</v>
      </c>
      <c r="W834" t="s">
        <v>5948</v>
      </c>
      <c r="X834" t="s">
        <v>5949</v>
      </c>
      <c r="Y834" t="s">
        <v>5950</v>
      </c>
      <c r="Z834" t="s">
        <v>111</v>
      </c>
      <c r="AA834" t="str">
        <f>"13835-0001"</f>
        <v>13835-0001</v>
      </c>
      <c r="AB834" t="s">
        <v>123</v>
      </c>
      <c r="AC834" t="s">
        <v>113</v>
      </c>
      <c r="AD834" t="s">
        <v>108</v>
      </c>
      <c r="AE834" t="s">
        <v>114</v>
      </c>
      <c r="AF834" t="s">
        <v>115</v>
      </c>
      <c r="AG834" t="s">
        <v>116</v>
      </c>
      <c r="AK834" t="str">
        <f t="shared" ref="AK834:AK897" si="88">IF(AM834="No",C834,"")</f>
        <v>Lynn M. Verduin, FNP-C</v>
      </c>
      <c r="AL834" t="s">
        <v>5946</v>
      </c>
      <c r="AM834" t="s">
        <v>108</v>
      </c>
      <c r="AN834" t="s">
        <v>108</v>
      </c>
      <c r="AO834" t="s">
        <v>108</v>
      </c>
      <c r="AP834" t="s">
        <v>108</v>
      </c>
      <c r="AQ834" t="s">
        <v>108</v>
      </c>
      <c r="AR834" t="s">
        <v>108</v>
      </c>
      <c r="AS834" t="s">
        <v>108</v>
      </c>
      <c r="AT834" t="s">
        <v>108</v>
      </c>
      <c r="AU834">
        <v>0</v>
      </c>
      <c r="AV834" t="s">
        <v>108</v>
      </c>
      <c r="AW834" t="s">
        <v>108</v>
      </c>
      <c r="AX834" s="24">
        <f t="shared" si="86"/>
        <v>1</v>
      </c>
      <c r="AY834" s="24" t="str">
        <f t="shared" si="86"/>
        <v/>
      </c>
      <c r="AZ834" s="24" t="str">
        <f t="shared" si="87"/>
        <v/>
      </c>
      <c r="BA834" s="24" t="str">
        <f t="shared" si="87"/>
        <v/>
      </c>
      <c r="BB834" s="24" t="str">
        <f t="shared" si="87"/>
        <v/>
      </c>
      <c r="BC834" s="24" t="str">
        <f t="shared" si="87"/>
        <v/>
      </c>
      <c r="BD834" s="24" t="str">
        <f t="shared" si="87"/>
        <v/>
      </c>
      <c r="BE834" s="24" t="str">
        <f t="shared" si="87"/>
        <v/>
      </c>
      <c r="BF834" s="24" t="str">
        <f t="shared" si="87"/>
        <v/>
      </c>
      <c r="BG834" s="24" t="str">
        <f t="shared" si="87"/>
        <v/>
      </c>
      <c r="BH834" s="24" t="str">
        <f t="shared" si="82"/>
        <v/>
      </c>
      <c r="BI834" s="24">
        <f t="shared" si="87"/>
        <v>1</v>
      </c>
      <c r="BJ834" s="24" t="str">
        <f t="shared" si="84"/>
        <v/>
      </c>
    </row>
    <row r="835" spans="1:62" ht="15" customHeight="1" x14ac:dyDescent="0.25">
      <c r="A835" t="str">
        <f>"1659392538"</f>
        <v>1659392538</v>
      </c>
      <c r="B835" t="str">
        <f>"01454099"</f>
        <v>01454099</v>
      </c>
      <c r="C835" t="s">
        <v>4681</v>
      </c>
      <c r="D835" t="s">
        <v>4682</v>
      </c>
      <c r="E835" t="s">
        <v>4683</v>
      </c>
      <c r="G835" t="s">
        <v>3566</v>
      </c>
      <c r="H835" t="s">
        <v>3567</v>
      </c>
      <c r="J835" t="s">
        <v>4684</v>
      </c>
      <c r="L835" t="s">
        <v>138</v>
      </c>
      <c r="M835" t="s">
        <v>108</v>
      </c>
      <c r="R835" t="s">
        <v>4685</v>
      </c>
      <c r="W835" t="s">
        <v>4683</v>
      </c>
      <c r="X835" t="s">
        <v>4686</v>
      </c>
      <c r="Y835" t="s">
        <v>239</v>
      </c>
      <c r="Z835" t="s">
        <v>111</v>
      </c>
      <c r="AA835" t="str">
        <f>"13045"</f>
        <v>13045</v>
      </c>
      <c r="AB835" t="s">
        <v>123</v>
      </c>
      <c r="AC835" t="s">
        <v>113</v>
      </c>
      <c r="AD835" t="s">
        <v>108</v>
      </c>
      <c r="AE835" t="s">
        <v>114</v>
      </c>
      <c r="AF835" t="s">
        <v>142</v>
      </c>
      <c r="AG835" t="s">
        <v>116</v>
      </c>
      <c r="AK835" t="str">
        <f t="shared" si="88"/>
        <v/>
      </c>
      <c r="AL835" t="s">
        <v>4682</v>
      </c>
      <c r="AM835">
        <v>1</v>
      </c>
      <c r="AN835">
        <v>1</v>
      </c>
      <c r="AO835">
        <v>0</v>
      </c>
      <c r="AP835">
        <v>0</v>
      </c>
      <c r="AQ835">
        <v>0</v>
      </c>
      <c r="AR835">
        <v>0</v>
      </c>
      <c r="AS835">
        <v>0</v>
      </c>
      <c r="AT835">
        <v>0</v>
      </c>
      <c r="AU835">
        <v>0</v>
      </c>
      <c r="AV835">
        <v>0</v>
      </c>
      <c r="AW835">
        <v>0</v>
      </c>
      <c r="AX835" s="24" t="str">
        <f t="shared" si="86"/>
        <v/>
      </c>
      <c r="AY835" s="24">
        <f t="shared" si="86"/>
        <v>1</v>
      </c>
      <c r="AZ835" s="24" t="str">
        <f t="shared" si="87"/>
        <v/>
      </c>
      <c r="BA835" s="24" t="str">
        <f t="shared" si="87"/>
        <v/>
      </c>
      <c r="BB835" s="24" t="str">
        <f t="shared" si="87"/>
        <v/>
      </c>
      <c r="BC835" s="24" t="str">
        <f t="shared" si="87"/>
        <v/>
      </c>
      <c r="BD835" s="24" t="str">
        <f t="shared" si="87"/>
        <v/>
      </c>
      <c r="BE835" s="24" t="str">
        <f t="shared" si="87"/>
        <v/>
      </c>
      <c r="BF835" s="24" t="str">
        <f t="shared" si="87"/>
        <v/>
      </c>
      <c r="BG835" s="24" t="str">
        <f t="shared" si="87"/>
        <v/>
      </c>
      <c r="BH835" s="24" t="str">
        <f t="shared" ref="BH835:BH898" si="89">IF(ISERROR(FIND("CBO",$L835,1)),"",1)</f>
        <v/>
      </c>
      <c r="BI835" s="24">
        <f t="shared" si="87"/>
        <v>1</v>
      </c>
      <c r="BJ835" s="24" t="str">
        <f t="shared" si="84"/>
        <v/>
      </c>
    </row>
    <row r="836" spans="1:62" ht="15" customHeight="1" x14ac:dyDescent="0.25">
      <c r="A836" t="str">
        <f>"1306819701"</f>
        <v>1306819701</v>
      </c>
      <c r="B836" t="str">
        <f>"03241985"</f>
        <v>03241985</v>
      </c>
      <c r="C836" t="s">
        <v>2287</v>
      </c>
      <c r="D836" t="s">
        <v>2288</v>
      </c>
      <c r="E836" t="s">
        <v>2289</v>
      </c>
      <c r="G836" t="s">
        <v>177</v>
      </c>
      <c r="H836" t="s">
        <v>178</v>
      </c>
      <c r="J836" t="s">
        <v>179</v>
      </c>
      <c r="L836" t="s">
        <v>138</v>
      </c>
      <c r="M836" t="s">
        <v>108</v>
      </c>
      <c r="R836" t="s">
        <v>2287</v>
      </c>
      <c r="W836" t="s">
        <v>2289</v>
      </c>
      <c r="X836" t="s">
        <v>196</v>
      </c>
      <c r="Y836" t="s">
        <v>181</v>
      </c>
      <c r="Z836" t="s">
        <v>182</v>
      </c>
      <c r="AA836" t="str">
        <f>"18840-1625"</f>
        <v>18840-1625</v>
      </c>
      <c r="AB836" t="s">
        <v>123</v>
      </c>
      <c r="AC836" t="s">
        <v>113</v>
      </c>
      <c r="AD836" t="s">
        <v>108</v>
      </c>
      <c r="AE836" t="s">
        <v>114</v>
      </c>
      <c r="AF836" t="s">
        <v>115</v>
      </c>
      <c r="AG836" t="s">
        <v>116</v>
      </c>
      <c r="AK836" t="str">
        <f t="shared" si="88"/>
        <v/>
      </c>
      <c r="AL836" t="s">
        <v>2288</v>
      </c>
      <c r="AM836">
        <v>1</v>
      </c>
      <c r="AN836">
        <v>1</v>
      </c>
      <c r="AO836">
        <v>0</v>
      </c>
      <c r="AP836">
        <v>0</v>
      </c>
      <c r="AQ836">
        <v>0</v>
      </c>
      <c r="AR836">
        <v>0</v>
      </c>
      <c r="AS836">
        <v>0</v>
      </c>
      <c r="AT836">
        <v>0</v>
      </c>
      <c r="AU836">
        <v>0</v>
      </c>
      <c r="AV836">
        <v>1</v>
      </c>
      <c r="AW836">
        <v>0</v>
      </c>
      <c r="AX836" s="24" t="str">
        <f t="shared" si="86"/>
        <v/>
      </c>
      <c r="AY836" s="24">
        <f t="shared" si="86"/>
        <v>1</v>
      </c>
      <c r="AZ836" s="24" t="str">
        <f t="shared" si="87"/>
        <v/>
      </c>
      <c r="BA836" s="24" t="str">
        <f t="shared" si="87"/>
        <v/>
      </c>
      <c r="BB836" s="24" t="str">
        <f t="shared" si="87"/>
        <v/>
      </c>
      <c r="BC836" s="24" t="str">
        <f t="shared" si="87"/>
        <v/>
      </c>
      <c r="BD836" s="24" t="str">
        <f t="shared" si="87"/>
        <v/>
      </c>
      <c r="BE836" s="24" t="str">
        <f t="shared" si="87"/>
        <v/>
      </c>
      <c r="BF836" s="24" t="str">
        <f t="shared" si="87"/>
        <v/>
      </c>
      <c r="BG836" s="24" t="str">
        <f t="shared" si="87"/>
        <v/>
      </c>
      <c r="BH836" s="24" t="str">
        <f t="shared" si="89"/>
        <v/>
      </c>
      <c r="BI836" s="24">
        <f t="shared" si="87"/>
        <v>1</v>
      </c>
      <c r="BJ836" s="24" t="str">
        <f t="shared" si="84"/>
        <v/>
      </c>
    </row>
    <row r="837" spans="1:62" ht="15" customHeight="1" x14ac:dyDescent="0.25">
      <c r="A837" t="str">
        <f>"1225069446"</f>
        <v>1225069446</v>
      </c>
      <c r="B837" t="str">
        <f>"02806513"</f>
        <v>02806513</v>
      </c>
      <c r="C837" t="s">
        <v>6236</v>
      </c>
      <c r="D837" t="s">
        <v>6237</v>
      </c>
      <c r="E837" t="s">
        <v>6238</v>
      </c>
      <c r="G837" t="s">
        <v>815</v>
      </c>
      <c r="H837" t="s">
        <v>816</v>
      </c>
      <c r="J837" t="s">
        <v>817</v>
      </c>
      <c r="L837" t="s">
        <v>6868</v>
      </c>
      <c r="M837" t="s">
        <v>108</v>
      </c>
      <c r="R837" t="s">
        <v>6239</v>
      </c>
      <c r="W837" t="s">
        <v>6238</v>
      </c>
      <c r="X837" t="s">
        <v>204</v>
      </c>
      <c r="Y837" t="s">
        <v>110</v>
      </c>
      <c r="Z837" t="s">
        <v>111</v>
      </c>
      <c r="AA837" t="str">
        <f>"13905-4246"</f>
        <v>13905-4246</v>
      </c>
      <c r="AB837" t="s">
        <v>123</v>
      </c>
      <c r="AC837" t="s">
        <v>113</v>
      </c>
      <c r="AD837" t="s">
        <v>108</v>
      </c>
      <c r="AE837" t="s">
        <v>114</v>
      </c>
      <c r="AF837" t="s">
        <v>115</v>
      </c>
      <c r="AG837" t="s">
        <v>116</v>
      </c>
      <c r="AK837" t="str">
        <f t="shared" si="88"/>
        <v>Madhukar Bhoomireddi, MD</v>
      </c>
      <c r="AL837" t="s">
        <v>6237</v>
      </c>
      <c r="AM837" t="s">
        <v>108</v>
      </c>
      <c r="AN837" t="s">
        <v>108</v>
      </c>
      <c r="AO837" t="s">
        <v>108</v>
      </c>
      <c r="AP837" t="s">
        <v>108</v>
      </c>
      <c r="AQ837" t="s">
        <v>108</v>
      </c>
      <c r="AR837" t="s">
        <v>108</v>
      </c>
      <c r="AS837" t="s">
        <v>108</v>
      </c>
      <c r="AT837" t="s">
        <v>108</v>
      </c>
      <c r="AU837">
        <v>0</v>
      </c>
      <c r="AV837" t="s">
        <v>108</v>
      </c>
      <c r="AW837" t="s">
        <v>108</v>
      </c>
      <c r="AX837" s="24">
        <f t="shared" si="86"/>
        <v>1</v>
      </c>
      <c r="AY837" s="24">
        <f t="shared" si="86"/>
        <v>1</v>
      </c>
      <c r="AZ837" s="24" t="str">
        <f t="shared" si="87"/>
        <v/>
      </c>
      <c r="BA837" s="24" t="str">
        <f t="shared" si="87"/>
        <v/>
      </c>
      <c r="BB837" s="24" t="str">
        <f t="shared" si="87"/>
        <v/>
      </c>
      <c r="BC837" s="24" t="str">
        <f t="shared" si="87"/>
        <v/>
      </c>
      <c r="BD837" s="24" t="str">
        <f t="shared" si="87"/>
        <v/>
      </c>
      <c r="BE837" s="24" t="str">
        <f t="shared" si="87"/>
        <v/>
      </c>
      <c r="BF837" s="24" t="str">
        <f t="shared" si="87"/>
        <v/>
      </c>
      <c r="BG837" s="24" t="str">
        <f t="shared" si="87"/>
        <v/>
      </c>
      <c r="BH837" s="24" t="str">
        <f t="shared" si="89"/>
        <v/>
      </c>
      <c r="BI837" s="24" t="str">
        <f t="shared" si="87"/>
        <v/>
      </c>
      <c r="BJ837" s="24" t="str">
        <f t="shared" si="84"/>
        <v/>
      </c>
    </row>
    <row r="838" spans="1:62" ht="15" customHeight="1" x14ac:dyDescent="0.25">
      <c r="A838" t="str">
        <f>"1427113547"</f>
        <v>1427113547</v>
      </c>
      <c r="B838" t="str">
        <f>"01454957"</f>
        <v>01454957</v>
      </c>
      <c r="C838" t="s">
        <v>5525</v>
      </c>
      <c r="D838" t="s">
        <v>5526</v>
      </c>
      <c r="E838" t="s">
        <v>5525</v>
      </c>
      <c r="F838">
        <v>160958020</v>
      </c>
      <c r="G838" t="s">
        <v>901</v>
      </c>
      <c r="H838" t="s">
        <v>902</v>
      </c>
      <c r="L838" t="s">
        <v>68</v>
      </c>
      <c r="M838" t="s">
        <v>139</v>
      </c>
      <c r="R838" t="s">
        <v>5527</v>
      </c>
      <c r="W838" t="s">
        <v>5525</v>
      </c>
      <c r="X838" t="s">
        <v>5528</v>
      </c>
      <c r="Y838" t="s">
        <v>904</v>
      </c>
      <c r="Z838" t="s">
        <v>111</v>
      </c>
      <c r="AA838" t="str">
        <f>"13421-2465"</f>
        <v>13421-2465</v>
      </c>
      <c r="AB838" t="s">
        <v>282</v>
      </c>
      <c r="AC838" t="s">
        <v>113</v>
      </c>
      <c r="AD838" t="s">
        <v>108</v>
      </c>
      <c r="AE838" t="s">
        <v>114</v>
      </c>
      <c r="AF838" t="s">
        <v>124</v>
      </c>
      <c r="AG838" t="s">
        <v>116</v>
      </c>
      <c r="AK838" t="str">
        <f t="shared" si="88"/>
        <v/>
      </c>
      <c r="AL838" t="s">
        <v>5526</v>
      </c>
      <c r="AM838">
        <v>0</v>
      </c>
      <c r="AN838">
        <v>0</v>
      </c>
      <c r="AO838">
        <v>0</v>
      </c>
      <c r="AP838">
        <v>0</v>
      </c>
      <c r="AQ838">
        <v>0</v>
      </c>
      <c r="AR838">
        <v>0</v>
      </c>
      <c r="AS838">
        <v>0</v>
      </c>
      <c r="AT838">
        <v>0</v>
      </c>
      <c r="AU838">
        <v>0</v>
      </c>
      <c r="AV838">
        <v>0</v>
      </c>
      <c r="AW838">
        <v>0</v>
      </c>
      <c r="AX838" s="24" t="str">
        <f t="shared" si="86"/>
        <v/>
      </c>
      <c r="AY838" s="24" t="str">
        <f t="shared" si="86"/>
        <v/>
      </c>
      <c r="AZ838" s="24" t="str">
        <f t="shared" si="87"/>
        <v/>
      </c>
      <c r="BA838" s="24" t="str">
        <f t="shared" si="87"/>
        <v/>
      </c>
      <c r="BB838" s="24" t="str">
        <f t="shared" si="87"/>
        <v/>
      </c>
      <c r="BC838" s="24" t="str">
        <f t="shared" si="87"/>
        <v/>
      </c>
      <c r="BD838" s="24" t="str">
        <f t="shared" si="87"/>
        <v/>
      </c>
      <c r="BE838" s="24" t="str">
        <f t="shared" si="87"/>
        <v/>
      </c>
      <c r="BF838" s="24" t="str">
        <f t="shared" si="87"/>
        <v/>
      </c>
      <c r="BG838" s="24" t="str">
        <f t="shared" si="87"/>
        <v/>
      </c>
      <c r="BH838" s="24" t="str">
        <f t="shared" si="89"/>
        <v/>
      </c>
      <c r="BI838" s="24">
        <f t="shared" si="87"/>
        <v>1</v>
      </c>
      <c r="BJ838" s="24" t="str">
        <f t="shared" si="84"/>
        <v/>
      </c>
    </row>
    <row r="839" spans="1:62" ht="15" customHeight="1" x14ac:dyDescent="0.25">
      <c r="A839" t="str">
        <f>"1609202696"</f>
        <v>1609202696</v>
      </c>
      <c r="B839" t="str">
        <f>"03745131"</f>
        <v>03745131</v>
      </c>
      <c r="C839" t="s">
        <v>3703</v>
      </c>
      <c r="D839" t="s">
        <v>3704</v>
      </c>
      <c r="E839" t="s">
        <v>3705</v>
      </c>
      <c r="G839" t="s">
        <v>3703</v>
      </c>
      <c r="H839" t="s">
        <v>3687</v>
      </c>
      <c r="J839" t="s">
        <v>3706</v>
      </c>
      <c r="L839" t="s">
        <v>138</v>
      </c>
      <c r="M839" t="s">
        <v>108</v>
      </c>
      <c r="R839" t="s">
        <v>3707</v>
      </c>
      <c r="W839" t="s">
        <v>3705</v>
      </c>
      <c r="X839" t="s">
        <v>798</v>
      </c>
      <c r="Y839" t="s">
        <v>110</v>
      </c>
      <c r="Z839" t="s">
        <v>111</v>
      </c>
      <c r="AA839" t="str">
        <f>"13901-1293"</f>
        <v>13901-1293</v>
      </c>
      <c r="AB839" t="s">
        <v>123</v>
      </c>
      <c r="AC839" t="s">
        <v>113</v>
      </c>
      <c r="AD839" t="s">
        <v>108</v>
      </c>
      <c r="AE839" t="s">
        <v>114</v>
      </c>
      <c r="AF839" t="s">
        <v>115</v>
      </c>
      <c r="AG839" t="s">
        <v>116</v>
      </c>
      <c r="AK839" t="str">
        <f t="shared" si="88"/>
        <v/>
      </c>
      <c r="AL839" t="s">
        <v>3704</v>
      </c>
      <c r="AM839">
        <v>1</v>
      </c>
      <c r="AN839">
        <v>1</v>
      </c>
      <c r="AO839">
        <v>0</v>
      </c>
      <c r="AP839">
        <v>1</v>
      </c>
      <c r="AQ839">
        <v>1</v>
      </c>
      <c r="AR839">
        <v>0</v>
      </c>
      <c r="AS839">
        <v>0</v>
      </c>
      <c r="AT839">
        <v>0</v>
      </c>
      <c r="AU839">
        <v>0</v>
      </c>
      <c r="AV839">
        <v>0</v>
      </c>
      <c r="AW839">
        <v>0</v>
      </c>
      <c r="AX839" s="24" t="str">
        <f t="shared" si="86"/>
        <v/>
      </c>
      <c r="AY839" s="24">
        <f t="shared" si="86"/>
        <v>1</v>
      </c>
      <c r="AZ839" s="24" t="str">
        <f t="shared" si="87"/>
        <v/>
      </c>
      <c r="BA839" s="24" t="str">
        <f t="shared" si="87"/>
        <v/>
      </c>
      <c r="BB839" s="24" t="str">
        <f t="shared" si="87"/>
        <v/>
      </c>
      <c r="BC839" s="24" t="str">
        <f t="shared" si="87"/>
        <v/>
      </c>
      <c r="BD839" s="24" t="str">
        <f t="shared" si="87"/>
        <v/>
      </c>
      <c r="BE839" s="24" t="str">
        <f t="shared" si="87"/>
        <v/>
      </c>
      <c r="BF839" s="24" t="str">
        <f t="shared" si="87"/>
        <v/>
      </c>
      <c r="BG839" s="24" t="str">
        <f t="shared" si="87"/>
        <v/>
      </c>
      <c r="BH839" s="24" t="str">
        <f t="shared" si="89"/>
        <v/>
      </c>
      <c r="BI839" s="24">
        <f t="shared" si="87"/>
        <v>1</v>
      </c>
      <c r="BJ839" s="24" t="str">
        <f t="shared" si="84"/>
        <v/>
      </c>
    </row>
    <row r="840" spans="1:62" ht="15" customHeight="1" x14ac:dyDescent="0.25">
      <c r="A840" t="str">
        <f>"1851346225"</f>
        <v>1851346225</v>
      </c>
      <c r="B840" t="str">
        <f>"02743277"</f>
        <v>02743277</v>
      </c>
      <c r="C840" t="s">
        <v>3477</v>
      </c>
      <c r="D840" t="s">
        <v>3478</v>
      </c>
      <c r="E840" t="s">
        <v>3479</v>
      </c>
      <c r="L840" t="s">
        <v>6868</v>
      </c>
      <c r="M840" t="s">
        <v>108</v>
      </c>
      <c r="R840" t="s">
        <v>3477</v>
      </c>
      <c r="W840" t="s">
        <v>3479</v>
      </c>
      <c r="X840" t="s">
        <v>3480</v>
      </c>
      <c r="Y840" t="s">
        <v>1110</v>
      </c>
      <c r="Z840" t="s">
        <v>111</v>
      </c>
      <c r="AA840" t="str">
        <f>"12167-1712"</f>
        <v>12167-1712</v>
      </c>
      <c r="AB840" t="s">
        <v>123</v>
      </c>
      <c r="AC840" t="s">
        <v>113</v>
      </c>
      <c r="AD840" t="s">
        <v>108</v>
      </c>
      <c r="AE840" t="s">
        <v>114</v>
      </c>
      <c r="AF840" t="s">
        <v>124</v>
      </c>
      <c r="AG840" t="s">
        <v>116</v>
      </c>
      <c r="AK840" t="str">
        <f t="shared" si="88"/>
        <v/>
      </c>
      <c r="AL840" t="s">
        <v>3478</v>
      </c>
      <c r="AM840">
        <v>0</v>
      </c>
      <c r="AN840">
        <v>0</v>
      </c>
      <c r="AO840">
        <v>0</v>
      </c>
      <c r="AP840">
        <v>0</v>
      </c>
      <c r="AQ840">
        <v>0</v>
      </c>
      <c r="AR840">
        <v>0</v>
      </c>
      <c r="AS840">
        <v>0</v>
      </c>
      <c r="AT840">
        <v>0</v>
      </c>
      <c r="AU840">
        <v>0</v>
      </c>
      <c r="AV840">
        <v>0</v>
      </c>
      <c r="AW840">
        <v>0</v>
      </c>
      <c r="AX840" s="24">
        <f t="shared" si="86"/>
        <v>1</v>
      </c>
      <c r="AY840" s="24">
        <f t="shared" si="86"/>
        <v>1</v>
      </c>
      <c r="AZ840" s="24" t="str">
        <f t="shared" si="87"/>
        <v/>
      </c>
      <c r="BA840" s="24" t="str">
        <f t="shared" si="87"/>
        <v/>
      </c>
      <c r="BB840" s="24" t="str">
        <f t="shared" si="87"/>
        <v/>
      </c>
      <c r="BC840" s="24" t="str">
        <f t="shared" si="87"/>
        <v/>
      </c>
      <c r="BD840" s="24" t="str">
        <f t="shared" si="87"/>
        <v/>
      </c>
      <c r="BE840" s="24" t="str">
        <f t="shared" si="87"/>
        <v/>
      </c>
      <c r="BF840" s="24" t="str">
        <f t="shared" si="87"/>
        <v/>
      </c>
      <c r="BG840" s="24" t="str">
        <f t="shared" si="87"/>
        <v/>
      </c>
      <c r="BH840" s="24" t="str">
        <f t="shared" si="89"/>
        <v/>
      </c>
      <c r="BI840" s="24" t="str">
        <f t="shared" si="87"/>
        <v/>
      </c>
      <c r="BJ840" s="24" t="str">
        <f t="shared" si="84"/>
        <v/>
      </c>
    </row>
    <row r="841" spans="1:62" ht="15" customHeight="1" x14ac:dyDescent="0.25">
      <c r="A841" t="str">
        <f>"1285644260"</f>
        <v>1285644260</v>
      </c>
      <c r="B841" t="str">
        <f>"02831565"</f>
        <v>02831565</v>
      </c>
      <c r="C841" t="s">
        <v>5318</v>
      </c>
      <c r="D841" t="s">
        <v>5319</v>
      </c>
      <c r="E841" t="s">
        <v>5320</v>
      </c>
      <c r="G841" t="s">
        <v>5294</v>
      </c>
      <c r="H841" t="s">
        <v>2626</v>
      </c>
      <c r="J841" t="s">
        <v>5321</v>
      </c>
      <c r="L841" t="s">
        <v>247</v>
      </c>
      <c r="M841" t="s">
        <v>108</v>
      </c>
      <c r="R841" t="s">
        <v>5322</v>
      </c>
      <c r="W841" t="s">
        <v>5320</v>
      </c>
      <c r="X841" t="s">
        <v>302</v>
      </c>
      <c r="Y841" t="s">
        <v>293</v>
      </c>
      <c r="Z841" t="s">
        <v>111</v>
      </c>
      <c r="AA841" t="str">
        <f>"14850-1342"</f>
        <v>14850-1342</v>
      </c>
      <c r="AB841" t="s">
        <v>123</v>
      </c>
      <c r="AC841" t="s">
        <v>113</v>
      </c>
      <c r="AD841" t="s">
        <v>108</v>
      </c>
      <c r="AE841" t="s">
        <v>114</v>
      </c>
      <c r="AF841" t="s">
        <v>142</v>
      </c>
      <c r="AG841" t="s">
        <v>116</v>
      </c>
      <c r="AK841" t="str">
        <f t="shared" si="88"/>
        <v/>
      </c>
      <c r="AL841" t="s">
        <v>5319</v>
      </c>
      <c r="AM841">
        <v>1</v>
      </c>
      <c r="AN841">
        <v>1</v>
      </c>
      <c r="AO841">
        <v>0</v>
      </c>
      <c r="AP841">
        <v>0</v>
      </c>
      <c r="AQ841">
        <v>0</v>
      </c>
      <c r="AR841">
        <v>0</v>
      </c>
      <c r="AS841">
        <v>0</v>
      </c>
      <c r="AT841">
        <v>0</v>
      </c>
      <c r="AU841">
        <v>0</v>
      </c>
      <c r="AV841">
        <v>0</v>
      </c>
      <c r="AW841">
        <v>0</v>
      </c>
      <c r="AX841" s="24" t="str">
        <f t="shared" si="86"/>
        <v/>
      </c>
      <c r="AY841" s="24">
        <f t="shared" si="86"/>
        <v>1</v>
      </c>
      <c r="AZ841" s="24" t="str">
        <f t="shared" si="87"/>
        <v/>
      </c>
      <c r="BA841" s="24" t="str">
        <f t="shared" si="87"/>
        <v/>
      </c>
      <c r="BB841" s="24" t="str">
        <f t="shared" si="87"/>
        <v/>
      </c>
      <c r="BC841" s="24" t="str">
        <f t="shared" si="87"/>
        <v/>
      </c>
      <c r="BD841" s="24" t="str">
        <f t="shared" si="87"/>
        <v/>
      </c>
      <c r="BE841" s="24" t="str">
        <f t="shared" si="87"/>
        <v/>
      </c>
      <c r="BF841" s="24" t="str">
        <f t="shared" si="87"/>
        <v/>
      </c>
      <c r="BG841" s="24" t="str">
        <f t="shared" si="87"/>
        <v/>
      </c>
      <c r="BH841" s="24" t="str">
        <f t="shared" si="89"/>
        <v/>
      </c>
      <c r="BI841" s="24" t="str">
        <f t="shared" si="87"/>
        <v/>
      </c>
      <c r="BJ841" s="24" t="str">
        <f t="shared" si="84"/>
        <v/>
      </c>
    </row>
    <row r="842" spans="1:62" ht="15" customHeight="1" x14ac:dyDescent="0.25">
      <c r="A842" t="str">
        <f>"1366426215"</f>
        <v>1366426215</v>
      </c>
      <c r="B842" t="str">
        <f>"02371566"</f>
        <v>02371566</v>
      </c>
      <c r="C842" t="s">
        <v>1529</v>
      </c>
      <c r="D842" t="s">
        <v>1530</v>
      </c>
      <c r="E842" t="s">
        <v>1531</v>
      </c>
      <c r="G842" t="s">
        <v>1529</v>
      </c>
      <c r="H842" t="s">
        <v>440</v>
      </c>
      <c r="J842" t="s">
        <v>1532</v>
      </c>
      <c r="L842" t="s">
        <v>120</v>
      </c>
      <c r="M842" t="s">
        <v>108</v>
      </c>
      <c r="R842" t="s">
        <v>1533</v>
      </c>
      <c r="W842" t="s">
        <v>1531</v>
      </c>
      <c r="X842" t="s">
        <v>406</v>
      </c>
      <c r="Y842" t="s">
        <v>129</v>
      </c>
      <c r="Z842" t="s">
        <v>111</v>
      </c>
      <c r="AA842" t="str">
        <f>"13790-2107"</f>
        <v>13790-2107</v>
      </c>
      <c r="AB842" t="s">
        <v>123</v>
      </c>
      <c r="AC842" t="s">
        <v>113</v>
      </c>
      <c r="AD842" t="s">
        <v>108</v>
      </c>
      <c r="AE842" t="s">
        <v>114</v>
      </c>
      <c r="AF842" t="s">
        <v>115</v>
      </c>
      <c r="AG842" t="s">
        <v>116</v>
      </c>
      <c r="AK842" t="str">
        <f t="shared" si="88"/>
        <v/>
      </c>
      <c r="AL842" t="s">
        <v>1530</v>
      </c>
      <c r="AM842">
        <v>0</v>
      </c>
      <c r="AN842">
        <v>0</v>
      </c>
      <c r="AO842">
        <v>0</v>
      </c>
      <c r="AP842">
        <v>0</v>
      </c>
      <c r="AQ842">
        <v>0</v>
      </c>
      <c r="AR842">
        <v>0</v>
      </c>
      <c r="AS842">
        <v>0</v>
      </c>
      <c r="AT842">
        <v>0</v>
      </c>
      <c r="AU842">
        <v>0</v>
      </c>
      <c r="AV842">
        <v>0</v>
      </c>
      <c r="AW842">
        <v>0</v>
      </c>
      <c r="AX842" s="24">
        <f t="shared" si="86"/>
        <v>1</v>
      </c>
      <c r="AY842" s="24" t="str">
        <f t="shared" si="86"/>
        <v/>
      </c>
      <c r="AZ842" s="24" t="str">
        <f t="shared" si="87"/>
        <v/>
      </c>
      <c r="BA842" s="24" t="str">
        <f t="shared" si="87"/>
        <v/>
      </c>
      <c r="BB842" s="24" t="str">
        <f t="shared" si="87"/>
        <v/>
      </c>
      <c r="BC842" s="24" t="str">
        <f t="shared" si="87"/>
        <v/>
      </c>
      <c r="BD842" s="24" t="str">
        <f t="shared" si="87"/>
        <v/>
      </c>
      <c r="BE842" s="24" t="str">
        <f t="shared" si="87"/>
        <v/>
      </c>
      <c r="BF842" s="24" t="str">
        <f t="shared" si="87"/>
        <v/>
      </c>
      <c r="BG842" s="24" t="str">
        <f t="shared" si="87"/>
        <v/>
      </c>
      <c r="BH842" s="24" t="str">
        <f t="shared" si="89"/>
        <v/>
      </c>
      <c r="BI842" s="24">
        <f t="shared" si="87"/>
        <v>1</v>
      </c>
      <c r="BJ842" s="24" t="str">
        <f t="shared" si="84"/>
        <v/>
      </c>
    </row>
    <row r="843" spans="1:62" ht="15" customHeight="1" x14ac:dyDescent="0.25">
      <c r="A843" t="str">
        <f>"1992778021"</f>
        <v>1992778021</v>
      </c>
      <c r="B843" t="str">
        <f>"00424608"</f>
        <v>00424608</v>
      </c>
      <c r="C843" t="s">
        <v>4596</v>
      </c>
      <c r="D843" t="s">
        <v>4597</v>
      </c>
      <c r="E843" t="s">
        <v>4598</v>
      </c>
      <c r="L843" t="s">
        <v>809</v>
      </c>
      <c r="M843" t="s">
        <v>108</v>
      </c>
      <c r="R843" t="s">
        <v>4596</v>
      </c>
      <c r="W843" t="s">
        <v>4598</v>
      </c>
      <c r="X843" t="s">
        <v>425</v>
      </c>
      <c r="Y843" t="s">
        <v>110</v>
      </c>
      <c r="Z843" t="s">
        <v>111</v>
      </c>
      <c r="AA843" t="str">
        <f>"13903"</f>
        <v>13903</v>
      </c>
      <c r="AB843" t="s">
        <v>123</v>
      </c>
      <c r="AC843" t="s">
        <v>113</v>
      </c>
      <c r="AD843" t="s">
        <v>108</v>
      </c>
      <c r="AE843" t="s">
        <v>114</v>
      </c>
      <c r="AF843" t="s">
        <v>115</v>
      </c>
      <c r="AG843" t="s">
        <v>116</v>
      </c>
      <c r="AK843" t="str">
        <f t="shared" si="88"/>
        <v/>
      </c>
      <c r="AL843" t="s">
        <v>4597</v>
      </c>
      <c r="AM843">
        <v>1</v>
      </c>
      <c r="AN843">
        <v>1</v>
      </c>
      <c r="AO843">
        <v>0</v>
      </c>
      <c r="AP843">
        <v>1</v>
      </c>
      <c r="AQ843">
        <v>1</v>
      </c>
      <c r="AR843">
        <v>0</v>
      </c>
      <c r="AS843">
        <v>0</v>
      </c>
      <c r="AT843">
        <v>0</v>
      </c>
      <c r="AU843">
        <v>0</v>
      </c>
      <c r="AV843">
        <v>0</v>
      </c>
      <c r="AW843">
        <v>0</v>
      </c>
      <c r="AX843" s="24" t="str">
        <f t="shared" si="86"/>
        <v/>
      </c>
      <c r="AY843" s="24">
        <f t="shared" si="86"/>
        <v>1</v>
      </c>
      <c r="AZ843" s="24" t="str">
        <f t="shared" si="87"/>
        <v/>
      </c>
      <c r="BA843" s="24" t="str">
        <f t="shared" si="87"/>
        <v/>
      </c>
      <c r="BB843" s="24" t="str">
        <f t="shared" si="87"/>
        <v/>
      </c>
      <c r="BC843" s="24">
        <f t="shared" si="87"/>
        <v>1</v>
      </c>
      <c r="BD843" s="24" t="str">
        <f t="shared" si="87"/>
        <v/>
      </c>
      <c r="BE843" s="24" t="str">
        <f t="shared" si="87"/>
        <v/>
      </c>
      <c r="BF843" s="24" t="str">
        <f t="shared" si="87"/>
        <v/>
      </c>
      <c r="BG843" s="24" t="str">
        <f t="shared" si="87"/>
        <v/>
      </c>
      <c r="BH843" s="24" t="str">
        <f t="shared" si="89"/>
        <v/>
      </c>
      <c r="BI843" s="24" t="str">
        <f t="shared" si="87"/>
        <v/>
      </c>
      <c r="BJ843" s="24" t="str">
        <f t="shared" si="84"/>
        <v/>
      </c>
    </row>
    <row r="844" spans="1:62" ht="15" customHeight="1" x14ac:dyDescent="0.25">
      <c r="A844" t="str">
        <f>"1598924219"</f>
        <v>1598924219</v>
      </c>
      <c r="B844" t="str">
        <f>"03159744"</f>
        <v>03159744</v>
      </c>
      <c r="C844" t="s">
        <v>1873</v>
      </c>
      <c r="D844" t="s">
        <v>1874</v>
      </c>
      <c r="E844" t="s">
        <v>1875</v>
      </c>
      <c r="G844" t="s">
        <v>6330</v>
      </c>
      <c r="H844" t="s">
        <v>6331</v>
      </c>
      <c r="J844" t="s">
        <v>6332</v>
      </c>
      <c r="L844" t="s">
        <v>120</v>
      </c>
      <c r="M844" t="s">
        <v>139</v>
      </c>
      <c r="R844" t="s">
        <v>1873</v>
      </c>
      <c r="W844" t="s">
        <v>1875</v>
      </c>
      <c r="X844" t="s">
        <v>1237</v>
      </c>
      <c r="Y844" t="s">
        <v>129</v>
      </c>
      <c r="Z844" t="s">
        <v>111</v>
      </c>
      <c r="AA844" t="str">
        <f>"13790-2102"</f>
        <v>13790-2102</v>
      </c>
      <c r="AB844" t="s">
        <v>123</v>
      </c>
      <c r="AC844" t="s">
        <v>113</v>
      </c>
      <c r="AD844" t="s">
        <v>108</v>
      </c>
      <c r="AE844" t="s">
        <v>114</v>
      </c>
      <c r="AF844" t="s">
        <v>115</v>
      </c>
      <c r="AG844" t="s">
        <v>116</v>
      </c>
      <c r="AK844" t="str">
        <f t="shared" si="88"/>
        <v/>
      </c>
      <c r="AL844" t="s">
        <v>1874</v>
      </c>
      <c r="AM844">
        <v>1</v>
      </c>
      <c r="AN844">
        <v>1</v>
      </c>
      <c r="AO844">
        <v>0</v>
      </c>
      <c r="AP844">
        <v>1</v>
      </c>
      <c r="AQ844">
        <v>1</v>
      </c>
      <c r="AR844">
        <v>1</v>
      </c>
      <c r="AS844">
        <v>0</v>
      </c>
      <c r="AT844">
        <v>0</v>
      </c>
      <c r="AU844">
        <v>1</v>
      </c>
      <c r="AV844">
        <v>0</v>
      </c>
      <c r="AW844">
        <v>0</v>
      </c>
      <c r="AX844" s="24">
        <f t="shared" si="86"/>
        <v>1</v>
      </c>
      <c r="AY844" s="24" t="str">
        <f t="shared" si="86"/>
        <v/>
      </c>
      <c r="AZ844" s="24" t="str">
        <f t="shared" si="87"/>
        <v/>
      </c>
      <c r="BA844" s="24" t="str">
        <f t="shared" si="87"/>
        <v/>
      </c>
      <c r="BB844" s="24" t="str">
        <f t="shared" si="87"/>
        <v/>
      </c>
      <c r="BC844" s="24" t="str">
        <f t="shared" si="87"/>
        <v/>
      </c>
      <c r="BD844" s="24" t="str">
        <f t="shared" si="87"/>
        <v/>
      </c>
      <c r="BE844" s="24" t="str">
        <f t="shared" si="87"/>
        <v/>
      </c>
      <c r="BF844" s="24" t="str">
        <f t="shared" si="87"/>
        <v/>
      </c>
      <c r="BG844" s="24" t="str">
        <f t="shared" si="87"/>
        <v/>
      </c>
      <c r="BH844" s="24" t="str">
        <f t="shared" si="89"/>
        <v/>
      </c>
      <c r="BI844" s="24">
        <f t="shared" si="87"/>
        <v>1</v>
      </c>
      <c r="BJ844" s="24" t="str">
        <f t="shared" si="84"/>
        <v/>
      </c>
    </row>
    <row r="845" spans="1:62" ht="15" customHeight="1" x14ac:dyDescent="0.25">
      <c r="A845" t="str">
        <f>"1225009095"</f>
        <v>1225009095</v>
      </c>
      <c r="B845" t="str">
        <f>"01575011"</f>
        <v>01575011</v>
      </c>
      <c r="C845" t="s">
        <v>5018</v>
      </c>
      <c r="D845" t="s">
        <v>5019</v>
      </c>
      <c r="E845" t="s">
        <v>5018</v>
      </c>
      <c r="G845" t="s">
        <v>699</v>
      </c>
      <c r="H845" t="s">
        <v>700</v>
      </c>
      <c r="J845" t="s">
        <v>701</v>
      </c>
      <c r="L845" t="s">
        <v>120</v>
      </c>
      <c r="M845" t="s">
        <v>108</v>
      </c>
      <c r="R845" t="s">
        <v>5020</v>
      </c>
      <c r="W845" t="s">
        <v>5018</v>
      </c>
      <c r="X845" t="s">
        <v>747</v>
      </c>
      <c r="Y845" t="s">
        <v>157</v>
      </c>
      <c r="Z845" t="s">
        <v>111</v>
      </c>
      <c r="AA845" t="str">
        <f>"14830-2255"</f>
        <v>14830-2255</v>
      </c>
      <c r="AB845" t="s">
        <v>123</v>
      </c>
      <c r="AC845" t="s">
        <v>113</v>
      </c>
      <c r="AD845" t="s">
        <v>108</v>
      </c>
      <c r="AE845" t="s">
        <v>114</v>
      </c>
      <c r="AF845" t="s">
        <v>149</v>
      </c>
      <c r="AG845" t="s">
        <v>116</v>
      </c>
      <c r="AK845" t="str">
        <f t="shared" si="88"/>
        <v/>
      </c>
      <c r="AL845" t="s">
        <v>5019</v>
      </c>
      <c r="AM845">
        <v>1</v>
      </c>
      <c r="AN845">
        <v>1</v>
      </c>
      <c r="AO845">
        <v>0</v>
      </c>
      <c r="AP845">
        <v>0</v>
      </c>
      <c r="AQ845">
        <v>0</v>
      </c>
      <c r="AR845">
        <v>0</v>
      </c>
      <c r="AS845">
        <v>0</v>
      </c>
      <c r="AT845">
        <v>1</v>
      </c>
      <c r="AU845">
        <v>1</v>
      </c>
      <c r="AV845">
        <v>1</v>
      </c>
      <c r="AW845">
        <v>0</v>
      </c>
      <c r="AX845" s="24">
        <f t="shared" si="86"/>
        <v>1</v>
      </c>
      <c r="AY845" s="24" t="str">
        <f t="shared" si="86"/>
        <v/>
      </c>
      <c r="AZ845" s="24" t="str">
        <f t="shared" si="87"/>
        <v/>
      </c>
      <c r="BA845" s="24" t="str">
        <f t="shared" si="87"/>
        <v/>
      </c>
      <c r="BB845" s="24" t="str">
        <f t="shared" si="87"/>
        <v/>
      </c>
      <c r="BC845" s="24" t="str">
        <f t="shared" si="87"/>
        <v/>
      </c>
      <c r="BD845" s="24" t="str">
        <f t="shared" si="87"/>
        <v/>
      </c>
      <c r="BE845" s="24" t="str">
        <f t="shared" si="87"/>
        <v/>
      </c>
      <c r="BF845" s="24" t="str">
        <f t="shared" si="87"/>
        <v/>
      </c>
      <c r="BG845" s="24" t="str">
        <f t="shared" si="87"/>
        <v/>
      </c>
      <c r="BH845" s="24" t="str">
        <f t="shared" si="89"/>
        <v/>
      </c>
      <c r="BI845" s="24">
        <f t="shared" si="87"/>
        <v>1</v>
      </c>
      <c r="BJ845" s="24" t="str">
        <f t="shared" si="84"/>
        <v/>
      </c>
    </row>
    <row r="846" spans="1:62" ht="15" customHeight="1" x14ac:dyDescent="0.25">
      <c r="A846" t="str">
        <f>"1770507683"</f>
        <v>1770507683</v>
      </c>
      <c r="B846" t="str">
        <f>"02147217"</f>
        <v>02147217</v>
      </c>
      <c r="C846" t="s">
        <v>3563</v>
      </c>
      <c r="D846" t="s">
        <v>3564</v>
      </c>
      <c r="E846" t="s">
        <v>3565</v>
      </c>
      <c r="G846" t="s">
        <v>3566</v>
      </c>
      <c r="H846" t="s">
        <v>3567</v>
      </c>
      <c r="J846" t="s">
        <v>3568</v>
      </c>
      <c r="L846" t="s">
        <v>138</v>
      </c>
      <c r="M846" t="s">
        <v>108</v>
      </c>
      <c r="R846" t="s">
        <v>3569</v>
      </c>
      <c r="W846" t="s">
        <v>3565</v>
      </c>
      <c r="X846" t="s">
        <v>3570</v>
      </c>
      <c r="Y846" t="s">
        <v>293</v>
      </c>
      <c r="Z846" t="s">
        <v>111</v>
      </c>
      <c r="AA846" t="str">
        <f>"14850-1345"</f>
        <v>14850-1345</v>
      </c>
      <c r="AB846" t="s">
        <v>123</v>
      </c>
      <c r="AC846" t="s">
        <v>113</v>
      </c>
      <c r="AD846" t="s">
        <v>108</v>
      </c>
      <c r="AE846" t="s">
        <v>114</v>
      </c>
      <c r="AF846" t="s">
        <v>142</v>
      </c>
      <c r="AG846" t="s">
        <v>116</v>
      </c>
      <c r="AK846" t="str">
        <f t="shared" si="88"/>
        <v/>
      </c>
      <c r="AL846" t="s">
        <v>3564</v>
      </c>
      <c r="AM846">
        <v>1</v>
      </c>
      <c r="AN846">
        <v>1</v>
      </c>
      <c r="AO846">
        <v>0</v>
      </c>
      <c r="AP846">
        <v>0</v>
      </c>
      <c r="AQ846">
        <v>0</v>
      </c>
      <c r="AR846">
        <v>0</v>
      </c>
      <c r="AS846">
        <v>0</v>
      </c>
      <c r="AT846">
        <v>0</v>
      </c>
      <c r="AU846">
        <v>0</v>
      </c>
      <c r="AV846">
        <v>0</v>
      </c>
      <c r="AW846">
        <v>0</v>
      </c>
      <c r="AX846" s="24" t="str">
        <f t="shared" si="86"/>
        <v/>
      </c>
      <c r="AY846" s="24">
        <f t="shared" si="86"/>
        <v>1</v>
      </c>
      <c r="AZ846" s="24" t="str">
        <f t="shared" si="87"/>
        <v/>
      </c>
      <c r="BA846" s="24" t="str">
        <f t="shared" si="87"/>
        <v/>
      </c>
      <c r="BB846" s="24" t="str">
        <f t="shared" si="87"/>
        <v/>
      </c>
      <c r="BC846" s="24" t="str">
        <f t="shared" si="87"/>
        <v/>
      </c>
      <c r="BD846" s="24" t="str">
        <f t="shared" si="87"/>
        <v/>
      </c>
      <c r="BE846" s="24" t="str">
        <f t="shared" si="87"/>
        <v/>
      </c>
      <c r="BF846" s="24" t="str">
        <f t="shared" si="87"/>
        <v/>
      </c>
      <c r="BG846" s="24" t="str">
        <f t="shared" si="87"/>
        <v/>
      </c>
      <c r="BH846" s="24" t="str">
        <f t="shared" si="89"/>
        <v/>
      </c>
      <c r="BI846" s="24">
        <f t="shared" si="87"/>
        <v>1</v>
      </c>
      <c r="BJ846" s="24" t="str">
        <f t="shared" si="84"/>
        <v/>
      </c>
    </row>
    <row r="847" spans="1:62" ht="15" customHeight="1" x14ac:dyDescent="0.25">
      <c r="A847" t="str">
        <f>"1841446473"</f>
        <v>1841446473</v>
      </c>
      <c r="B847" t="str">
        <f>"03356223"</f>
        <v>03356223</v>
      </c>
      <c r="C847" t="s">
        <v>5025</v>
      </c>
      <c r="D847" t="s">
        <v>5026</v>
      </c>
      <c r="E847" t="s">
        <v>5025</v>
      </c>
      <c r="G847" t="s">
        <v>699</v>
      </c>
      <c r="H847" t="s">
        <v>700</v>
      </c>
      <c r="J847" t="s">
        <v>701</v>
      </c>
      <c r="L847" t="s">
        <v>120</v>
      </c>
      <c r="M847" t="s">
        <v>108</v>
      </c>
      <c r="R847" t="s">
        <v>5027</v>
      </c>
      <c r="W847" t="s">
        <v>5025</v>
      </c>
      <c r="X847" t="s">
        <v>196</v>
      </c>
      <c r="Y847" t="s">
        <v>181</v>
      </c>
      <c r="Z847" t="s">
        <v>182</v>
      </c>
      <c r="AA847" t="str">
        <f>"18840-1625"</f>
        <v>18840-1625</v>
      </c>
      <c r="AB847" t="s">
        <v>123</v>
      </c>
      <c r="AC847" t="s">
        <v>113</v>
      </c>
      <c r="AD847" t="s">
        <v>108</v>
      </c>
      <c r="AE847" t="s">
        <v>114</v>
      </c>
      <c r="AF847" t="s">
        <v>115</v>
      </c>
      <c r="AG847" t="s">
        <v>116</v>
      </c>
      <c r="AK847" t="str">
        <f t="shared" si="88"/>
        <v/>
      </c>
      <c r="AL847" t="s">
        <v>5026</v>
      </c>
      <c r="AM847">
        <v>0</v>
      </c>
      <c r="AN847">
        <v>0</v>
      </c>
      <c r="AO847">
        <v>0</v>
      </c>
      <c r="AP847">
        <v>0</v>
      </c>
      <c r="AQ847">
        <v>0</v>
      </c>
      <c r="AR847">
        <v>0</v>
      </c>
      <c r="AS847">
        <v>0</v>
      </c>
      <c r="AT847">
        <v>0</v>
      </c>
      <c r="AU847">
        <v>0</v>
      </c>
      <c r="AV847">
        <v>0</v>
      </c>
      <c r="AW847">
        <v>0</v>
      </c>
      <c r="AX847" s="24">
        <f t="shared" si="86"/>
        <v>1</v>
      </c>
      <c r="AY847" s="24" t="str">
        <f t="shared" si="86"/>
        <v/>
      </c>
      <c r="AZ847" s="24" t="str">
        <f t="shared" si="87"/>
        <v/>
      </c>
      <c r="BA847" s="24" t="str">
        <f t="shared" si="87"/>
        <v/>
      </c>
      <c r="BB847" s="24" t="str">
        <f t="shared" si="87"/>
        <v/>
      </c>
      <c r="BC847" s="24" t="str">
        <f t="shared" si="87"/>
        <v/>
      </c>
      <c r="BD847" s="24" t="str">
        <f t="shared" si="87"/>
        <v/>
      </c>
      <c r="BE847" s="24" t="str">
        <f t="shared" si="87"/>
        <v/>
      </c>
      <c r="BF847" s="24" t="str">
        <f t="shared" si="87"/>
        <v/>
      </c>
      <c r="BG847" s="24" t="str">
        <f t="shared" si="87"/>
        <v/>
      </c>
      <c r="BH847" s="24" t="str">
        <f t="shared" si="89"/>
        <v/>
      </c>
      <c r="BI847" s="24">
        <f t="shared" si="87"/>
        <v>1</v>
      </c>
      <c r="BJ847" s="24" t="str">
        <f t="shared" si="84"/>
        <v/>
      </c>
    </row>
    <row r="848" spans="1:62" ht="15" customHeight="1" x14ac:dyDescent="0.25">
      <c r="A848" t="str">
        <f>"1134119209"</f>
        <v>1134119209</v>
      </c>
      <c r="B848" t="str">
        <f>"00775599"</f>
        <v>00775599</v>
      </c>
      <c r="C848" t="s">
        <v>1812</v>
      </c>
      <c r="D848" t="s">
        <v>1813</v>
      </c>
      <c r="E848" t="s">
        <v>1814</v>
      </c>
      <c r="G848" t="s">
        <v>815</v>
      </c>
      <c r="H848" t="s">
        <v>816</v>
      </c>
      <c r="J848" t="s">
        <v>817</v>
      </c>
      <c r="L848" t="s">
        <v>138</v>
      </c>
      <c r="M848" t="s">
        <v>108</v>
      </c>
      <c r="R848" t="s">
        <v>1812</v>
      </c>
      <c r="W848" t="s">
        <v>1814</v>
      </c>
      <c r="X848" t="s">
        <v>1815</v>
      </c>
      <c r="Y848" t="s">
        <v>129</v>
      </c>
      <c r="Z848" t="s">
        <v>111</v>
      </c>
      <c r="AA848" t="str">
        <f>"13790"</f>
        <v>13790</v>
      </c>
      <c r="AB848" t="s">
        <v>123</v>
      </c>
      <c r="AC848" t="s">
        <v>113</v>
      </c>
      <c r="AD848" t="s">
        <v>108</v>
      </c>
      <c r="AE848" t="s">
        <v>114</v>
      </c>
      <c r="AF848" t="s">
        <v>115</v>
      </c>
      <c r="AG848" t="s">
        <v>116</v>
      </c>
      <c r="AK848" t="str">
        <f t="shared" si="88"/>
        <v/>
      </c>
      <c r="AL848" t="s">
        <v>1813</v>
      </c>
      <c r="AM848">
        <v>0</v>
      </c>
      <c r="AN848">
        <v>0</v>
      </c>
      <c r="AO848">
        <v>0</v>
      </c>
      <c r="AP848">
        <v>0</v>
      </c>
      <c r="AQ848">
        <v>0</v>
      </c>
      <c r="AR848">
        <v>0</v>
      </c>
      <c r="AS848">
        <v>0</v>
      </c>
      <c r="AT848">
        <v>0</v>
      </c>
      <c r="AU848">
        <v>0</v>
      </c>
      <c r="AV848">
        <v>0</v>
      </c>
      <c r="AW848">
        <v>0</v>
      </c>
      <c r="AX848" s="24" t="str">
        <f t="shared" si="86"/>
        <v/>
      </c>
      <c r="AY848" s="24">
        <f t="shared" si="86"/>
        <v>1</v>
      </c>
      <c r="AZ848" s="24" t="str">
        <f t="shared" si="87"/>
        <v/>
      </c>
      <c r="BA848" s="24" t="str">
        <f t="shared" si="87"/>
        <v/>
      </c>
      <c r="BB848" s="24" t="str">
        <f t="shared" si="87"/>
        <v/>
      </c>
      <c r="BC848" s="24" t="str">
        <f t="shared" si="87"/>
        <v/>
      </c>
      <c r="BD848" s="24" t="str">
        <f t="shared" si="87"/>
        <v/>
      </c>
      <c r="BE848" s="24" t="str">
        <f t="shared" si="87"/>
        <v/>
      </c>
      <c r="BF848" s="24" t="str">
        <f t="shared" si="87"/>
        <v/>
      </c>
      <c r="BG848" s="24" t="str">
        <f t="shared" si="87"/>
        <v/>
      </c>
      <c r="BH848" s="24" t="str">
        <f t="shared" si="89"/>
        <v/>
      </c>
      <c r="BI848" s="24">
        <f t="shared" si="87"/>
        <v>1</v>
      </c>
      <c r="BJ848" s="24" t="str">
        <f t="shared" si="84"/>
        <v/>
      </c>
    </row>
    <row r="849" spans="1:62" ht="15" customHeight="1" x14ac:dyDescent="0.25">
      <c r="A849" t="str">
        <f>"1811155112"</f>
        <v>1811155112</v>
      </c>
      <c r="B849" t="str">
        <f>"03123860"</f>
        <v>03123860</v>
      </c>
      <c r="C849" t="s">
        <v>3447</v>
      </c>
      <c r="D849" t="s">
        <v>3448</v>
      </c>
      <c r="E849" t="s">
        <v>3449</v>
      </c>
      <c r="L849" t="s">
        <v>133</v>
      </c>
      <c r="M849" t="s">
        <v>108</v>
      </c>
      <c r="R849" t="s">
        <v>3447</v>
      </c>
      <c r="W849" t="s">
        <v>3449</v>
      </c>
      <c r="X849" t="s">
        <v>881</v>
      </c>
      <c r="Y849" t="s">
        <v>321</v>
      </c>
      <c r="Z849" t="s">
        <v>111</v>
      </c>
      <c r="AA849" t="str">
        <f>"13760-5430"</f>
        <v>13760-5430</v>
      </c>
      <c r="AB849" t="s">
        <v>123</v>
      </c>
      <c r="AC849" t="s">
        <v>113</v>
      </c>
      <c r="AD849" t="s">
        <v>108</v>
      </c>
      <c r="AE849" t="s">
        <v>114</v>
      </c>
      <c r="AF849" t="s">
        <v>115</v>
      </c>
      <c r="AG849" t="s">
        <v>116</v>
      </c>
      <c r="AK849" t="str">
        <f t="shared" si="88"/>
        <v>MANN NATHAN DR.</v>
      </c>
      <c r="AL849" t="s">
        <v>3448</v>
      </c>
      <c r="AM849" t="s">
        <v>108</v>
      </c>
      <c r="AN849" t="s">
        <v>108</v>
      </c>
      <c r="AO849" t="s">
        <v>108</v>
      </c>
      <c r="AP849" t="s">
        <v>108</v>
      </c>
      <c r="AQ849" t="s">
        <v>108</v>
      </c>
      <c r="AR849" t="s">
        <v>108</v>
      </c>
      <c r="AS849" t="s">
        <v>108</v>
      </c>
      <c r="AT849" t="s">
        <v>108</v>
      </c>
      <c r="AU849">
        <v>0</v>
      </c>
      <c r="AV849" t="s">
        <v>108</v>
      </c>
      <c r="AW849" t="s">
        <v>108</v>
      </c>
      <c r="AX849" s="24" t="str">
        <f t="shared" si="86"/>
        <v/>
      </c>
      <c r="AY849" s="24" t="str">
        <f t="shared" si="86"/>
        <v/>
      </c>
      <c r="AZ849" s="24" t="str">
        <f t="shared" si="87"/>
        <v/>
      </c>
      <c r="BA849" s="24" t="str">
        <f t="shared" si="87"/>
        <v/>
      </c>
      <c r="BB849" s="24" t="str">
        <f t="shared" si="87"/>
        <v/>
      </c>
      <c r="BC849" s="24" t="str">
        <f t="shared" si="87"/>
        <v/>
      </c>
      <c r="BD849" s="24" t="str">
        <f t="shared" si="87"/>
        <v/>
      </c>
      <c r="BE849" s="24" t="str">
        <f t="shared" si="87"/>
        <v/>
      </c>
      <c r="BF849" s="24" t="str">
        <f t="shared" si="87"/>
        <v/>
      </c>
      <c r="BG849" s="24" t="str">
        <f t="shared" si="87"/>
        <v/>
      </c>
      <c r="BH849" s="24" t="str">
        <f t="shared" si="89"/>
        <v/>
      </c>
      <c r="BI849" s="24" t="str">
        <f t="shared" si="87"/>
        <v/>
      </c>
      <c r="BJ849" s="24">
        <f t="shared" si="84"/>
        <v>1</v>
      </c>
    </row>
    <row r="850" spans="1:62" ht="15" customHeight="1" x14ac:dyDescent="0.25">
      <c r="A850" t="str">
        <f>"1013922335"</f>
        <v>1013922335</v>
      </c>
      <c r="B850" t="str">
        <f>"02806619"</f>
        <v>02806619</v>
      </c>
      <c r="C850" t="s">
        <v>3737</v>
      </c>
      <c r="D850" t="s">
        <v>3738</v>
      </c>
      <c r="E850" t="s">
        <v>3739</v>
      </c>
      <c r="G850" t="s">
        <v>3740</v>
      </c>
      <c r="H850" t="s">
        <v>3741</v>
      </c>
      <c r="J850" t="s">
        <v>3742</v>
      </c>
      <c r="L850" t="s">
        <v>138</v>
      </c>
      <c r="M850" t="s">
        <v>139</v>
      </c>
      <c r="R850" t="s">
        <v>3743</v>
      </c>
      <c r="W850" t="s">
        <v>3744</v>
      </c>
      <c r="X850" t="s">
        <v>3745</v>
      </c>
      <c r="Y850" t="s">
        <v>239</v>
      </c>
      <c r="Z850" t="s">
        <v>111</v>
      </c>
      <c r="AA850" t="str">
        <f>"13045-2708"</f>
        <v>13045-2708</v>
      </c>
      <c r="AB850" t="s">
        <v>123</v>
      </c>
      <c r="AC850" t="s">
        <v>113</v>
      </c>
      <c r="AD850" t="s">
        <v>108</v>
      </c>
      <c r="AE850" t="s">
        <v>114</v>
      </c>
      <c r="AF850" t="s">
        <v>142</v>
      </c>
      <c r="AG850" t="s">
        <v>116</v>
      </c>
      <c r="AK850" t="str">
        <f t="shared" si="88"/>
        <v/>
      </c>
      <c r="AL850" t="s">
        <v>3738</v>
      </c>
      <c r="AM850">
        <v>1</v>
      </c>
      <c r="AN850">
        <v>1</v>
      </c>
      <c r="AO850">
        <v>0</v>
      </c>
      <c r="AP850">
        <v>0</v>
      </c>
      <c r="AQ850">
        <v>1</v>
      </c>
      <c r="AR850">
        <v>0</v>
      </c>
      <c r="AS850">
        <v>0</v>
      </c>
      <c r="AT850">
        <v>0</v>
      </c>
      <c r="AU850">
        <v>0</v>
      </c>
      <c r="AV850">
        <v>0</v>
      </c>
      <c r="AW850">
        <v>0</v>
      </c>
      <c r="AX850" s="24" t="str">
        <f t="shared" si="86"/>
        <v/>
      </c>
      <c r="AY850" s="24">
        <f t="shared" si="86"/>
        <v>1</v>
      </c>
      <c r="AZ850" s="24" t="str">
        <f t="shared" si="87"/>
        <v/>
      </c>
      <c r="BA850" s="24" t="str">
        <f t="shared" si="87"/>
        <v/>
      </c>
      <c r="BB850" s="24" t="str">
        <f t="shared" si="87"/>
        <v/>
      </c>
      <c r="BC850" s="24" t="str">
        <f t="shared" si="87"/>
        <v/>
      </c>
      <c r="BD850" s="24" t="str">
        <f t="shared" si="87"/>
        <v/>
      </c>
      <c r="BE850" s="24" t="str">
        <f t="shared" si="87"/>
        <v/>
      </c>
      <c r="BF850" s="24" t="str">
        <f t="shared" si="87"/>
        <v/>
      </c>
      <c r="BG850" s="24" t="str">
        <f t="shared" si="87"/>
        <v/>
      </c>
      <c r="BH850" s="24" t="str">
        <f t="shared" si="89"/>
        <v/>
      </c>
      <c r="BI850" s="24">
        <f t="shared" si="87"/>
        <v>1</v>
      </c>
      <c r="BJ850" s="24" t="str">
        <f t="shared" ref="BJ850:BJ913" si="90">IF(ISERROR(FIND(BJ$1,$L850,1)),"",1)</f>
        <v/>
      </c>
    </row>
    <row r="851" spans="1:62" ht="15" customHeight="1" x14ac:dyDescent="0.25">
      <c r="A851" t="str">
        <f>"1790806347"</f>
        <v>1790806347</v>
      </c>
      <c r="B851" t="str">
        <f>"03237441"</f>
        <v>03237441</v>
      </c>
      <c r="C851" t="s">
        <v>234</v>
      </c>
      <c r="D851" t="s">
        <v>235</v>
      </c>
      <c r="E851" t="s">
        <v>236</v>
      </c>
      <c r="G851" t="s">
        <v>229</v>
      </c>
      <c r="H851" t="s">
        <v>230</v>
      </c>
      <c r="J851" t="s">
        <v>231</v>
      </c>
      <c r="L851" t="s">
        <v>138</v>
      </c>
      <c r="M851" t="s">
        <v>108</v>
      </c>
      <c r="R851" t="s">
        <v>237</v>
      </c>
      <c r="W851" t="s">
        <v>236</v>
      </c>
      <c r="X851" t="s">
        <v>238</v>
      </c>
      <c r="Y851" t="s">
        <v>239</v>
      </c>
      <c r="Z851" t="s">
        <v>111</v>
      </c>
      <c r="AA851" t="str">
        <f>"13045-1206"</f>
        <v>13045-1206</v>
      </c>
      <c r="AB851" t="s">
        <v>123</v>
      </c>
      <c r="AC851" t="s">
        <v>113</v>
      </c>
      <c r="AD851" t="s">
        <v>108</v>
      </c>
      <c r="AE851" t="s">
        <v>114</v>
      </c>
      <c r="AF851" t="s">
        <v>142</v>
      </c>
      <c r="AG851" t="s">
        <v>116</v>
      </c>
      <c r="AK851" t="str">
        <f t="shared" si="88"/>
        <v/>
      </c>
      <c r="AL851" t="s">
        <v>235</v>
      </c>
      <c r="AM851">
        <v>0</v>
      </c>
      <c r="AN851">
        <v>0</v>
      </c>
      <c r="AO851">
        <v>0</v>
      </c>
      <c r="AP851">
        <v>0</v>
      </c>
      <c r="AQ851">
        <v>0</v>
      </c>
      <c r="AR851">
        <v>0</v>
      </c>
      <c r="AS851">
        <v>0</v>
      </c>
      <c r="AT851">
        <v>0</v>
      </c>
      <c r="AU851">
        <v>0</v>
      </c>
      <c r="AV851">
        <v>0</v>
      </c>
      <c r="AW851">
        <v>0</v>
      </c>
      <c r="AX851" s="24" t="str">
        <f t="shared" si="86"/>
        <v/>
      </c>
      <c r="AY851" s="24">
        <f t="shared" si="86"/>
        <v>1</v>
      </c>
      <c r="AZ851" s="24" t="str">
        <f t="shared" si="87"/>
        <v/>
      </c>
      <c r="BA851" s="24" t="str">
        <f t="shared" si="87"/>
        <v/>
      </c>
      <c r="BB851" s="24" t="str">
        <f t="shared" si="87"/>
        <v/>
      </c>
      <c r="BC851" s="24" t="str">
        <f t="shared" si="87"/>
        <v/>
      </c>
      <c r="BD851" s="24" t="str">
        <f t="shared" si="87"/>
        <v/>
      </c>
      <c r="BE851" s="24" t="str">
        <f t="shared" si="87"/>
        <v/>
      </c>
      <c r="BF851" s="24" t="str">
        <f t="shared" si="87"/>
        <v/>
      </c>
      <c r="BG851" s="24" t="str">
        <f t="shared" si="87"/>
        <v/>
      </c>
      <c r="BH851" s="24" t="str">
        <f t="shared" si="89"/>
        <v/>
      </c>
      <c r="BI851" s="24">
        <f t="shared" si="87"/>
        <v>1</v>
      </c>
      <c r="BJ851" s="24" t="str">
        <f t="shared" si="90"/>
        <v/>
      </c>
    </row>
    <row r="852" spans="1:62" ht="15" customHeight="1" x14ac:dyDescent="0.25">
      <c r="A852" t="str">
        <f>"1417967712"</f>
        <v>1417967712</v>
      </c>
      <c r="B852" t="str">
        <f>"01144467"</f>
        <v>01144467</v>
      </c>
      <c r="C852" t="s">
        <v>2804</v>
      </c>
      <c r="D852" t="s">
        <v>2805</v>
      </c>
      <c r="E852" t="s">
        <v>2806</v>
      </c>
      <c r="G852" t="s">
        <v>2807</v>
      </c>
      <c r="H852" t="s">
        <v>2808</v>
      </c>
      <c r="J852" t="s">
        <v>2809</v>
      </c>
      <c r="L852" t="s">
        <v>247</v>
      </c>
      <c r="M852" t="s">
        <v>108</v>
      </c>
      <c r="R852" t="s">
        <v>2810</v>
      </c>
      <c r="W852" t="s">
        <v>2806</v>
      </c>
      <c r="X852" t="s">
        <v>2811</v>
      </c>
      <c r="Y852" t="s">
        <v>927</v>
      </c>
      <c r="Z852" t="s">
        <v>111</v>
      </c>
      <c r="AA852" t="str">
        <f>"14901-3223"</f>
        <v>14901-3223</v>
      </c>
      <c r="AB852" t="s">
        <v>123</v>
      </c>
      <c r="AC852" t="s">
        <v>113</v>
      </c>
      <c r="AD852" t="s">
        <v>108</v>
      </c>
      <c r="AE852" t="s">
        <v>114</v>
      </c>
      <c r="AF852" t="s">
        <v>149</v>
      </c>
      <c r="AG852" t="s">
        <v>116</v>
      </c>
      <c r="AK852" t="str">
        <f t="shared" si="88"/>
        <v/>
      </c>
      <c r="AL852" t="s">
        <v>2805</v>
      </c>
      <c r="AM852">
        <v>0</v>
      </c>
      <c r="AN852">
        <v>0</v>
      </c>
      <c r="AO852">
        <v>0</v>
      </c>
      <c r="AP852">
        <v>0</v>
      </c>
      <c r="AQ852">
        <v>0</v>
      </c>
      <c r="AR852">
        <v>0</v>
      </c>
      <c r="AS852">
        <v>0</v>
      </c>
      <c r="AT852">
        <v>0</v>
      </c>
      <c r="AU852">
        <v>0</v>
      </c>
      <c r="AV852">
        <v>0</v>
      </c>
      <c r="AW852">
        <v>0</v>
      </c>
      <c r="AX852" s="24" t="str">
        <f t="shared" si="86"/>
        <v/>
      </c>
      <c r="AY852" s="24">
        <f t="shared" si="86"/>
        <v>1</v>
      </c>
      <c r="AZ852" s="24" t="str">
        <f t="shared" si="87"/>
        <v/>
      </c>
      <c r="BA852" s="24" t="str">
        <f t="shared" si="87"/>
        <v/>
      </c>
      <c r="BB852" s="24" t="str">
        <f t="shared" si="87"/>
        <v/>
      </c>
      <c r="BC852" s="24" t="str">
        <f t="shared" si="87"/>
        <v/>
      </c>
      <c r="BD852" s="24" t="str">
        <f t="shared" si="87"/>
        <v/>
      </c>
      <c r="BE852" s="24" t="str">
        <f t="shared" si="87"/>
        <v/>
      </c>
      <c r="BF852" s="24" t="str">
        <f t="shared" si="87"/>
        <v/>
      </c>
      <c r="BG852" s="24" t="str">
        <f t="shared" si="87"/>
        <v/>
      </c>
      <c r="BH852" s="24" t="str">
        <f t="shared" si="89"/>
        <v/>
      </c>
      <c r="BI852" s="24" t="str">
        <f t="shared" si="87"/>
        <v/>
      </c>
      <c r="BJ852" s="24" t="str">
        <f t="shared" si="90"/>
        <v/>
      </c>
    </row>
    <row r="853" spans="1:62" ht="15" customHeight="1" x14ac:dyDescent="0.25">
      <c r="A853" t="str">
        <f>"1730173998"</f>
        <v>1730173998</v>
      </c>
      <c r="B853" t="str">
        <f>"01670093"</f>
        <v>01670093</v>
      </c>
      <c r="C853" t="s">
        <v>3642</v>
      </c>
      <c r="D853" t="s">
        <v>3643</v>
      </c>
      <c r="E853" t="s">
        <v>3644</v>
      </c>
      <c r="G853" t="s">
        <v>229</v>
      </c>
      <c r="H853" t="s">
        <v>230</v>
      </c>
      <c r="J853" t="s">
        <v>231</v>
      </c>
      <c r="L853" t="s">
        <v>138</v>
      </c>
      <c r="M853" t="s">
        <v>108</v>
      </c>
      <c r="R853" t="s">
        <v>3645</v>
      </c>
      <c r="W853" t="s">
        <v>3644</v>
      </c>
      <c r="X853" t="s">
        <v>238</v>
      </c>
      <c r="Y853" t="s">
        <v>239</v>
      </c>
      <c r="Z853" t="s">
        <v>111</v>
      </c>
      <c r="AA853" t="str">
        <f>"13045-1206"</f>
        <v>13045-1206</v>
      </c>
      <c r="AB853" t="s">
        <v>123</v>
      </c>
      <c r="AC853" t="s">
        <v>113</v>
      </c>
      <c r="AD853" t="s">
        <v>108</v>
      </c>
      <c r="AE853" t="s">
        <v>114</v>
      </c>
      <c r="AF853" t="s">
        <v>142</v>
      </c>
      <c r="AG853" t="s">
        <v>116</v>
      </c>
      <c r="AK853" t="str">
        <f t="shared" si="88"/>
        <v/>
      </c>
      <c r="AL853" t="s">
        <v>3643</v>
      </c>
      <c r="AM853">
        <v>0</v>
      </c>
      <c r="AN853">
        <v>0</v>
      </c>
      <c r="AO853">
        <v>0</v>
      </c>
      <c r="AP853">
        <v>0</v>
      </c>
      <c r="AQ853">
        <v>0</v>
      </c>
      <c r="AR853">
        <v>0</v>
      </c>
      <c r="AS853">
        <v>0</v>
      </c>
      <c r="AT853">
        <v>0</v>
      </c>
      <c r="AU853">
        <v>0</v>
      </c>
      <c r="AV853">
        <v>0</v>
      </c>
      <c r="AW853">
        <v>0</v>
      </c>
      <c r="AX853" s="24" t="str">
        <f t="shared" si="86"/>
        <v/>
      </c>
      <c r="AY853" s="24">
        <f t="shared" si="86"/>
        <v>1</v>
      </c>
      <c r="AZ853" s="24" t="str">
        <f t="shared" si="87"/>
        <v/>
      </c>
      <c r="BA853" s="24" t="str">
        <f t="shared" si="87"/>
        <v/>
      </c>
      <c r="BB853" s="24" t="str">
        <f t="shared" si="87"/>
        <v/>
      </c>
      <c r="BC853" s="24" t="str">
        <f t="shared" si="87"/>
        <v/>
      </c>
      <c r="BD853" s="24" t="str">
        <f t="shared" si="87"/>
        <v/>
      </c>
      <c r="BE853" s="24" t="str">
        <f t="shared" si="87"/>
        <v/>
      </c>
      <c r="BF853" s="24" t="str">
        <f t="shared" si="87"/>
        <v/>
      </c>
      <c r="BG853" s="24" t="str">
        <f t="shared" si="87"/>
        <v/>
      </c>
      <c r="BH853" s="24" t="str">
        <f t="shared" si="89"/>
        <v/>
      </c>
      <c r="BI853" s="24">
        <f t="shared" si="87"/>
        <v>1</v>
      </c>
      <c r="BJ853" s="24" t="str">
        <f t="shared" si="90"/>
        <v/>
      </c>
    </row>
    <row r="854" spans="1:62" ht="15" customHeight="1" x14ac:dyDescent="0.25">
      <c r="A854" t="str">
        <f>"1003879875"</f>
        <v>1003879875</v>
      </c>
      <c r="B854" t="str">
        <f>"02604295"</f>
        <v>02604295</v>
      </c>
      <c r="C854" t="s">
        <v>6168</v>
      </c>
      <c r="D854" t="s">
        <v>6169</v>
      </c>
      <c r="E854" t="s">
        <v>6170</v>
      </c>
      <c r="G854" t="s">
        <v>815</v>
      </c>
      <c r="H854" t="s">
        <v>816</v>
      </c>
      <c r="J854" t="s">
        <v>817</v>
      </c>
      <c r="L854" t="s">
        <v>120</v>
      </c>
      <c r="M854" t="s">
        <v>108</v>
      </c>
      <c r="R854" t="s">
        <v>6171</v>
      </c>
      <c r="W854" t="s">
        <v>6170</v>
      </c>
      <c r="X854" t="s">
        <v>6172</v>
      </c>
      <c r="Y854" t="s">
        <v>6173</v>
      </c>
      <c r="Z854" t="s">
        <v>111</v>
      </c>
      <c r="AA854" t="str">
        <f>"11374-3319"</f>
        <v>11374-3319</v>
      </c>
      <c r="AB854" t="s">
        <v>123</v>
      </c>
      <c r="AC854" t="s">
        <v>113</v>
      </c>
      <c r="AD854" t="s">
        <v>108</v>
      </c>
      <c r="AE854" t="s">
        <v>114</v>
      </c>
      <c r="AF854" t="s">
        <v>115</v>
      </c>
      <c r="AG854" t="s">
        <v>116</v>
      </c>
      <c r="AK854" t="str">
        <f t="shared" si="88"/>
        <v>Marek M. Gawel, MD</v>
      </c>
      <c r="AL854" t="s">
        <v>6169</v>
      </c>
      <c r="AM854" t="s">
        <v>108</v>
      </c>
      <c r="AN854" t="s">
        <v>108</v>
      </c>
      <c r="AO854" t="s">
        <v>108</v>
      </c>
      <c r="AP854" t="s">
        <v>108</v>
      </c>
      <c r="AQ854" t="s">
        <v>108</v>
      </c>
      <c r="AR854" t="s">
        <v>108</v>
      </c>
      <c r="AS854" t="s">
        <v>108</v>
      </c>
      <c r="AT854" t="s">
        <v>108</v>
      </c>
      <c r="AU854">
        <v>1</v>
      </c>
      <c r="AV854" t="s">
        <v>108</v>
      </c>
      <c r="AW854" t="s">
        <v>108</v>
      </c>
      <c r="AX854" s="24">
        <f t="shared" si="86"/>
        <v>1</v>
      </c>
      <c r="AY854" s="24" t="str">
        <f t="shared" si="86"/>
        <v/>
      </c>
      <c r="AZ854" s="24" t="str">
        <f t="shared" si="87"/>
        <v/>
      </c>
      <c r="BA854" s="24" t="str">
        <f t="shared" si="87"/>
        <v/>
      </c>
      <c r="BB854" s="24" t="str">
        <f t="shared" si="87"/>
        <v/>
      </c>
      <c r="BC854" s="24" t="str">
        <f t="shared" si="87"/>
        <v/>
      </c>
      <c r="BD854" s="24" t="str">
        <f t="shared" si="87"/>
        <v/>
      </c>
      <c r="BE854" s="24" t="str">
        <f t="shared" si="87"/>
        <v/>
      </c>
      <c r="BF854" s="24" t="str">
        <f t="shared" si="87"/>
        <v/>
      </c>
      <c r="BG854" s="24" t="str">
        <f t="shared" si="87"/>
        <v/>
      </c>
      <c r="BH854" s="24" t="str">
        <f t="shared" si="89"/>
        <v/>
      </c>
      <c r="BI854" s="24">
        <f t="shared" si="87"/>
        <v>1</v>
      </c>
      <c r="BJ854" s="24" t="str">
        <f t="shared" si="90"/>
        <v/>
      </c>
    </row>
    <row r="855" spans="1:62" ht="15" customHeight="1" x14ac:dyDescent="0.25">
      <c r="A855" t="str">
        <f>"1679793624"</f>
        <v>1679793624</v>
      </c>
      <c r="B855" t="str">
        <f>"01271287"</f>
        <v>01271287</v>
      </c>
      <c r="C855" t="s">
        <v>3762</v>
      </c>
      <c r="D855" t="s">
        <v>3763</v>
      </c>
      <c r="E855" t="s">
        <v>3764</v>
      </c>
      <c r="G855" t="s">
        <v>3749</v>
      </c>
      <c r="H855" t="s">
        <v>3750</v>
      </c>
      <c r="J855" t="s">
        <v>3751</v>
      </c>
      <c r="L855" t="s">
        <v>247</v>
      </c>
      <c r="M855" t="s">
        <v>139</v>
      </c>
      <c r="R855" t="s">
        <v>3765</v>
      </c>
      <c r="W855" t="s">
        <v>3764</v>
      </c>
      <c r="X855" t="s">
        <v>3766</v>
      </c>
      <c r="Y855" t="s">
        <v>239</v>
      </c>
      <c r="Z855" t="s">
        <v>111</v>
      </c>
      <c r="AA855" t="str">
        <f>"13045-1226"</f>
        <v>13045-1226</v>
      </c>
      <c r="AB855" t="s">
        <v>123</v>
      </c>
      <c r="AC855" t="s">
        <v>113</v>
      </c>
      <c r="AD855" t="s">
        <v>108</v>
      </c>
      <c r="AE855" t="s">
        <v>114</v>
      </c>
      <c r="AF855" t="s">
        <v>142</v>
      </c>
      <c r="AG855" t="s">
        <v>116</v>
      </c>
      <c r="AK855" t="str">
        <f t="shared" si="88"/>
        <v/>
      </c>
      <c r="AL855" t="s">
        <v>3763</v>
      </c>
      <c r="AM855">
        <v>1</v>
      </c>
      <c r="AN855">
        <v>1</v>
      </c>
      <c r="AO855">
        <v>0</v>
      </c>
      <c r="AP855">
        <v>0</v>
      </c>
      <c r="AQ855">
        <v>1</v>
      </c>
      <c r="AR855">
        <v>0</v>
      </c>
      <c r="AS855">
        <v>0</v>
      </c>
      <c r="AT855">
        <v>0</v>
      </c>
      <c r="AU855">
        <v>0</v>
      </c>
      <c r="AV855">
        <v>0</v>
      </c>
      <c r="AW855">
        <v>0</v>
      </c>
      <c r="AX855" s="24" t="str">
        <f t="shared" si="86"/>
        <v/>
      </c>
      <c r="AY855" s="24">
        <f t="shared" si="86"/>
        <v>1</v>
      </c>
      <c r="AZ855" s="24" t="str">
        <f t="shared" si="87"/>
        <v/>
      </c>
      <c r="BA855" s="24" t="str">
        <f t="shared" ref="AZ855:BI880" si="91">IF(ISERROR(FIND(BA$1,$L855,1)),"",1)</f>
        <v/>
      </c>
      <c r="BB855" s="24" t="str">
        <f t="shared" si="91"/>
        <v/>
      </c>
      <c r="BC855" s="24" t="str">
        <f t="shared" si="91"/>
        <v/>
      </c>
      <c r="BD855" s="24" t="str">
        <f t="shared" si="91"/>
        <v/>
      </c>
      <c r="BE855" s="24" t="str">
        <f t="shared" si="91"/>
        <v/>
      </c>
      <c r="BF855" s="24" t="str">
        <f t="shared" si="91"/>
        <v/>
      </c>
      <c r="BG855" s="24" t="str">
        <f t="shared" si="91"/>
        <v/>
      </c>
      <c r="BH855" s="24" t="str">
        <f t="shared" si="89"/>
        <v/>
      </c>
      <c r="BI855" s="24" t="str">
        <f t="shared" si="91"/>
        <v/>
      </c>
      <c r="BJ855" s="24" t="str">
        <f t="shared" si="90"/>
        <v/>
      </c>
    </row>
    <row r="856" spans="1:62" ht="15" customHeight="1" x14ac:dyDescent="0.25">
      <c r="A856" t="str">
        <f>"1508848409"</f>
        <v>1508848409</v>
      </c>
      <c r="B856" t="str">
        <f>"00467661"</f>
        <v>00467661</v>
      </c>
      <c r="C856" t="s">
        <v>3165</v>
      </c>
      <c r="D856" t="s">
        <v>3166</v>
      </c>
      <c r="E856" t="s">
        <v>3167</v>
      </c>
      <c r="G856" t="s">
        <v>3154</v>
      </c>
      <c r="H856" t="s">
        <v>3155</v>
      </c>
      <c r="J856" t="s">
        <v>3168</v>
      </c>
      <c r="L856" t="s">
        <v>120</v>
      </c>
      <c r="M856" t="s">
        <v>108</v>
      </c>
      <c r="R856" t="s">
        <v>3169</v>
      </c>
      <c r="W856" t="s">
        <v>3167</v>
      </c>
      <c r="X856" t="s">
        <v>3170</v>
      </c>
      <c r="Y856" t="s">
        <v>293</v>
      </c>
      <c r="Z856" t="s">
        <v>111</v>
      </c>
      <c r="AA856" t="str">
        <f>"14850-1055"</f>
        <v>14850-1055</v>
      </c>
      <c r="AB856" t="s">
        <v>123</v>
      </c>
      <c r="AC856" t="s">
        <v>113</v>
      </c>
      <c r="AD856" t="s">
        <v>108</v>
      </c>
      <c r="AE856" t="s">
        <v>114</v>
      </c>
      <c r="AF856" t="s">
        <v>142</v>
      </c>
      <c r="AG856" t="s">
        <v>116</v>
      </c>
      <c r="AK856" t="str">
        <f t="shared" si="88"/>
        <v/>
      </c>
      <c r="AL856" t="s">
        <v>3166</v>
      </c>
      <c r="AM856">
        <v>1</v>
      </c>
      <c r="AN856">
        <v>1</v>
      </c>
      <c r="AO856">
        <v>0</v>
      </c>
      <c r="AP856">
        <v>0</v>
      </c>
      <c r="AQ856">
        <v>0</v>
      </c>
      <c r="AR856">
        <v>0</v>
      </c>
      <c r="AS856">
        <v>0</v>
      </c>
      <c r="AT856">
        <v>0</v>
      </c>
      <c r="AU856">
        <v>0</v>
      </c>
      <c r="AV856">
        <v>0</v>
      </c>
      <c r="AW856">
        <v>0</v>
      </c>
      <c r="AX856" s="24">
        <f t="shared" si="86"/>
        <v>1</v>
      </c>
      <c r="AY856" s="24" t="str">
        <f t="shared" si="86"/>
        <v/>
      </c>
      <c r="AZ856" s="24" t="str">
        <f t="shared" si="91"/>
        <v/>
      </c>
      <c r="BA856" s="24" t="str">
        <f t="shared" si="91"/>
        <v/>
      </c>
      <c r="BB856" s="24" t="str">
        <f t="shared" si="91"/>
        <v/>
      </c>
      <c r="BC856" s="24" t="str">
        <f t="shared" si="91"/>
        <v/>
      </c>
      <c r="BD856" s="24" t="str">
        <f t="shared" si="91"/>
        <v/>
      </c>
      <c r="BE856" s="24" t="str">
        <f t="shared" si="91"/>
        <v/>
      </c>
      <c r="BF856" s="24" t="str">
        <f t="shared" si="91"/>
        <v/>
      </c>
      <c r="BG856" s="24" t="str">
        <f t="shared" si="91"/>
        <v/>
      </c>
      <c r="BH856" s="24" t="str">
        <f t="shared" si="89"/>
        <v/>
      </c>
      <c r="BI856" s="24">
        <f t="shared" si="91"/>
        <v>1</v>
      </c>
      <c r="BJ856" s="24" t="str">
        <f t="shared" si="90"/>
        <v/>
      </c>
    </row>
    <row r="857" spans="1:62" ht="15" customHeight="1" x14ac:dyDescent="0.25">
      <c r="A857" t="str">
        <f>"1508106147"</f>
        <v>1508106147</v>
      </c>
      <c r="B857" t="str">
        <f>"03758752"</f>
        <v>03758752</v>
      </c>
      <c r="C857" t="s">
        <v>6240</v>
      </c>
      <c r="D857" t="s">
        <v>6241</v>
      </c>
      <c r="E857" t="s">
        <v>6242</v>
      </c>
      <c r="G857" t="s">
        <v>815</v>
      </c>
      <c r="H857" t="s">
        <v>816</v>
      </c>
      <c r="J857" t="s">
        <v>817</v>
      </c>
      <c r="L857" t="s">
        <v>120</v>
      </c>
      <c r="M857" t="s">
        <v>108</v>
      </c>
      <c r="R857" t="s">
        <v>6242</v>
      </c>
      <c r="W857" t="s">
        <v>6242</v>
      </c>
      <c r="X857" t="s">
        <v>1062</v>
      </c>
      <c r="Y857" t="s">
        <v>110</v>
      </c>
      <c r="Z857" t="s">
        <v>111</v>
      </c>
      <c r="AA857" t="str">
        <f>"13905-1118"</f>
        <v>13905-1118</v>
      </c>
      <c r="AB857" t="s">
        <v>123</v>
      </c>
      <c r="AC857" t="s">
        <v>113</v>
      </c>
      <c r="AD857" t="s">
        <v>108</v>
      </c>
      <c r="AE857" t="s">
        <v>114</v>
      </c>
      <c r="AF857" t="s">
        <v>115</v>
      </c>
      <c r="AG857" t="s">
        <v>116</v>
      </c>
      <c r="AK857" t="str">
        <f t="shared" si="88"/>
        <v>Maria C. Berry, FNP</v>
      </c>
      <c r="AL857" t="s">
        <v>6241</v>
      </c>
      <c r="AM857" t="s">
        <v>108</v>
      </c>
      <c r="AN857" t="s">
        <v>108</v>
      </c>
      <c r="AO857" t="s">
        <v>108</v>
      </c>
      <c r="AP857" t="s">
        <v>108</v>
      </c>
      <c r="AQ857" t="s">
        <v>108</v>
      </c>
      <c r="AR857" t="s">
        <v>108</v>
      </c>
      <c r="AS857" t="s">
        <v>108</v>
      </c>
      <c r="AT857" t="s">
        <v>108</v>
      </c>
      <c r="AU857">
        <v>0</v>
      </c>
      <c r="AV857" t="s">
        <v>108</v>
      </c>
      <c r="AW857" t="s">
        <v>108</v>
      </c>
      <c r="AX857" s="24">
        <f t="shared" si="86"/>
        <v>1</v>
      </c>
      <c r="AY857" s="24" t="str">
        <f t="shared" si="86"/>
        <v/>
      </c>
      <c r="AZ857" s="24" t="str">
        <f t="shared" si="91"/>
        <v/>
      </c>
      <c r="BA857" s="24" t="str">
        <f t="shared" si="91"/>
        <v/>
      </c>
      <c r="BB857" s="24" t="str">
        <f t="shared" si="91"/>
        <v/>
      </c>
      <c r="BC857" s="24" t="str">
        <f t="shared" si="91"/>
        <v/>
      </c>
      <c r="BD857" s="24" t="str">
        <f t="shared" si="91"/>
        <v/>
      </c>
      <c r="BE857" s="24" t="str">
        <f t="shared" si="91"/>
        <v/>
      </c>
      <c r="BF857" s="24" t="str">
        <f t="shared" si="91"/>
        <v/>
      </c>
      <c r="BG857" s="24" t="str">
        <f t="shared" si="91"/>
        <v/>
      </c>
      <c r="BH857" s="24" t="str">
        <f t="shared" si="89"/>
        <v/>
      </c>
      <c r="BI857" s="24">
        <f t="shared" si="91"/>
        <v>1</v>
      </c>
      <c r="BJ857" s="24" t="str">
        <f t="shared" si="90"/>
        <v/>
      </c>
    </row>
    <row r="858" spans="1:62" ht="15" customHeight="1" x14ac:dyDescent="0.25">
      <c r="A858" t="str">
        <f>"1356355275"</f>
        <v>1356355275</v>
      </c>
      <c r="B858" t="str">
        <f>"02798121"</f>
        <v>02798121</v>
      </c>
      <c r="C858" t="s">
        <v>3057</v>
      </c>
      <c r="D858" t="s">
        <v>3058</v>
      </c>
      <c r="E858" t="s">
        <v>3059</v>
      </c>
      <c r="G858" t="s">
        <v>3037</v>
      </c>
      <c r="H858" t="s">
        <v>3038</v>
      </c>
      <c r="J858" t="s">
        <v>3060</v>
      </c>
      <c r="L858" t="s">
        <v>138</v>
      </c>
      <c r="M858" t="s">
        <v>108</v>
      </c>
      <c r="R858" t="s">
        <v>3061</v>
      </c>
      <c r="W858" t="s">
        <v>3059</v>
      </c>
      <c r="Y858" t="s">
        <v>2751</v>
      </c>
      <c r="Z858" t="s">
        <v>111</v>
      </c>
      <c r="AA858" t="str">
        <f>"10032-1559"</f>
        <v>10032-1559</v>
      </c>
      <c r="AB858" t="s">
        <v>123</v>
      </c>
      <c r="AC858" t="s">
        <v>113</v>
      </c>
      <c r="AD858" t="s">
        <v>108</v>
      </c>
      <c r="AE858" t="s">
        <v>114</v>
      </c>
      <c r="AF858" t="s">
        <v>142</v>
      </c>
      <c r="AG858" t="s">
        <v>116</v>
      </c>
      <c r="AK858" t="str">
        <f t="shared" si="88"/>
        <v/>
      </c>
      <c r="AL858" t="s">
        <v>3058</v>
      </c>
      <c r="AM858">
        <v>0</v>
      </c>
      <c r="AN858">
        <v>0</v>
      </c>
      <c r="AO858">
        <v>0</v>
      </c>
      <c r="AP858">
        <v>0</v>
      </c>
      <c r="AQ858">
        <v>0</v>
      </c>
      <c r="AR858">
        <v>0</v>
      </c>
      <c r="AS858">
        <v>0</v>
      </c>
      <c r="AT858">
        <v>0</v>
      </c>
      <c r="AU858">
        <v>0</v>
      </c>
      <c r="AV858">
        <v>0</v>
      </c>
      <c r="AW858">
        <v>0</v>
      </c>
      <c r="AX858" s="24" t="str">
        <f t="shared" si="86"/>
        <v/>
      </c>
      <c r="AY858" s="24">
        <f t="shared" si="86"/>
        <v>1</v>
      </c>
      <c r="AZ858" s="24" t="str">
        <f t="shared" si="91"/>
        <v/>
      </c>
      <c r="BA858" s="24" t="str">
        <f t="shared" si="91"/>
        <v/>
      </c>
      <c r="BB858" s="24" t="str">
        <f t="shared" si="91"/>
        <v/>
      </c>
      <c r="BC858" s="24" t="str">
        <f t="shared" si="91"/>
        <v/>
      </c>
      <c r="BD858" s="24" t="str">
        <f t="shared" si="91"/>
        <v/>
      </c>
      <c r="BE858" s="24" t="str">
        <f t="shared" si="91"/>
        <v/>
      </c>
      <c r="BF858" s="24" t="str">
        <f t="shared" si="91"/>
        <v/>
      </c>
      <c r="BG858" s="24" t="str">
        <f t="shared" si="91"/>
        <v/>
      </c>
      <c r="BH858" s="24" t="str">
        <f t="shared" si="89"/>
        <v/>
      </c>
      <c r="BI858" s="24">
        <f t="shared" si="91"/>
        <v>1</v>
      </c>
      <c r="BJ858" s="24" t="str">
        <f t="shared" si="90"/>
        <v/>
      </c>
    </row>
    <row r="859" spans="1:62" ht="15" customHeight="1" x14ac:dyDescent="0.25">
      <c r="A859" t="str">
        <f>"1366408254"</f>
        <v>1366408254</v>
      </c>
      <c r="B859" t="str">
        <f>"03070091"</f>
        <v>03070091</v>
      </c>
      <c r="C859" t="s">
        <v>2272</v>
      </c>
      <c r="D859" t="s">
        <v>2273</v>
      </c>
      <c r="E859" t="s">
        <v>2274</v>
      </c>
      <c r="G859" t="s">
        <v>177</v>
      </c>
      <c r="H859" t="s">
        <v>178</v>
      </c>
      <c r="J859" t="s">
        <v>179</v>
      </c>
      <c r="L859" t="s">
        <v>138</v>
      </c>
      <c r="M859" t="s">
        <v>108</v>
      </c>
      <c r="R859" t="s">
        <v>2272</v>
      </c>
      <c r="W859" t="s">
        <v>2275</v>
      </c>
      <c r="X859" t="s">
        <v>196</v>
      </c>
      <c r="Y859" t="s">
        <v>181</v>
      </c>
      <c r="Z859" t="s">
        <v>182</v>
      </c>
      <c r="AA859" t="str">
        <f>"18840-1625"</f>
        <v>18840-1625</v>
      </c>
      <c r="AB859" t="s">
        <v>123</v>
      </c>
      <c r="AC859" t="s">
        <v>113</v>
      </c>
      <c r="AD859" t="s">
        <v>108</v>
      </c>
      <c r="AE859" t="s">
        <v>114</v>
      </c>
      <c r="AF859" t="s">
        <v>115</v>
      </c>
      <c r="AG859" t="s">
        <v>116</v>
      </c>
      <c r="AK859" t="str">
        <f t="shared" si="88"/>
        <v/>
      </c>
      <c r="AL859" t="s">
        <v>2273</v>
      </c>
      <c r="AM859">
        <v>0</v>
      </c>
      <c r="AN859">
        <v>0</v>
      </c>
      <c r="AO859">
        <v>0</v>
      </c>
      <c r="AP859">
        <v>0</v>
      </c>
      <c r="AQ859">
        <v>0</v>
      </c>
      <c r="AR859">
        <v>0</v>
      </c>
      <c r="AS859">
        <v>0</v>
      </c>
      <c r="AT859">
        <v>0</v>
      </c>
      <c r="AU859">
        <v>0</v>
      </c>
      <c r="AV859">
        <v>0</v>
      </c>
      <c r="AW859">
        <v>0</v>
      </c>
      <c r="AX859" s="24" t="str">
        <f t="shared" si="86"/>
        <v/>
      </c>
      <c r="AY859" s="24">
        <f t="shared" si="86"/>
        <v>1</v>
      </c>
      <c r="AZ859" s="24" t="str">
        <f t="shared" si="91"/>
        <v/>
      </c>
      <c r="BA859" s="24" t="str">
        <f t="shared" si="91"/>
        <v/>
      </c>
      <c r="BB859" s="24" t="str">
        <f t="shared" si="91"/>
        <v/>
      </c>
      <c r="BC859" s="24" t="str">
        <f t="shared" si="91"/>
        <v/>
      </c>
      <c r="BD859" s="24" t="str">
        <f t="shared" si="91"/>
        <v/>
      </c>
      <c r="BE859" s="24" t="str">
        <f t="shared" si="91"/>
        <v/>
      </c>
      <c r="BF859" s="24" t="str">
        <f t="shared" si="91"/>
        <v/>
      </c>
      <c r="BG859" s="24" t="str">
        <f t="shared" si="91"/>
        <v/>
      </c>
      <c r="BH859" s="24" t="str">
        <f t="shared" si="89"/>
        <v/>
      </c>
      <c r="BI859" s="24">
        <f t="shared" si="91"/>
        <v>1</v>
      </c>
      <c r="BJ859" s="24" t="str">
        <f t="shared" si="90"/>
        <v/>
      </c>
    </row>
    <row r="860" spans="1:62" ht="15" customHeight="1" x14ac:dyDescent="0.25">
      <c r="A860" t="str">
        <f>"1073685194"</f>
        <v>1073685194</v>
      </c>
      <c r="B860" t="str">
        <f>"01966412"</f>
        <v>01966412</v>
      </c>
      <c r="C860" t="s">
        <v>6120</v>
      </c>
      <c r="D860" t="s">
        <v>6121</v>
      </c>
      <c r="E860" t="s">
        <v>6122</v>
      </c>
      <c r="G860" t="s">
        <v>815</v>
      </c>
      <c r="H860" t="s">
        <v>816</v>
      </c>
      <c r="J860" t="s">
        <v>817</v>
      </c>
      <c r="L860" t="s">
        <v>120</v>
      </c>
      <c r="M860" t="s">
        <v>139</v>
      </c>
      <c r="R860" t="s">
        <v>6123</v>
      </c>
      <c r="W860" t="s">
        <v>6124</v>
      </c>
      <c r="X860" t="s">
        <v>1754</v>
      </c>
      <c r="Y860" t="s">
        <v>110</v>
      </c>
      <c r="Z860" t="s">
        <v>111</v>
      </c>
      <c r="AA860" t="str">
        <f>"13905-2539"</f>
        <v>13905-2539</v>
      </c>
      <c r="AB860" t="s">
        <v>123</v>
      </c>
      <c r="AC860" t="s">
        <v>113</v>
      </c>
      <c r="AD860" t="s">
        <v>108</v>
      </c>
      <c r="AE860" t="s">
        <v>114</v>
      </c>
      <c r="AF860" t="s">
        <v>115</v>
      </c>
      <c r="AG860" t="s">
        <v>116</v>
      </c>
      <c r="AK860" t="str">
        <f t="shared" si="88"/>
        <v>Marjorie E. Langevin, FNP-C</v>
      </c>
      <c r="AL860" t="s">
        <v>6121</v>
      </c>
      <c r="AM860" t="s">
        <v>108</v>
      </c>
      <c r="AN860" t="s">
        <v>108</v>
      </c>
      <c r="AO860" t="s">
        <v>108</v>
      </c>
      <c r="AP860" t="s">
        <v>108</v>
      </c>
      <c r="AQ860" t="s">
        <v>108</v>
      </c>
      <c r="AR860" t="s">
        <v>108</v>
      </c>
      <c r="AS860" t="s">
        <v>108</v>
      </c>
      <c r="AT860" t="s">
        <v>108</v>
      </c>
      <c r="AU860">
        <v>0</v>
      </c>
      <c r="AV860" t="s">
        <v>108</v>
      </c>
      <c r="AW860" t="s">
        <v>108</v>
      </c>
      <c r="AX860" s="24">
        <f t="shared" si="86"/>
        <v>1</v>
      </c>
      <c r="AY860" s="24" t="str">
        <f t="shared" si="86"/>
        <v/>
      </c>
      <c r="AZ860" s="24" t="str">
        <f t="shared" si="91"/>
        <v/>
      </c>
      <c r="BA860" s="24" t="str">
        <f t="shared" si="91"/>
        <v/>
      </c>
      <c r="BB860" s="24" t="str">
        <f t="shared" si="91"/>
        <v/>
      </c>
      <c r="BC860" s="24" t="str">
        <f t="shared" si="91"/>
        <v/>
      </c>
      <c r="BD860" s="24" t="str">
        <f t="shared" si="91"/>
        <v/>
      </c>
      <c r="BE860" s="24" t="str">
        <f t="shared" si="91"/>
        <v/>
      </c>
      <c r="BF860" s="24" t="str">
        <f t="shared" si="91"/>
        <v/>
      </c>
      <c r="BG860" s="24" t="str">
        <f t="shared" si="91"/>
        <v/>
      </c>
      <c r="BH860" s="24" t="str">
        <f t="shared" si="89"/>
        <v/>
      </c>
      <c r="BI860" s="24">
        <f t="shared" si="91"/>
        <v>1</v>
      </c>
      <c r="BJ860" s="24" t="str">
        <f t="shared" si="90"/>
        <v/>
      </c>
    </row>
    <row r="861" spans="1:62" ht="15" customHeight="1" x14ac:dyDescent="0.25">
      <c r="A861" t="str">
        <f>"1346215845"</f>
        <v>1346215845</v>
      </c>
      <c r="B861" t="str">
        <f>"02052197"</f>
        <v>02052197</v>
      </c>
      <c r="C861" t="s">
        <v>437</v>
      </c>
      <c r="D861" t="s">
        <v>438</v>
      </c>
      <c r="E861" t="s">
        <v>439</v>
      </c>
      <c r="G861" t="s">
        <v>437</v>
      </c>
      <c r="H861" t="s">
        <v>440</v>
      </c>
      <c r="J861" t="s">
        <v>441</v>
      </c>
      <c r="L861" t="s">
        <v>442</v>
      </c>
      <c r="M861" t="s">
        <v>108</v>
      </c>
      <c r="R861" t="s">
        <v>443</v>
      </c>
      <c r="W861" t="s">
        <v>439</v>
      </c>
      <c r="X861" t="s">
        <v>444</v>
      </c>
      <c r="Y861" t="s">
        <v>445</v>
      </c>
      <c r="Z861" t="s">
        <v>182</v>
      </c>
      <c r="AA861" t="str">
        <f>"18801-1103"</f>
        <v>18801-1103</v>
      </c>
      <c r="AB861" t="s">
        <v>123</v>
      </c>
      <c r="AC861" t="s">
        <v>113</v>
      </c>
      <c r="AD861" t="s">
        <v>108</v>
      </c>
      <c r="AE861" t="s">
        <v>114</v>
      </c>
      <c r="AF861" t="s">
        <v>115</v>
      </c>
      <c r="AG861" t="s">
        <v>116</v>
      </c>
      <c r="AK861" t="str">
        <f t="shared" si="88"/>
        <v/>
      </c>
      <c r="AL861" t="s">
        <v>438</v>
      </c>
      <c r="AM861">
        <v>1</v>
      </c>
      <c r="AN861">
        <v>1</v>
      </c>
      <c r="AO861">
        <v>0</v>
      </c>
      <c r="AP861">
        <v>1</v>
      </c>
      <c r="AQ861">
        <v>1</v>
      </c>
      <c r="AR861">
        <v>0</v>
      </c>
      <c r="AS861">
        <v>0</v>
      </c>
      <c r="AT861">
        <v>0</v>
      </c>
      <c r="AU861">
        <v>0</v>
      </c>
      <c r="AV861">
        <v>0</v>
      </c>
      <c r="AW861">
        <v>0</v>
      </c>
      <c r="AX861" s="24">
        <f t="shared" si="86"/>
        <v>1</v>
      </c>
      <c r="AY861" s="24" t="str">
        <f t="shared" si="86"/>
        <v/>
      </c>
      <c r="AZ861" s="24" t="str">
        <f t="shared" si="91"/>
        <v/>
      </c>
      <c r="BA861" s="24" t="str">
        <f t="shared" si="91"/>
        <v/>
      </c>
      <c r="BB861" s="24" t="str">
        <f t="shared" si="91"/>
        <v/>
      </c>
      <c r="BC861" s="24" t="str">
        <f t="shared" si="91"/>
        <v/>
      </c>
      <c r="BD861" s="24" t="str">
        <f t="shared" si="91"/>
        <v/>
      </c>
      <c r="BE861" s="24" t="str">
        <f t="shared" si="91"/>
        <v/>
      </c>
      <c r="BF861" s="24" t="str">
        <f t="shared" si="91"/>
        <v/>
      </c>
      <c r="BG861" s="24" t="str">
        <f t="shared" si="91"/>
        <v/>
      </c>
      <c r="BH861" s="24" t="str">
        <f t="shared" si="89"/>
        <v/>
      </c>
      <c r="BI861" s="24" t="str">
        <f t="shared" si="91"/>
        <v/>
      </c>
      <c r="BJ861" s="24" t="str">
        <f t="shared" si="90"/>
        <v/>
      </c>
    </row>
    <row r="862" spans="1:62" ht="15" customHeight="1" x14ac:dyDescent="0.25">
      <c r="A862" t="str">
        <f>"1225020357"</f>
        <v>1225020357</v>
      </c>
      <c r="B862" t="str">
        <f>"02635358"</f>
        <v>02635358</v>
      </c>
      <c r="C862" t="s">
        <v>4461</v>
      </c>
      <c r="D862" t="s">
        <v>4462</v>
      </c>
      <c r="E862" t="s">
        <v>4463</v>
      </c>
      <c r="G862" t="s">
        <v>4447</v>
      </c>
      <c r="H862" t="s">
        <v>4448</v>
      </c>
      <c r="J862" t="s">
        <v>4449</v>
      </c>
      <c r="L862" t="s">
        <v>247</v>
      </c>
      <c r="M862" t="s">
        <v>108</v>
      </c>
      <c r="R862" t="s">
        <v>4461</v>
      </c>
      <c r="W862" t="s">
        <v>4464</v>
      </c>
      <c r="X862" t="s">
        <v>4465</v>
      </c>
      <c r="Y862" t="s">
        <v>4466</v>
      </c>
      <c r="Z862" t="s">
        <v>111</v>
      </c>
      <c r="AA862" t="str">
        <f>"12983-5405"</f>
        <v>12983-5405</v>
      </c>
      <c r="AB862" t="s">
        <v>123</v>
      </c>
      <c r="AC862" t="s">
        <v>113</v>
      </c>
      <c r="AD862" t="s">
        <v>108</v>
      </c>
      <c r="AE862" t="s">
        <v>114</v>
      </c>
      <c r="AF862" t="s">
        <v>124</v>
      </c>
      <c r="AG862" t="s">
        <v>116</v>
      </c>
      <c r="AK862" t="str">
        <f t="shared" si="88"/>
        <v/>
      </c>
      <c r="AL862" t="s">
        <v>4462</v>
      </c>
      <c r="AM862">
        <v>0</v>
      </c>
      <c r="AN862">
        <v>0</v>
      </c>
      <c r="AO862">
        <v>0</v>
      </c>
      <c r="AP862">
        <v>0</v>
      </c>
      <c r="AQ862">
        <v>0</v>
      </c>
      <c r="AR862">
        <v>0</v>
      </c>
      <c r="AS862">
        <v>0</v>
      </c>
      <c r="AT862">
        <v>0</v>
      </c>
      <c r="AU862">
        <v>0</v>
      </c>
      <c r="AV862">
        <v>0</v>
      </c>
      <c r="AW862">
        <v>0</v>
      </c>
      <c r="AX862" s="24" t="str">
        <f t="shared" si="86"/>
        <v/>
      </c>
      <c r="AY862" s="24">
        <f t="shared" si="86"/>
        <v>1</v>
      </c>
      <c r="AZ862" s="24" t="str">
        <f t="shared" si="91"/>
        <v/>
      </c>
      <c r="BA862" s="24" t="str">
        <f t="shared" si="91"/>
        <v/>
      </c>
      <c r="BB862" s="24" t="str">
        <f t="shared" si="91"/>
        <v/>
      </c>
      <c r="BC862" s="24" t="str">
        <f t="shared" si="91"/>
        <v/>
      </c>
      <c r="BD862" s="24" t="str">
        <f t="shared" si="91"/>
        <v/>
      </c>
      <c r="BE862" s="24" t="str">
        <f t="shared" si="91"/>
        <v/>
      </c>
      <c r="BF862" s="24" t="str">
        <f t="shared" si="91"/>
        <v/>
      </c>
      <c r="BG862" s="24" t="str">
        <f t="shared" si="91"/>
        <v/>
      </c>
      <c r="BH862" s="24" t="str">
        <f t="shared" si="89"/>
        <v/>
      </c>
      <c r="BI862" s="24" t="str">
        <f t="shared" si="91"/>
        <v/>
      </c>
      <c r="BJ862" s="24" t="str">
        <f t="shared" si="90"/>
        <v/>
      </c>
    </row>
    <row r="863" spans="1:62" ht="15" customHeight="1" x14ac:dyDescent="0.25">
      <c r="A863" t="str">
        <f>"1801922919"</f>
        <v>1801922919</v>
      </c>
      <c r="B863" t="str">
        <f>"02494599"</f>
        <v>02494599</v>
      </c>
      <c r="C863" t="s">
        <v>576</v>
      </c>
      <c r="D863" t="s">
        <v>577</v>
      </c>
      <c r="E863" t="s">
        <v>578</v>
      </c>
      <c r="G863" t="s">
        <v>579</v>
      </c>
      <c r="H863" t="s">
        <v>580</v>
      </c>
      <c r="J863" t="s">
        <v>581</v>
      </c>
      <c r="L863" t="s">
        <v>120</v>
      </c>
      <c r="M863" t="s">
        <v>108</v>
      </c>
      <c r="R863" t="s">
        <v>582</v>
      </c>
      <c r="W863" t="s">
        <v>578</v>
      </c>
      <c r="X863" t="s">
        <v>583</v>
      </c>
      <c r="Y863" t="s">
        <v>293</v>
      </c>
      <c r="Z863" t="s">
        <v>111</v>
      </c>
      <c r="AA863" t="str">
        <f>"14850-1857"</f>
        <v>14850-1857</v>
      </c>
      <c r="AB863" t="s">
        <v>123</v>
      </c>
      <c r="AC863" t="s">
        <v>113</v>
      </c>
      <c r="AD863" t="s">
        <v>108</v>
      </c>
      <c r="AE863" t="s">
        <v>114</v>
      </c>
      <c r="AF863" t="s">
        <v>142</v>
      </c>
      <c r="AG863" t="s">
        <v>116</v>
      </c>
      <c r="AK863" t="str">
        <f t="shared" si="88"/>
        <v/>
      </c>
      <c r="AL863" t="s">
        <v>577</v>
      </c>
      <c r="AM863">
        <v>1</v>
      </c>
      <c r="AN863">
        <v>1</v>
      </c>
      <c r="AO863">
        <v>0</v>
      </c>
      <c r="AP863">
        <v>0</v>
      </c>
      <c r="AQ863">
        <v>0</v>
      </c>
      <c r="AR863">
        <v>0</v>
      </c>
      <c r="AS863">
        <v>0</v>
      </c>
      <c r="AT863">
        <v>0</v>
      </c>
      <c r="AU863">
        <v>0</v>
      </c>
      <c r="AV863">
        <v>0</v>
      </c>
      <c r="AW863">
        <v>0</v>
      </c>
      <c r="AX863" s="24">
        <f t="shared" si="86"/>
        <v>1</v>
      </c>
      <c r="AY863" s="24" t="str">
        <f t="shared" si="86"/>
        <v/>
      </c>
      <c r="AZ863" s="24" t="str">
        <f t="shared" si="91"/>
        <v/>
      </c>
      <c r="BA863" s="24" t="str">
        <f t="shared" si="91"/>
        <v/>
      </c>
      <c r="BB863" s="24" t="str">
        <f t="shared" si="91"/>
        <v/>
      </c>
      <c r="BC863" s="24" t="str">
        <f t="shared" si="91"/>
        <v/>
      </c>
      <c r="BD863" s="24" t="str">
        <f t="shared" si="91"/>
        <v/>
      </c>
      <c r="BE863" s="24" t="str">
        <f t="shared" si="91"/>
        <v/>
      </c>
      <c r="BF863" s="24" t="str">
        <f t="shared" si="91"/>
        <v/>
      </c>
      <c r="BG863" s="24" t="str">
        <f t="shared" si="91"/>
        <v/>
      </c>
      <c r="BH863" s="24" t="str">
        <f t="shared" si="89"/>
        <v/>
      </c>
      <c r="BI863" s="24">
        <f t="shared" si="91"/>
        <v>1</v>
      </c>
      <c r="BJ863" s="24" t="str">
        <f t="shared" si="90"/>
        <v/>
      </c>
    </row>
    <row r="864" spans="1:62" ht="15" customHeight="1" x14ac:dyDescent="0.25">
      <c r="A864" t="str">
        <f>"1578903258"</f>
        <v>1578903258</v>
      </c>
      <c r="B864" t="str">
        <f>"04536494"</f>
        <v>04536494</v>
      </c>
      <c r="C864" t="s">
        <v>6517</v>
      </c>
      <c r="D864" t="s">
        <v>6518</v>
      </c>
      <c r="E864" t="s">
        <v>6519</v>
      </c>
      <c r="G864" t="s">
        <v>6507</v>
      </c>
      <c r="H864" t="s">
        <v>6508</v>
      </c>
      <c r="J864" t="s">
        <v>6509</v>
      </c>
      <c r="L864" t="s">
        <v>138</v>
      </c>
      <c r="M864" t="s">
        <v>108</v>
      </c>
      <c r="R864" t="s">
        <v>6520</v>
      </c>
      <c r="W864" t="s">
        <v>6519</v>
      </c>
      <c r="AB864" t="s">
        <v>123</v>
      </c>
      <c r="AC864" t="s">
        <v>113</v>
      </c>
      <c r="AD864" t="s">
        <v>108</v>
      </c>
      <c r="AE864" t="s">
        <v>114</v>
      </c>
      <c r="AF864" t="s">
        <v>142</v>
      </c>
      <c r="AG864" t="s">
        <v>116</v>
      </c>
      <c r="AK864" t="str">
        <f t="shared" si="88"/>
        <v>Marshall Corina</v>
      </c>
      <c r="AL864" t="s">
        <v>6518</v>
      </c>
      <c r="AM864" t="s">
        <v>108</v>
      </c>
      <c r="AN864" t="s">
        <v>108</v>
      </c>
      <c r="AO864" t="s">
        <v>108</v>
      </c>
      <c r="AP864" t="s">
        <v>108</v>
      </c>
      <c r="AQ864" t="s">
        <v>108</v>
      </c>
      <c r="AR864" t="s">
        <v>108</v>
      </c>
      <c r="AS864" t="s">
        <v>108</v>
      </c>
      <c r="AT864" t="s">
        <v>108</v>
      </c>
      <c r="AU864">
        <v>0</v>
      </c>
      <c r="AV864" t="s">
        <v>108</v>
      </c>
      <c r="AW864" t="s">
        <v>108</v>
      </c>
      <c r="AX864" s="24" t="str">
        <f t="shared" si="86"/>
        <v/>
      </c>
      <c r="AY864" s="24">
        <f t="shared" si="86"/>
        <v>1</v>
      </c>
      <c r="AZ864" s="24" t="str">
        <f t="shared" si="91"/>
        <v/>
      </c>
      <c r="BA864" s="24" t="str">
        <f t="shared" si="91"/>
        <v/>
      </c>
      <c r="BB864" s="24" t="str">
        <f t="shared" si="91"/>
        <v/>
      </c>
      <c r="BC864" s="24" t="str">
        <f t="shared" si="91"/>
        <v/>
      </c>
      <c r="BD864" s="24" t="str">
        <f t="shared" si="91"/>
        <v/>
      </c>
      <c r="BE864" s="24" t="str">
        <f t="shared" si="91"/>
        <v/>
      </c>
      <c r="BF864" s="24" t="str">
        <f t="shared" si="91"/>
        <v/>
      </c>
      <c r="BG864" s="24" t="str">
        <f t="shared" si="91"/>
        <v/>
      </c>
      <c r="BH864" s="24" t="str">
        <f t="shared" si="89"/>
        <v/>
      </c>
      <c r="BI864" s="24">
        <f t="shared" si="91"/>
        <v>1</v>
      </c>
      <c r="BJ864" s="24" t="str">
        <f t="shared" si="90"/>
        <v/>
      </c>
    </row>
    <row r="865" spans="1:62" ht="15" customHeight="1" x14ac:dyDescent="0.25">
      <c r="A865" t="str">
        <f>"1295751782"</f>
        <v>1295751782</v>
      </c>
      <c r="B865" t="str">
        <f>"03105617"</f>
        <v>03105617</v>
      </c>
      <c r="C865" t="s">
        <v>5558</v>
      </c>
      <c r="D865" t="s">
        <v>5559</v>
      </c>
      <c r="E865" t="s">
        <v>5560</v>
      </c>
      <c r="G865" t="s">
        <v>5294</v>
      </c>
      <c r="H865" t="s">
        <v>2626</v>
      </c>
      <c r="J865" t="s">
        <v>5561</v>
      </c>
      <c r="L865" t="s">
        <v>247</v>
      </c>
      <c r="M865" t="s">
        <v>108</v>
      </c>
      <c r="R865" t="s">
        <v>5562</v>
      </c>
      <c r="W865" t="s">
        <v>5560</v>
      </c>
      <c r="X865" t="s">
        <v>302</v>
      </c>
      <c r="Y865" t="s">
        <v>293</v>
      </c>
      <c r="Z865" t="s">
        <v>111</v>
      </c>
      <c r="AA865" t="str">
        <f>"14850-1342"</f>
        <v>14850-1342</v>
      </c>
      <c r="AB865" t="s">
        <v>123</v>
      </c>
      <c r="AC865" t="s">
        <v>113</v>
      </c>
      <c r="AD865" t="s">
        <v>108</v>
      </c>
      <c r="AE865" t="s">
        <v>114</v>
      </c>
      <c r="AF865" t="s">
        <v>142</v>
      </c>
      <c r="AG865" t="s">
        <v>116</v>
      </c>
      <c r="AK865" t="str">
        <f t="shared" si="88"/>
        <v/>
      </c>
      <c r="AL865" t="s">
        <v>5559</v>
      </c>
      <c r="AM865">
        <v>0</v>
      </c>
      <c r="AN865">
        <v>0</v>
      </c>
      <c r="AO865">
        <v>0</v>
      </c>
      <c r="AP865">
        <v>0</v>
      </c>
      <c r="AQ865">
        <v>0</v>
      </c>
      <c r="AR865">
        <v>0</v>
      </c>
      <c r="AS865">
        <v>0</v>
      </c>
      <c r="AT865">
        <v>0</v>
      </c>
      <c r="AU865">
        <v>0</v>
      </c>
      <c r="AV865">
        <v>0</v>
      </c>
      <c r="AW865">
        <v>0</v>
      </c>
      <c r="AX865" s="24" t="str">
        <f t="shared" si="86"/>
        <v/>
      </c>
      <c r="AY865" s="24">
        <f t="shared" si="86"/>
        <v>1</v>
      </c>
      <c r="AZ865" s="24" t="str">
        <f t="shared" si="91"/>
        <v/>
      </c>
      <c r="BA865" s="24" t="str">
        <f t="shared" si="91"/>
        <v/>
      </c>
      <c r="BB865" s="24" t="str">
        <f t="shared" si="91"/>
        <v/>
      </c>
      <c r="BC865" s="24" t="str">
        <f t="shared" si="91"/>
        <v/>
      </c>
      <c r="BD865" s="24" t="str">
        <f t="shared" si="91"/>
        <v/>
      </c>
      <c r="BE865" s="24" t="str">
        <f t="shared" si="91"/>
        <v/>
      </c>
      <c r="BF865" s="24" t="str">
        <f t="shared" si="91"/>
        <v/>
      </c>
      <c r="BG865" s="24" t="str">
        <f t="shared" si="91"/>
        <v/>
      </c>
      <c r="BH865" s="24" t="str">
        <f t="shared" si="89"/>
        <v/>
      </c>
      <c r="BI865" s="24" t="str">
        <f t="shared" si="91"/>
        <v/>
      </c>
      <c r="BJ865" s="24" t="str">
        <f t="shared" si="90"/>
        <v/>
      </c>
    </row>
    <row r="866" spans="1:62" ht="15" customHeight="1" x14ac:dyDescent="0.25">
      <c r="A866" t="str">
        <f>"1972594117"</f>
        <v>1972594117</v>
      </c>
      <c r="B866" t="str">
        <f>"02528027"</f>
        <v>02528027</v>
      </c>
      <c r="C866" t="s">
        <v>4582</v>
      </c>
      <c r="D866" t="s">
        <v>4583</v>
      </c>
      <c r="E866" t="s">
        <v>4584</v>
      </c>
      <c r="L866" t="s">
        <v>247</v>
      </c>
      <c r="M866" t="s">
        <v>108</v>
      </c>
      <c r="R866" t="s">
        <v>4582</v>
      </c>
      <c r="W866" t="s">
        <v>4584</v>
      </c>
      <c r="X866" t="s">
        <v>4585</v>
      </c>
      <c r="Y866" t="s">
        <v>110</v>
      </c>
      <c r="Z866" t="s">
        <v>111</v>
      </c>
      <c r="AA866" t="str">
        <f>"13903-1642"</f>
        <v>13903-1642</v>
      </c>
      <c r="AB866" t="s">
        <v>123</v>
      </c>
      <c r="AC866" t="s">
        <v>113</v>
      </c>
      <c r="AD866" t="s">
        <v>108</v>
      </c>
      <c r="AE866" t="s">
        <v>114</v>
      </c>
      <c r="AF866" t="s">
        <v>115</v>
      </c>
      <c r="AG866" t="s">
        <v>116</v>
      </c>
      <c r="AK866" t="str">
        <f t="shared" si="88"/>
        <v/>
      </c>
      <c r="AL866" t="s">
        <v>4583</v>
      </c>
      <c r="AM866">
        <v>1</v>
      </c>
      <c r="AN866">
        <v>1</v>
      </c>
      <c r="AO866">
        <v>0</v>
      </c>
      <c r="AP866">
        <v>1</v>
      </c>
      <c r="AQ866">
        <v>1</v>
      </c>
      <c r="AR866">
        <v>0</v>
      </c>
      <c r="AS866">
        <v>0</v>
      </c>
      <c r="AT866">
        <v>0</v>
      </c>
      <c r="AU866">
        <v>0</v>
      </c>
      <c r="AV866">
        <v>0</v>
      </c>
      <c r="AW866">
        <v>0</v>
      </c>
      <c r="AX866" s="24" t="str">
        <f t="shared" si="86"/>
        <v/>
      </c>
      <c r="AY866" s="24">
        <f t="shared" si="86"/>
        <v>1</v>
      </c>
      <c r="AZ866" s="24" t="str">
        <f t="shared" si="91"/>
        <v/>
      </c>
      <c r="BA866" s="24" t="str">
        <f t="shared" si="91"/>
        <v/>
      </c>
      <c r="BB866" s="24" t="str">
        <f t="shared" si="91"/>
        <v/>
      </c>
      <c r="BC866" s="24" t="str">
        <f t="shared" si="91"/>
        <v/>
      </c>
      <c r="BD866" s="24" t="str">
        <f t="shared" si="91"/>
        <v/>
      </c>
      <c r="BE866" s="24" t="str">
        <f t="shared" si="91"/>
        <v/>
      </c>
      <c r="BF866" s="24" t="str">
        <f t="shared" si="91"/>
        <v/>
      </c>
      <c r="BG866" s="24" t="str">
        <f t="shared" si="91"/>
        <v/>
      </c>
      <c r="BH866" s="24" t="str">
        <f t="shared" si="89"/>
        <v/>
      </c>
      <c r="BI866" s="24" t="str">
        <f t="shared" si="91"/>
        <v/>
      </c>
      <c r="BJ866" s="24" t="str">
        <f t="shared" si="90"/>
        <v/>
      </c>
    </row>
    <row r="867" spans="1:62" ht="15" customHeight="1" x14ac:dyDescent="0.25">
      <c r="A867" t="str">
        <f>"1629189816"</f>
        <v>1629189816</v>
      </c>
      <c r="B867" t="str">
        <f>"01023683"</f>
        <v>01023683</v>
      </c>
      <c r="C867" t="s">
        <v>1667</v>
      </c>
      <c r="D867" t="s">
        <v>1668</v>
      </c>
      <c r="E867" t="s">
        <v>1669</v>
      </c>
      <c r="G867" t="s">
        <v>638</v>
      </c>
      <c r="H867" t="s">
        <v>1670</v>
      </c>
      <c r="J867" t="s">
        <v>1671</v>
      </c>
      <c r="L867" t="s">
        <v>442</v>
      </c>
      <c r="M867" t="s">
        <v>108</v>
      </c>
      <c r="R867" t="s">
        <v>1672</v>
      </c>
      <c r="W867" t="s">
        <v>1669</v>
      </c>
      <c r="X867" t="s">
        <v>1673</v>
      </c>
      <c r="Y867" t="s">
        <v>1272</v>
      </c>
      <c r="Z867" t="s">
        <v>111</v>
      </c>
      <c r="AA867" t="str">
        <f>"13021-3121"</f>
        <v>13021-3121</v>
      </c>
      <c r="AB867" t="s">
        <v>123</v>
      </c>
      <c r="AC867" t="s">
        <v>113</v>
      </c>
      <c r="AD867" t="s">
        <v>108</v>
      </c>
      <c r="AE867" t="s">
        <v>114</v>
      </c>
      <c r="AF867" t="s">
        <v>142</v>
      </c>
      <c r="AG867" t="s">
        <v>116</v>
      </c>
      <c r="AK867" t="str">
        <f t="shared" si="88"/>
        <v/>
      </c>
      <c r="AL867" t="s">
        <v>1668</v>
      </c>
      <c r="AM867">
        <v>0</v>
      </c>
      <c r="AN867">
        <v>0</v>
      </c>
      <c r="AO867">
        <v>0</v>
      </c>
      <c r="AP867">
        <v>0</v>
      </c>
      <c r="AQ867">
        <v>0</v>
      </c>
      <c r="AR867">
        <v>0</v>
      </c>
      <c r="AS867">
        <v>0</v>
      </c>
      <c r="AT867">
        <v>0</v>
      </c>
      <c r="AU867">
        <v>0</v>
      </c>
      <c r="AV867">
        <v>0</v>
      </c>
      <c r="AW867">
        <v>0</v>
      </c>
      <c r="AX867" s="24">
        <f t="shared" si="86"/>
        <v>1</v>
      </c>
      <c r="AY867" s="24" t="str">
        <f t="shared" si="86"/>
        <v/>
      </c>
      <c r="AZ867" s="24" t="str">
        <f t="shared" si="91"/>
        <v/>
      </c>
      <c r="BA867" s="24" t="str">
        <f t="shared" si="91"/>
        <v/>
      </c>
      <c r="BB867" s="24" t="str">
        <f t="shared" si="91"/>
        <v/>
      </c>
      <c r="BC867" s="24" t="str">
        <f t="shared" si="91"/>
        <v/>
      </c>
      <c r="BD867" s="24" t="str">
        <f t="shared" si="91"/>
        <v/>
      </c>
      <c r="BE867" s="24" t="str">
        <f t="shared" si="91"/>
        <v/>
      </c>
      <c r="BF867" s="24" t="str">
        <f t="shared" si="91"/>
        <v/>
      </c>
      <c r="BG867" s="24" t="str">
        <f t="shared" si="91"/>
        <v/>
      </c>
      <c r="BH867" s="24" t="str">
        <f t="shared" si="89"/>
        <v/>
      </c>
      <c r="BI867" s="24" t="str">
        <f t="shared" si="91"/>
        <v/>
      </c>
      <c r="BJ867" s="24" t="str">
        <f t="shared" si="90"/>
        <v/>
      </c>
    </row>
    <row r="868" spans="1:62" ht="15" customHeight="1" x14ac:dyDescent="0.25">
      <c r="A868" t="str">
        <f>"1700857257"</f>
        <v>1700857257</v>
      </c>
      <c r="B868" t="str">
        <f>"01088137"</f>
        <v>01088137</v>
      </c>
      <c r="C868" t="s">
        <v>2959</v>
      </c>
      <c r="D868" t="s">
        <v>2960</v>
      </c>
      <c r="E868" t="s">
        <v>2961</v>
      </c>
      <c r="G868" t="s">
        <v>177</v>
      </c>
      <c r="H868" t="s">
        <v>178</v>
      </c>
      <c r="J868" t="s">
        <v>179</v>
      </c>
      <c r="L868" t="s">
        <v>138</v>
      </c>
      <c r="M868" t="s">
        <v>108</v>
      </c>
      <c r="R868" t="s">
        <v>2959</v>
      </c>
      <c r="W868" t="s">
        <v>2961</v>
      </c>
      <c r="X868" t="s">
        <v>180</v>
      </c>
      <c r="Y868" t="s">
        <v>181</v>
      </c>
      <c r="Z868" t="s">
        <v>182</v>
      </c>
      <c r="AA868" t="str">
        <f>"18840"</f>
        <v>18840</v>
      </c>
      <c r="AB868" t="s">
        <v>123</v>
      </c>
      <c r="AC868" t="s">
        <v>113</v>
      </c>
      <c r="AD868" t="s">
        <v>108</v>
      </c>
      <c r="AE868" t="s">
        <v>114</v>
      </c>
      <c r="AF868" t="s">
        <v>115</v>
      </c>
      <c r="AG868" t="s">
        <v>116</v>
      </c>
      <c r="AK868" t="str">
        <f t="shared" si="88"/>
        <v/>
      </c>
      <c r="AL868" t="s">
        <v>2960</v>
      </c>
      <c r="AM868">
        <v>1</v>
      </c>
      <c r="AN868">
        <v>1</v>
      </c>
      <c r="AO868">
        <v>0</v>
      </c>
      <c r="AP868">
        <v>0</v>
      </c>
      <c r="AQ868">
        <v>0</v>
      </c>
      <c r="AR868">
        <v>0</v>
      </c>
      <c r="AS868">
        <v>0</v>
      </c>
      <c r="AT868">
        <v>0</v>
      </c>
      <c r="AU868">
        <v>0</v>
      </c>
      <c r="AV868">
        <v>1</v>
      </c>
      <c r="AW868">
        <v>0</v>
      </c>
      <c r="AX868" s="24" t="str">
        <f t="shared" si="86"/>
        <v/>
      </c>
      <c r="AY868" s="24">
        <f t="shared" si="86"/>
        <v>1</v>
      </c>
      <c r="AZ868" s="24" t="str">
        <f t="shared" si="91"/>
        <v/>
      </c>
      <c r="BA868" s="24" t="str">
        <f t="shared" si="91"/>
        <v/>
      </c>
      <c r="BB868" s="24" t="str">
        <f t="shared" si="91"/>
        <v/>
      </c>
      <c r="BC868" s="24" t="str">
        <f t="shared" si="91"/>
        <v/>
      </c>
      <c r="BD868" s="24" t="str">
        <f t="shared" si="91"/>
        <v/>
      </c>
      <c r="BE868" s="24" t="str">
        <f t="shared" si="91"/>
        <v/>
      </c>
      <c r="BF868" s="24" t="str">
        <f t="shared" si="91"/>
        <v/>
      </c>
      <c r="BG868" s="24" t="str">
        <f t="shared" si="91"/>
        <v/>
      </c>
      <c r="BH868" s="24" t="str">
        <f t="shared" si="89"/>
        <v/>
      </c>
      <c r="BI868" s="24">
        <f t="shared" si="91"/>
        <v>1</v>
      </c>
      <c r="BJ868" s="24" t="str">
        <f t="shared" si="90"/>
        <v/>
      </c>
    </row>
    <row r="869" spans="1:62" ht="15" customHeight="1" x14ac:dyDescent="0.25">
      <c r="A869" t="str">
        <f>"1083600514"</f>
        <v>1083600514</v>
      </c>
      <c r="B869" t="str">
        <f>"01654562"</f>
        <v>01654562</v>
      </c>
      <c r="C869" t="s">
        <v>2889</v>
      </c>
      <c r="D869" t="s">
        <v>2890</v>
      </c>
      <c r="E869" t="s">
        <v>2889</v>
      </c>
      <c r="L869" t="s">
        <v>138</v>
      </c>
      <c r="M869" t="s">
        <v>108</v>
      </c>
      <c r="W869" t="s">
        <v>2889</v>
      </c>
      <c r="X869" t="s">
        <v>2891</v>
      </c>
      <c r="Y869" t="s">
        <v>2892</v>
      </c>
      <c r="Z869" t="s">
        <v>111</v>
      </c>
      <c r="AA869" t="str">
        <f>"12180-2447"</f>
        <v>12180-2447</v>
      </c>
      <c r="AB869" t="s">
        <v>123</v>
      </c>
      <c r="AC869" t="s">
        <v>113</v>
      </c>
      <c r="AD869" t="s">
        <v>108</v>
      </c>
      <c r="AE869" t="s">
        <v>114</v>
      </c>
      <c r="AF869" t="s">
        <v>115</v>
      </c>
      <c r="AG869" t="s">
        <v>116</v>
      </c>
      <c r="AK869" t="str">
        <f t="shared" si="88"/>
        <v/>
      </c>
      <c r="AL869" t="s">
        <v>2890</v>
      </c>
      <c r="AM869">
        <v>1</v>
      </c>
      <c r="AN869">
        <v>1</v>
      </c>
      <c r="AO869">
        <v>0</v>
      </c>
      <c r="AP869">
        <v>1</v>
      </c>
      <c r="AQ869">
        <v>1</v>
      </c>
      <c r="AR869">
        <v>0</v>
      </c>
      <c r="AS869">
        <v>0</v>
      </c>
      <c r="AT869">
        <v>0</v>
      </c>
      <c r="AU869">
        <v>0</v>
      </c>
      <c r="AV869">
        <v>0</v>
      </c>
      <c r="AW869">
        <v>0</v>
      </c>
      <c r="AX869" s="24" t="str">
        <f t="shared" si="86"/>
        <v/>
      </c>
      <c r="AY869" s="24">
        <f t="shared" si="86"/>
        <v>1</v>
      </c>
      <c r="AZ869" s="24" t="str">
        <f t="shared" si="91"/>
        <v/>
      </c>
      <c r="BA869" s="24" t="str">
        <f t="shared" si="91"/>
        <v/>
      </c>
      <c r="BB869" s="24" t="str">
        <f t="shared" si="91"/>
        <v/>
      </c>
      <c r="BC869" s="24" t="str">
        <f t="shared" si="91"/>
        <v/>
      </c>
      <c r="BD869" s="24" t="str">
        <f t="shared" si="91"/>
        <v/>
      </c>
      <c r="BE869" s="24" t="str">
        <f t="shared" si="91"/>
        <v/>
      </c>
      <c r="BF869" s="24" t="str">
        <f t="shared" si="91"/>
        <v/>
      </c>
      <c r="BG869" s="24" t="str">
        <f t="shared" si="91"/>
        <v/>
      </c>
      <c r="BH869" s="24" t="str">
        <f t="shared" si="89"/>
        <v/>
      </c>
      <c r="BI869" s="24">
        <f t="shared" si="91"/>
        <v>1</v>
      </c>
      <c r="BJ869" s="24" t="str">
        <f t="shared" si="90"/>
        <v/>
      </c>
    </row>
    <row r="870" spans="1:62" ht="15" customHeight="1" x14ac:dyDescent="0.25">
      <c r="A870" t="str">
        <f>"1972519072"</f>
        <v>1972519072</v>
      </c>
      <c r="B870" t="str">
        <f>"01915728"</f>
        <v>01915728</v>
      </c>
      <c r="C870" t="s">
        <v>4578</v>
      </c>
      <c r="D870" t="s">
        <v>4579</v>
      </c>
      <c r="E870" t="s">
        <v>4580</v>
      </c>
      <c r="L870" t="s">
        <v>247</v>
      </c>
      <c r="M870" t="s">
        <v>108</v>
      </c>
      <c r="R870" t="s">
        <v>4578</v>
      </c>
      <c r="W870" t="s">
        <v>4580</v>
      </c>
      <c r="X870" t="s">
        <v>4581</v>
      </c>
      <c r="Y870" t="s">
        <v>129</v>
      </c>
      <c r="Z870" t="s">
        <v>111</v>
      </c>
      <c r="AA870" t="str">
        <f>"13790-2176"</f>
        <v>13790-2176</v>
      </c>
      <c r="AB870" t="s">
        <v>123</v>
      </c>
      <c r="AC870" t="s">
        <v>113</v>
      </c>
      <c r="AD870" t="s">
        <v>108</v>
      </c>
      <c r="AE870" t="s">
        <v>114</v>
      </c>
      <c r="AF870" t="s">
        <v>115</v>
      </c>
      <c r="AG870" t="s">
        <v>116</v>
      </c>
      <c r="AK870" t="str">
        <f t="shared" si="88"/>
        <v/>
      </c>
      <c r="AL870" t="s">
        <v>4579</v>
      </c>
      <c r="AM870">
        <v>0</v>
      </c>
      <c r="AN870">
        <v>0</v>
      </c>
      <c r="AO870">
        <v>0</v>
      </c>
      <c r="AP870">
        <v>0</v>
      </c>
      <c r="AQ870">
        <v>0</v>
      </c>
      <c r="AR870">
        <v>0</v>
      </c>
      <c r="AS870">
        <v>0</v>
      </c>
      <c r="AT870">
        <v>0</v>
      </c>
      <c r="AU870">
        <v>0</v>
      </c>
      <c r="AV870">
        <v>0</v>
      </c>
      <c r="AW870">
        <v>0</v>
      </c>
      <c r="AX870" s="24" t="str">
        <f t="shared" si="86"/>
        <v/>
      </c>
      <c r="AY870" s="24">
        <f t="shared" si="86"/>
        <v>1</v>
      </c>
      <c r="AZ870" s="24" t="str">
        <f t="shared" si="91"/>
        <v/>
      </c>
      <c r="BA870" s="24" t="str">
        <f t="shared" si="91"/>
        <v/>
      </c>
      <c r="BB870" s="24" t="str">
        <f t="shared" si="91"/>
        <v/>
      </c>
      <c r="BC870" s="24" t="str">
        <f t="shared" si="91"/>
        <v/>
      </c>
      <c r="BD870" s="24" t="str">
        <f t="shared" si="91"/>
        <v/>
      </c>
      <c r="BE870" s="24" t="str">
        <f t="shared" si="91"/>
        <v/>
      </c>
      <c r="BF870" s="24" t="str">
        <f t="shared" si="91"/>
        <v/>
      </c>
      <c r="BG870" s="24" t="str">
        <f t="shared" si="91"/>
        <v/>
      </c>
      <c r="BH870" s="24" t="str">
        <f t="shared" si="89"/>
        <v/>
      </c>
      <c r="BI870" s="24" t="str">
        <f t="shared" si="91"/>
        <v/>
      </c>
      <c r="BJ870" s="24" t="str">
        <f t="shared" si="90"/>
        <v/>
      </c>
    </row>
    <row r="871" spans="1:62" ht="15" customHeight="1" x14ac:dyDescent="0.25">
      <c r="A871" t="str">
        <f>"1861447369"</f>
        <v>1861447369</v>
      </c>
      <c r="B871" t="str">
        <f>"01662835"</f>
        <v>01662835</v>
      </c>
      <c r="C871" t="s">
        <v>1679</v>
      </c>
      <c r="D871" t="s">
        <v>1680</v>
      </c>
      <c r="E871" t="s">
        <v>1681</v>
      </c>
      <c r="G871" t="s">
        <v>1682</v>
      </c>
      <c r="H871" t="s">
        <v>1683</v>
      </c>
      <c r="J871" t="s">
        <v>1684</v>
      </c>
      <c r="L871" t="s">
        <v>120</v>
      </c>
      <c r="M871" t="s">
        <v>108</v>
      </c>
      <c r="R871" t="s">
        <v>1685</v>
      </c>
      <c r="W871" t="s">
        <v>1681</v>
      </c>
      <c r="X871" t="s">
        <v>543</v>
      </c>
      <c r="Y871" t="s">
        <v>293</v>
      </c>
      <c r="Z871" t="s">
        <v>111</v>
      </c>
      <c r="AA871" t="str">
        <f>"14850-9105"</f>
        <v>14850-9105</v>
      </c>
      <c r="AB871" t="s">
        <v>123</v>
      </c>
      <c r="AC871" t="s">
        <v>113</v>
      </c>
      <c r="AD871" t="s">
        <v>108</v>
      </c>
      <c r="AE871" t="s">
        <v>114</v>
      </c>
      <c r="AF871" t="s">
        <v>142</v>
      </c>
      <c r="AG871" t="s">
        <v>116</v>
      </c>
      <c r="AK871" t="str">
        <f t="shared" si="88"/>
        <v/>
      </c>
      <c r="AL871" t="s">
        <v>1680</v>
      </c>
      <c r="AM871">
        <v>1</v>
      </c>
      <c r="AN871">
        <v>1</v>
      </c>
      <c r="AO871">
        <v>0</v>
      </c>
      <c r="AP871">
        <v>0</v>
      </c>
      <c r="AQ871">
        <v>0</v>
      </c>
      <c r="AR871">
        <v>0</v>
      </c>
      <c r="AS871">
        <v>0</v>
      </c>
      <c r="AT871">
        <v>0</v>
      </c>
      <c r="AU871">
        <v>0</v>
      </c>
      <c r="AV871">
        <v>0</v>
      </c>
      <c r="AW871">
        <v>0</v>
      </c>
      <c r="AX871" s="24">
        <f t="shared" si="86"/>
        <v>1</v>
      </c>
      <c r="AY871" s="24" t="str">
        <f t="shared" si="86"/>
        <v/>
      </c>
      <c r="AZ871" s="24" t="str">
        <f t="shared" si="91"/>
        <v/>
      </c>
      <c r="BA871" s="24" t="str">
        <f t="shared" si="91"/>
        <v/>
      </c>
      <c r="BB871" s="24" t="str">
        <f t="shared" si="91"/>
        <v/>
      </c>
      <c r="BC871" s="24" t="str">
        <f t="shared" si="91"/>
        <v/>
      </c>
      <c r="BD871" s="24" t="str">
        <f t="shared" si="91"/>
        <v/>
      </c>
      <c r="BE871" s="24" t="str">
        <f t="shared" si="91"/>
        <v/>
      </c>
      <c r="BF871" s="24" t="str">
        <f t="shared" si="91"/>
        <v/>
      </c>
      <c r="BG871" s="24" t="str">
        <f t="shared" si="91"/>
        <v/>
      </c>
      <c r="BH871" s="24" t="str">
        <f t="shared" si="89"/>
        <v/>
      </c>
      <c r="BI871" s="24">
        <f t="shared" si="91"/>
        <v>1</v>
      </c>
      <c r="BJ871" s="24" t="str">
        <f t="shared" si="90"/>
        <v/>
      </c>
    </row>
    <row r="872" spans="1:62" ht="15" customHeight="1" x14ac:dyDescent="0.25">
      <c r="A872" t="str">
        <f>"1285689836"</f>
        <v>1285689836</v>
      </c>
      <c r="B872" t="str">
        <f>"01470548"</f>
        <v>01470548</v>
      </c>
      <c r="C872" t="s">
        <v>600</v>
      </c>
      <c r="D872" t="s">
        <v>601</v>
      </c>
      <c r="E872" t="s">
        <v>602</v>
      </c>
      <c r="G872" t="s">
        <v>603</v>
      </c>
      <c r="H872" t="s">
        <v>604</v>
      </c>
      <c r="J872" t="s">
        <v>605</v>
      </c>
      <c r="L872" t="s">
        <v>247</v>
      </c>
      <c r="M872" t="s">
        <v>108</v>
      </c>
      <c r="R872" t="s">
        <v>606</v>
      </c>
      <c r="W872" t="s">
        <v>607</v>
      </c>
      <c r="X872" t="s">
        <v>608</v>
      </c>
      <c r="Y872" t="s">
        <v>293</v>
      </c>
      <c r="Z872" t="s">
        <v>111</v>
      </c>
      <c r="AA872" t="str">
        <f>"14850-3512"</f>
        <v>14850-3512</v>
      </c>
      <c r="AB872" t="s">
        <v>609</v>
      </c>
      <c r="AC872" t="s">
        <v>113</v>
      </c>
      <c r="AD872" t="s">
        <v>108</v>
      </c>
      <c r="AE872" t="s">
        <v>114</v>
      </c>
      <c r="AF872" t="s">
        <v>142</v>
      </c>
      <c r="AG872" t="s">
        <v>116</v>
      </c>
      <c r="AK872" t="str">
        <f t="shared" si="88"/>
        <v/>
      </c>
      <c r="AL872" t="s">
        <v>601</v>
      </c>
      <c r="AM872">
        <v>1</v>
      </c>
      <c r="AN872">
        <v>1</v>
      </c>
      <c r="AO872">
        <v>0</v>
      </c>
      <c r="AP872">
        <v>0</v>
      </c>
      <c r="AQ872">
        <v>0</v>
      </c>
      <c r="AR872">
        <v>0</v>
      </c>
      <c r="AS872">
        <v>0</v>
      </c>
      <c r="AT872">
        <v>0</v>
      </c>
      <c r="AU872">
        <v>0</v>
      </c>
      <c r="AV872">
        <v>0</v>
      </c>
      <c r="AW872">
        <v>0</v>
      </c>
      <c r="AX872" s="24" t="str">
        <f t="shared" ref="AX872:AY935" si="92">IF(ISERROR(FIND(AX$1,$L872,1)),"",1)</f>
        <v/>
      </c>
      <c r="AY872" s="24">
        <f t="shared" si="92"/>
        <v>1</v>
      </c>
      <c r="AZ872" s="24" t="str">
        <f t="shared" si="91"/>
        <v/>
      </c>
      <c r="BA872" s="24" t="str">
        <f t="shared" si="91"/>
        <v/>
      </c>
      <c r="BB872" s="24" t="str">
        <f t="shared" si="91"/>
        <v/>
      </c>
      <c r="BC872" s="24" t="str">
        <f t="shared" si="91"/>
        <v/>
      </c>
      <c r="BD872" s="24" t="str">
        <f t="shared" si="91"/>
        <v/>
      </c>
      <c r="BE872" s="24" t="str">
        <f t="shared" si="91"/>
        <v/>
      </c>
      <c r="BF872" s="24" t="str">
        <f t="shared" si="91"/>
        <v/>
      </c>
      <c r="BG872" s="24" t="str">
        <f t="shared" si="91"/>
        <v/>
      </c>
      <c r="BH872" s="24" t="str">
        <f t="shared" si="89"/>
        <v/>
      </c>
      <c r="BI872" s="24" t="str">
        <f t="shared" si="91"/>
        <v/>
      </c>
      <c r="BJ872" s="24" t="str">
        <f t="shared" si="90"/>
        <v/>
      </c>
    </row>
    <row r="873" spans="1:62" ht="15" customHeight="1" x14ac:dyDescent="0.25">
      <c r="A873" t="str">
        <f>"1356786537"</f>
        <v>1356786537</v>
      </c>
      <c r="B873" t="str">
        <f>"04521133"</f>
        <v>04521133</v>
      </c>
      <c r="C873" t="s">
        <v>6430</v>
      </c>
      <c r="D873" t="s">
        <v>6431</v>
      </c>
      <c r="E873" t="s">
        <v>6432</v>
      </c>
      <c r="G873" t="s">
        <v>6330</v>
      </c>
      <c r="H873" t="s">
        <v>6331</v>
      </c>
      <c r="J873" t="s">
        <v>6332</v>
      </c>
      <c r="L873" t="s">
        <v>247</v>
      </c>
      <c r="M873" t="s">
        <v>108</v>
      </c>
      <c r="R873" t="s">
        <v>6432</v>
      </c>
      <c r="W873" t="s">
        <v>6432</v>
      </c>
      <c r="AB873" t="s">
        <v>123</v>
      </c>
      <c r="AC873" t="s">
        <v>113</v>
      </c>
      <c r="AD873" t="s">
        <v>108</v>
      </c>
      <c r="AE873" t="s">
        <v>114</v>
      </c>
      <c r="AF873" t="s">
        <v>115</v>
      </c>
      <c r="AG873" t="s">
        <v>116</v>
      </c>
      <c r="AK873" t="str">
        <f t="shared" si="88"/>
        <v>Maryam Syed, DO</v>
      </c>
      <c r="AL873" t="s">
        <v>6431</v>
      </c>
      <c r="AM873" t="s">
        <v>108</v>
      </c>
      <c r="AN873" t="s">
        <v>108</v>
      </c>
      <c r="AO873" t="s">
        <v>108</v>
      </c>
      <c r="AP873" t="s">
        <v>108</v>
      </c>
      <c r="AQ873" t="s">
        <v>108</v>
      </c>
      <c r="AR873" t="s">
        <v>108</v>
      </c>
      <c r="AS873" t="s">
        <v>108</v>
      </c>
      <c r="AT873" t="s">
        <v>108</v>
      </c>
      <c r="AU873">
        <v>1</v>
      </c>
      <c r="AV873" t="s">
        <v>108</v>
      </c>
      <c r="AW873" t="s">
        <v>108</v>
      </c>
      <c r="AX873" s="24" t="str">
        <f t="shared" si="92"/>
        <v/>
      </c>
      <c r="AY873" s="24">
        <f t="shared" si="92"/>
        <v>1</v>
      </c>
      <c r="AZ873" s="24" t="str">
        <f t="shared" si="91"/>
        <v/>
      </c>
      <c r="BA873" s="24" t="str">
        <f t="shared" si="91"/>
        <v/>
      </c>
      <c r="BB873" s="24" t="str">
        <f t="shared" si="91"/>
        <v/>
      </c>
      <c r="BC873" s="24" t="str">
        <f t="shared" si="91"/>
        <v/>
      </c>
      <c r="BD873" s="24" t="str">
        <f t="shared" si="91"/>
        <v/>
      </c>
      <c r="BE873" s="24" t="str">
        <f t="shared" si="91"/>
        <v/>
      </c>
      <c r="BF873" s="24" t="str">
        <f t="shared" si="91"/>
        <v/>
      </c>
      <c r="BG873" s="24" t="str">
        <f t="shared" si="91"/>
        <v/>
      </c>
      <c r="BH873" s="24" t="str">
        <f t="shared" si="89"/>
        <v/>
      </c>
      <c r="BI873" s="24" t="str">
        <f t="shared" si="91"/>
        <v/>
      </c>
      <c r="BJ873" s="24" t="str">
        <f t="shared" si="90"/>
        <v/>
      </c>
    </row>
    <row r="874" spans="1:62" ht="15" customHeight="1" x14ac:dyDescent="0.25">
      <c r="A874" t="str">
        <f>"1356341622"</f>
        <v>1356341622</v>
      </c>
      <c r="B874" t="str">
        <f>"00944918"</f>
        <v>00944918</v>
      </c>
      <c r="C874" t="s">
        <v>5119</v>
      </c>
      <c r="D874" t="s">
        <v>5120</v>
      </c>
      <c r="E874" t="s">
        <v>5121</v>
      </c>
      <c r="G874" t="s">
        <v>6330</v>
      </c>
      <c r="H874" t="s">
        <v>6331</v>
      </c>
      <c r="J874" t="s">
        <v>6332</v>
      </c>
      <c r="L874" t="s">
        <v>120</v>
      </c>
      <c r="M874" t="s">
        <v>108</v>
      </c>
      <c r="R874" t="s">
        <v>5119</v>
      </c>
      <c r="W874" t="s">
        <v>5121</v>
      </c>
      <c r="X874" t="s">
        <v>1039</v>
      </c>
      <c r="Y874" t="s">
        <v>110</v>
      </c>
      <c r="Z874" t="s">
        <v>111</v>
      </c>
      <c r="AA874" t="str">
        <f>"13901-1293"</f>
        <v>13901-1293</v>
      </c>
      <c r="AB874" t="s">
        <v>123</v>
      </c>
      <c r="AC874" t="s">
        <v>113</v>
      </c>
      <c r="AD874" t="s">
        <v>108</v>
      </c>
      <c r="AE874" t="s">
        <v>114</v>
      </c>
      <c r="AF874" t="s">
        <v>115</v>
      </c>
      <c r="AG874" t="s">
        <v>116</v>
      </c>
      <c r="AK874" t="str">
        <f t="shared" si="88"/>
        <v/>
      </c>
      <c r="AL874" t="s">
        <v>5120</v>
      </c>
      <c r="AM874">
        <v>1</v>
      </c>
      <c r="AN874">
        <v>1</v>
      </c>
      <c r="AO874">
        <v>0</v>
      </c>
      <c r="AP874">
        <v>1</v>
      </c>
      <c r="AQ874">
        <v>1</v>
      </c>
      <c r="AR874">
        <v>0</v>
      </c>
      <c r="AS874">
        <v>0</v>
      </c>
      <c r="AT874">
        <v>0</v>
      </c>
      <c r="AU874">
        <v>1</v>
      </c>
      <c r="AV874">
        <v>0</v>
      </c>
      <c r="AW874">
        <v>0</v>
      </c>
      <c r="AX874" s="24">
        <f t="shared" si="92"/>
        <v>1</v>
      </c>
      <c r="AY874" s="24" t="str">
        <f t="shared" si="92"/>
        <v/>
      </c>
      <c r="AZ874" s="24" t="str">
        <f t="shared" si="91"/>
        <v/>
      </c>
      <c r="BA874" s="24" t="str">
        <f t="shared" si="91"/>
        <v/>
      </c>
      <c r="BB874" s="24" t="str">
        <f t="shared" si="91"/>
        <v/>
      </c>
      <c r="BC874" s="24" t="str">
        <f t="shared" si="91"/>
        <v/>
      </c>
      <c r="BD874" s="24" t="str">
        <f t="shared" si="91"/>
        <v/>
      </c>
      <c r="BE874" s="24" t="str">
        <f t="shared" si="91"/>
        <v/>
      </c>
      <c r="BF874" s="24" t="str">
        <f t="shared" si="91"/>
        <v/>
      </c>
      <c r="BG874" s="24" t="str">
        <f t="shared" si="91"/>
        <v/>
      </c>
      <c r="BH874" s="24" t="str">
        <f t="shared" si="89"/>
        <v/>
      </c>
      <c r="BI874" s="24">
        <f t="shared" si="91"/>
        <v>1</v>
      </c>
      <c r="BJ874" s="24" t="str">
        <f t="shared" si="90"/>
        <v/>
      </c>
    </row>
    <row r="875" spans="1:62" ht="15" customHeight="1" x14ac:dyDescent="0.25">
      <c r="A875" t="str">
        <f>"1679808885"</f>
        <v>1679808885</v>
      </c>
      <c r="B875" t="str">
        <f>"03687932"</f>
        <v>03687932</v>
      </c>
      <c r="C875" t="s">
        <v>4296</v>
      </c>
      <c r="D875" t="s">
        <v>4297</v>
      </c>
      <c r="E875" t="s">
        <v>4298</v>
      </c>
      <c r="G875" t="s">
        <v>4280</v>
      </c>
      <c r="H875" t="s">
        <v>4281</v>
      </c>
      <c r="J875" t="s">
        <v>4299</v>
      </c>
      <c r="L875" t="s">
        <v>120</v>
      </c>
      <c r="M875" t="s">
        <v>108</v>
      </c>
      <c r="R875" t="s">
        <v>4300</v>
      </c>
      <c r="W875" t="s">
        <v>4298</v>
      </c>
      <c r="X875" t="s">
        <v>4284</v>
      </c>
      <c r="Y875" t="s">
        <v>262</v>
      </c>
      <c r="Z875" t="s">
        <v>111</v>
      </c>
      <c r="AA875" t="str">
        <f>"13053-0000"</f>
        <v>13053-0000</v>
      </c>
      <c r="AB875" t="s">
        <v>123</v>
      </c>
      <c r="AC875" t="s">
        <v>113</v>
      </c>
      <c r="AD875" t="s">
        <v>108</v>
      </c>
      <c r="AE875" t="s">
        <v>114</v>
      </c>
      <c r="AF875" t="s">
        <v>142</v>
      </c>
      <c r="AG875" t="s">
        <v>116</v>
      </c>
      <c r="AK875" t="str">
        <f t="shared" si="88"/>
        <v/>
      </c>
      <c r="AL875" t="s">
        <v>4297</v>
      </c>
      <c r="AM875">
        <v>1</v>
      </c>
      <c r="AN875">
        <v>1</v>
      </c>
      <c r="AO875">
        <v>0</v>
      </c>
      <c r="AP875">
        <v>0</v>
      </c>
      <c r="AQ875">
        <v>0</v>
      </c>
      <c r="AR875">
        <v>0</v>
      </c>
      <c r="AS875">
        <v>0</v>
      </c>
      <c r="AT875">
        <v>0</v>
      </c>
      <c r="AU875">
        <v>0</v>
      </c>
      <c r="AV875">
        <v>0</v>
      </c>
      <c r="AW875">
        <v>0</v>
      </c>
      <c r="AX875" s="24">
        <f t="shared" si="92"/>
        <v>1</v>
      </c>
      <c r="AY875" s="24" t="str">
        <f t="shared" si="92"/>
        <v/>
      </c>
      <c r="AZ875" s="24" t="str">
        <f t="shared" si="91"/>
        <v/>
      </c>
      <c r="BA875" s="24" t="str">
        <f t="shared" si="91"/>
        <v/>
      </c>
      <c r="BB875" s="24" t="str">
        <f t="shared" si="91"/>
        <v/>
      </c>
      <c r="BC875" s="24" t="str">
        <f t="shared" si="91"/>
        <v/>
      </c>
      <c r="BD875" s="24" t="str">
        <f t="shared" si="91"/>
        <v/>
      </c>
      <c r="BE875" s="24" t="str">
        <f t="shared" si="91"/>
        <v/>
      </c>
      <c r="BF875" s="24" t="str">
        <f t="shared" si="91"/>
        <v/>
      </c>
      <c r="BG875" s="24" t="str">
        <f t="shared" si="91"/>
        <v/>
      </c>
      <c r="BH875" s="24" t="str">
        <f t="shared" si="89"/>
        <v/>
      </c>
      <c r="BI875" s="24">
        <f t="shared" si="91"/>
        <v>1</v>
      </c>
      <c r="BJ875" s="24" t="str">
        <f t="shared" si="90"/>
        <v/>
      </c>
    </row>
    <row r="876" spans="1:62" ht="15" customHeight="1" x14ac:dyDescent="0.25">
      <c r="A876" t="str">
        <f>"1467524975"</f>
        <v>1467524975</v>
      </c>
      <c r="B876" t="str">
        <f>"00735222"</f>
        <v>00735222</v>
      </c>
      <c r="C876" t="s">
        <v>6826</v>
      </c>
      <c r="D876" t="s">
        <v>7110</v>
      </c>
      <c r="E876" t="s">
        <v>7111</v>
      </c>
      <c r="G876" t="s">
        <v>815</v>
      </c>
      <c r="H876" t="s">
        <v>816</v>
      </c>
      <c r="J876" t="s">
        <v>817</v>
      </c>
      <c r="L876" t="s">
        <v>247</v>
      </c>
      <c r="M876" t="s">
        <v>108</v>
      </c>
      <c r="R876" t="s">
        <v>6826</v>
      </c>
      <c r="W876" t="s">
        <v>6968</v>
      </c>
      <c r="X876" t="s">
        <v>6969</v>
      </c>
      <c r="Y876" t="s">
        <v>110</v>
      </c>
      <c r="Z876" t="s">
        <v>111</v>
      </c>
      <c r="AA876" t="str">
        <f>"13905-4177"</f>
        <v>13905-4177</v>
      </c>
      <c r="AB876" t="s">
        <v>123</v>
      </c>
      <c r="AC876" t="s">
        <v>113</v>
      </c>
      <c r="AD876" t="s">
        <v>108</v>
      </c>
      <c r="AE876" t="s">
        <v>114</v>
      </c>
      <c r="AF876" t="s">
        <v>115</v>
      </c>
      <c r="AG876" t="s">
        <v>116</v>
      </c>
      <c r="AK876" t="str">
        <f t="shared" si="88"/>
        <v>MATA ARMANDO</v>
      </c>
      <c r="AL876" t="s">
        <v>7110</v>
      </c>
      <c r="AM876" t="s">
        <v>108</v>
      </c>
      <c r="AN876" t="s">
        <v>108</v>
      </c>
      <c r="AO876" t="s">
        <v>108</v>
      </c>
      <c r="AP876" t="s">
        <v>108</v>
      </c>
      <c r="AQ876" t="s">
        <v>108</v>
      </c>
      <c r="AR876" t="s">
        <v>108</v>
      </c>
      <c r="AS876" t="s">
        <v>108</v>
      </c>
      <c r="AT876" t="s">
        <v>108</v>
      </c>
      <c r="AU876">
        <v>0</v>
      </c>
      <c r="AV876" t="s">
        <v>108</v>
      </c>
      <c r="AW876" t="s">
        <v>108</v>
      </c>
      <c r="AX876" s="24" t="str">
        <f t="shared" si="92"/>
        <v/>
      </c>
      <c r="AY876" s="24">
        <f t="shared" si="92"/>
        <v>1</v>
      </c>
      <c r="AZ876" s="24" t="str">
        <f t="shared" si="91"/>
        <v/>
      </c>
      <c r="BA876" s="24" t="str">
        <f t="shared" si="91"/>
        <v/>
      </c>
      <c r="BB876" s="24" t="str">
        <f t="shared" si="91"/>
        <v/>
      </c>
      <c r="BC876" s="24" t="str">
        <f t="shared" si="91"/>
        <v/>
      </c>
      <c r="BD876" s="24" t="str">
        <f t="shared" si="91"/>
        <v/>
      </c>
      <c r="BE876" s="24" t="str">
        <f t="shared" si="91"/>
        <v/>
      </c>
      <c r="BF876" s="24" t="str">
        <f t="shared" si="91"/>
        <v/>
      </c>
      <c r="BG876" s="24" t="str">
        <f t="shared" si="91"/>
        <v/>
      </c>
      <c r="BH876" s="24" t="str">
        <f t="shared" si="89"/>
        <v/>
      </c>
      <c r="BI876" s="24" t="str">
        <f t="shared" si="91"/>
        <v/>
      </c>
      <c r="BJ876" s="24" t="str">
        <f t="shared" si="90"/>
        <v/>
      </c>
    </row>
    <row r="877" spans="1:62" ht="15" customHeight="1" x14ac:dyDescent="0.25">
      <c r="A877" t="str">
        <f>"1598766065"</f>
        <v>1598766065</v>
      </c>
      <c r="B877" t="str">
        <f>"01227449"</f>
        <v>01227449</v>
      </c>
      <c r="C877" t="s">
        <v>1865</v>
      </c>
      <c r="D877" t="s">
        <v>1866</v>
      </c>
      <c r="E877" t="s">
        <v>1867</v>
      </c>
      <c r="G877" t="s">
        <v>6330</v>
      </c>
      <c r="H877" t="s">
        <v>6331</v>
      </c>
      <c r="J877" t="s">
        <v>6332</v>
      </c>
      <c r="L877" t="s">
        <v>120</v>
      </c>
      <c r="M877" t="s">
        <v>108</v>
      </c>
      <c r="R877" t="s">
        <v>1865</v>
      </c>
      <c r="W877" t="s">
        <v>1867</v>
      </c>
      <c r="Y877" t="s">
        <v>129</v>
      </c>
      <c r="Z877" t="s">
        <v>111</v>
      </c>
      <c r="AA877" t="str">
        <f>"13790-2597"</f>
        <v>13790-2597</v>
      </c>
      <c r="AB877" t="s">
        <v>123</v>
      </c>
      <c r="AC877" t="s">
        <v>113</v>
      </c>
      <c r="AD877" t="s">
        <v>108</v>
      </c>
      <c r="AE877" t="s">
        <v>114</v>
      </c>
      <c r="AF877" t="s">
        <v>115</v>
      </c>
      <c r="AG877" t="s">
        <v>116</v>
      </c>
      <c r="AK877" t="str">
        <f t="shared" si="88"/>
        <v/>
      </c>
      <c r="AL877" t="s">
        <v>1866</v>
      </c>
      <c r="AM877">
        <v>1</v>
      </c>
      <c r="AN877">
        <v>1</v>
      </c>
      <c r="AO877">
        <v>0</v>
      </c>
      <c r="AP877">
        <v>1</v>
      </c>
      <c r="AQ877">
        <v>1</v>
      </c>
      <c r="AR877">
        <v>0</v>
      </c>
      <c r="AS877">
        <v>0</v>
      </c>
      <c r="AT877">
        <v>0</v>
      </c>
      <c r="AU877">
        <v>1</v>
      </c>
      <c r="AV877">
        <v>0</v>
      </c>
      <c r="AW877">
        <v>0</v>
      </c>
      <c r="AX877" s="24">
        <f t="shared" si="92"/>
        <v>1</v>
      </c>
      <c r="AY877" s="24" t="str">
        <f t="shared" si="92"/>
        <v/>
      </c>
      <c r="AZ877" s="24" t="str">
        <f t="shared" si="91"/>
        <v/>
      </c>
      <c r="BA877" s="24" t="str">
        <f t="shared" si="91"/>
        <v/>
      </c>
      <c r="BB877" s="24" t="str">
        <f t="shared" si="91"/>
        <v/>
      </c>
      <c r="BC877" s="24" t="str">
        <f t="shared" si="91"/>
        <v/>
      </c>
      <c r="BD877" s="24" t="str">
        <f t="shared" si="91"/>
        <v/>
      </c>
      <c r="BE877" s="24" t="str">
        <f t="shared" si="91"/>
        <v/>
      </c>
      <c r="BF877" s="24" t="str">
        <f t="shared" si="91"/>
        <v/>
      </c>
      <c r="BG877" s="24" t="str">
        <f t="shared" si="91"/>
        <v/>
      </c>
      <c r="BH877" s="24" t="str">
        <f t="shared" si="89"/>
        <v/>
      </c>
      <c r="BI877" s="24">
        <f t="shared" si="91"/>
        <v>1</v>
      </c>
      <c r="BJ877" s="24" t="str">
        <f t="shared" si="90"/>
        <v/>
      </c>
    </row>
    <row r="878" spans="1:62" ht="15" customHeight="1" x14ac:dyDescent="0.25">
      <c r="A878" t="str">
        <f>"1396183133"</f>
        <v>1396183133</v>
      </c>
      <c r="B878" t="str">
        <f>"03859767"</f>
        <v>03859767</v>
      </c>
      <c r="C878" t="s">
        <v>6823</v>
      </c>
      <c r="D878" t="s">
        <v>7107</v>
      </c>
      <c r="E878" t="s">
        <v>6964</v>
      </c>
      <c r="G878" t="s">
        <v>815</v>
      </c>
      <c r="H878" t="s">
        <v>816</v>
      </c>
      <c r="J878" t="s">
        <v>817</v>
      </c>
      <c r="L878" t="s">
        <v>120</v>
      </c>
      <c r="M878" t="s">
        <v>108</v>
      </c>
      <c r="R878" t="s">
        <v>6823</v>
      </c>
      <c r="W878" t="s">
        <v>6964</v>
      </c>
      <c r="X878" t="s">
        <v>6155</v>
      </c>
      <c r="Y878" t="s">
        <v>110</v>
      </c>
      <c r="Z878" t="s">
        <v>111</v>
      </c>
      <c r="AA878" t="str">
        <f>"13905-4197"</f>
        <v>13905-4197</v>
      </c>
      <c r="AB878" t="s">
        <v>123</v>
      </c>
      <c r="AC878" t="s">
        <v>113</v>
      </c>
      <c r="AD878" t="s">
        <v>108</v>
      </c>
      <c r="AE878" t="s">
        <v>114</v>
      </c>
      <c r="AF878" t="s">
        <v>115</v>
      </c>
      <c r="AG878" t="s">
        <v>116</v>
      </c>
      <c r="AK878" t="str">
        <f t="shared" si="88"/>
        <v>MATHEW PHILIP DR.</v>
      </c>
      <c r="AL878" t="s">
        <v>7107</v>
      </c>
      <c r="AM878" t="s">
        <v>108</v>
      </c>
      <c r="AN878" t="s">
        <v>108</v>
      </c>
      <c r="AO878" t="s">
        <v>108</v>
      </c>
      <c r="AP878" t="s">
        <v>108</v>
      </c>
      <c r="AQ878" t="s">
        <v>108</v>
      </c>
      <c r="AR878" t="s">
        <v>108</v>
      </c>
      <c r="AS878" t="s">
        <v>108</v>
      </c>
      <c r="AT878" t="s">
        <v>108</v>
      </c>
      <c r="AU878">
        <v>1</v>
      </c>
      <c r="AV878" t="s">
        <v>108</v>
      </c>
      <c r="AW878" t="s">
        <v>108</v>
      </c>
      <c r="AX878" s="24">
        <f t="shared" si="92"/>
        <v>1</v>
      </c>
      <c r="AY878" s="24" t="str">
        <f t="shared" si="92"/>
        <v/>
      </c>
      <c r="AZ878" s="24" t="str">
        <f t="shared" si="91"/>
        <v/>
      </c>
      <c r="BA878" s="24" t="str">
        <f t="shared" si="91"/>
        <v/>
      </c>
      <c r="BB878" s="24" t="str">
        <f t="shared" si="91"/>
        <v/>
      </c>
      <c r="BC878" s="24" t="str">
        <f t="shared" si="91"/>
        <v/>
      </c>
      <c r="BD878" s="24" t="str">
        <f t="shared" si="91"/>
        <v/>
      </c>
      <c r="BE878" s="24" t="str">
        <f t="shared" si="91"/>
        <v/>
      </c>
      <c r="BF878" s="24" t="str">
        <f t="shared" si="91"/>
        <v/>
      </c>
      <c r="BG878" s="24" t="str">
        <f t="shared" si="91"/>
        <v/>
      </c>
      <c r="BH878" s="24" t="str">
        <f t="shared" si="89"/>
        <v/>
      </c>
      <c r="BI878" s="24">
        <f t="shared" si="91"/>
        <v>1</v>
      </c>
      <c r="BJ878" s="24" t="str">
        <f t="shared" si="90"/>
        <v/>
      </c>
    </row>
    <row r="879" spans="1:62" ht="15" customHeight="1" x14ac:dyDescent="0.25">
      <c r="A879" t="str">
        <f>"1730157686"</f>
        <v>1730157686</v>
      </c>
      <c r="B879" t="str">
        <f>"00365233"</f>
        <v>00365233</v>
      </c>
      <c r="C879" t="s">
        <v>2651</v>
      </c>
      <c r="D879" t="s">
        <v>2652</v>
      </c>
      <c r="E879" t="s">
        <v>2653</v>
      </c>
      <c r="L879" t="s">
        <v>247</v>
      </c>
      <c r="M879" t="s">
        <v>108</v>
      </c>
      <c r="R879" t="s">
        <v>2651</v>
      </c>
      <c r="W879" t="s">
        <v>2653</v>
      </c>
      <c r="X879" t="s">
        <v>889</v>
      </c>
      <c r="Y879" t="s">
        <v>129</v>
      </c>
      <c r="Z879" t="s">
        <v>111</v>
      </c>
      <c r="AA879" t="str">
        <f>"13790-2162"</f>
        <v>13790-2162</v>
      </c>
      <c r="AB879" t="s">
        <v>123</v>
      </c>
      <c r="AC879" t="s">
        <v>113</v>
      </c>
      <c r="AD879" t="s">
        <v>108</v>
      </c>
      <c r="AE879" t="s">
        <v>114</v>
      </c>
      <c r="AF879" t="s">
        <v>115</v>
      </c>
      <c r="AG879" t="s">
        <v>116</v>
      </c>
      <c r="AK879" t="str">
        <f t="shared" si="88"/>
        <v/>
      </c>
      <c r="AL879" t="s">
        <v>2652</v>
      </c>
      <c r="AM879">
        <v>1</v>
      </c>
      <c r="AN879">
        <v>1</v>
      </c>
      <c r="AO879">
        <v>0</v>
      </c>
      <c r="AP879">
        <v>1</v>
      </c>
      <c r="AQ879">
        <v>1</v>
      </c>
      <c r="AR879">
        <v>0</v>
      </c>
      <c r="AS879">
        <v>0</v>
      </c>
      <c r="AT879">
        <v>0</v>
      </c>
      <c r="AU879">
        <v>0</v>
      </c>
      <c r="AV879">
        <v>0</v>
      </c>
      <c r="AW879">
        <v>0</v>
      </c>
      <c r="AX879" s="24" t="str">
        <f t="shared" si="92"/>
        <v/>
      </c>
      <c r="AY879" s="24">
        <f t="shared" si="92"/>
        <v>1</v>
      </c>
      <c r="AZ879" s="24" t="str">
        <f t="shared" si="91"/>
        <v/>
      </c>
      <c r="BA879" s="24" t="str">
        <f t="shared" si="91"/>
        <v/>
      </c>
      <c r="BB879" s="24" t="str">
        <f t="shared" si="91"/>
        <v/>
      </c>
      <c r="BC879" s="24" t="str">
        <f t="shared" si="91"/>
        <v/>
      </c>
      <c r="BD879" s="24" t="str">
        <f t="shared" si="91"/>
        <v/>
      </c>
      <c r="BE879" s="24" t="str">
        <f t="shared" si="91"/>
        <v/>
      </c>
      <c r="BF879" s="24" t="str">
        <f t="shared" si="91"/>
        <v/>
      </c>
      <c r="BG879" s="24" t="str">
        <f t="shared" si="91"/>
        <v/>
      </c>
      <c r="BH879" s="24" t="str">
        <f t="shared" si="89"/>
        <v/>
      </c>
      <c r="BI879" s="24" t="str">
        <f t="shared" si="91"/>
        <v/>
      </c>
      <c r="BJ879" s="24" t="str">
        <f t="shared" si="90"/>
        <v/>
      </c>
    </row>
    <row r="880" spans="1:62" ht="15" customHeight="1" x14ac:dyDescent="0.25">
      <c r="A880" t="str">
        <f>"1851648471"</f>
        <v>1851648471</v>
      </c>
      <c r="B880" t="str">
        <f>"04155877"</f>
        <v>04155877</v>
      </c>
      <c r="C880" t="s">
        <v>6564</v>
      </c>
      <c r="D880" t="s">
        <v>6565</v>
      </c>
      <c r="E880" t="s">
        <v>6566</v>
      </c>
      <c r="G880" t="s">
        <v>4447</v>
      </c>
      <c r="H880" t="s">
        <v>4448</v>
      </c>
      <c r="J880" t="s">
        <v>5726</v>
      </c>
      <c r="L880" t="s">
        <v>6867</v>
      </c>
      <c r="M880" t="s">
        <v>108</v>
      </c>
      <c r="R880" t="s">
        <v>6567</v>
      </c>
      <c r="W880" t="s">
        <v>6568</v>
      </c>
      <c r="X880" t="s">
        <v>1017</v>
      </c>
      <c r="Y880" t="s">
        <v>122</v>
      </c>
      <c r="Z880" t="s">
        <v>111</v>
      </c>
      <c r="AA880" t="str">
        <f>"13815-1019"</f>
        <v>13815-1019</v>
      </c>
      <c r="AB880" t="s">
        <v>123</v>
      </c>
      <c r="AC880" t="s">
        <v>113</v>
      </c>
      <c r="AD880" t="s">
        <v>108</v>
      </c>
      <c r="AE880" t="s">
        <v>114</v>
      </c>
      <c r="AF880" t="s">
        <v>124</v>
      </c>
      <c r="AG880" t="s">
        <v>116</v>
      </c>
      <c r="AK880" t="str">
        <f t="shared" si="88"/>
        <v>Matta Yesu</v>
      </c>
      <c r="AL880" t="s">
        <v>6565</v>
      </c>
      <c r="AM880" t="s">
        <v>108</v>
      </c>
      <c r="AN880" t="s">
        <v>108</v>
      </c>
      <c r="AO880" t="s">
        <v>108</v>
      </c>
      <c r="AP880" t="s">
        <v>108</v>
      </c>
      <c r="AQ880" t="s">
        <v>108</v>
      </c>
      <c r="AR880" t="s">
        <v>108</v>
      </c>
      <c r="AS880" t="s">
        <v>108</v>
      </c>
      <c r="AT880" t="s">
        <v>108</v>
      </c>
      <c r="AU880">
        <v>0</v>
      </c>
      <c r="AV880" t="s">
        <v>108</v>
      </c>
      <c r="AW880" t="s">
        <v>108</v>
      </c>
      <c r="AX880" s="24">
        <f t="shared" si="92"/>
        <v>1</v>
      </c>
      <c r="AY880" s="24">
        <f t="shared" si="92"/>
        <v>1</v>
      </c>
      <c r="AZ880" s="24" t="str">
        <f t="shared" si="91"/>
        <v/>
      </c>
      <c r="BA880" s="24" t="str">
        <f t="shared" si="91"/>
        <v/>
      </c>
      <c r="BB880" s="24" t="str">
        <f t="shared" si="91"/>
        <v/>
      </c>
      <c r="BC880" s="24" t="str">
        <f t="shared" si="91"/>
        <v/>
      </c>
      <c r="BD880" s="24" t="str">
        <f t="shared" si="91"/>
        <v/>
      </c>
      <c r="BE880" s="24" t="str">
        <f t="shared" si="91"/>
        <v/>
      </c>
      <c r="BF880" s="24" t="str">
        <f t="shared" ref="AZ880:BI906" si="93">IF(ISERROR(FIND(BF$1,$L880,1)),"",1)</f>
        <v/>
      </c>
      <c r="BG880" s="24" t="str">
        <f t="shared" si="93"/>
        <v/>
      </c>
      <c r="BH880" s="24" t="str">
        <f t="shared" si="89"/>
        <v/>
      </c>
      <c r="BI880" s="24">
        <f t="shared" si="93"/>
        <v>1</v>
      </c>
      <c r="BJ880" s="24" t="str">
        <f t="shared" si="90"/>
        <v/>
      </c>
    </row>
    <row r="881" spans="1:62" ht="15" customHeight="1" x14ac:dyDescent="0.25">
      <c r="A881" t="str">
        <f>"1437129483"</f>
        <v>1437129483</v>
      </c>
      <c r="B881" t="str">
        <f>"01775433"</f>
        <v>01775433</v>
      </c>
      <c r="C881" t="s">
        <v>3101</v>
      </c>
      <c r="D881" t="s">
        <v>3102</v>
      </c>
      <c r="E881" t="s">
        <v>3103</v>
      </c>
      <c r="G881" t="s">
        <v>3096</v>
      </c>
      <c r="H881" t="s">
        <v>3097</v>
      </c>
      <c r="J881" t="s">
        <v>3104</v>
      </c>
      <c r="L881" t="s">
        <v>138</v>
      </c>
      <c r="M881" t="s">
        <v>108</v>
      </c>
      <c r="R881" t="s">
        <v>3105</v>
      </c>
      <c r="W881" t="s">
        <v>3103</v>
      </c>
      <c r="X881" t="s">
        <v>3106</v>
      </c>
      <c r="Y881" t="s">
        <v>3107</v>
      </c>
      <c r="Z881" t="s">
        <v>111</v>
      </c>
      <c r="AA881" t="str">
        <f>"13088-3807"</f>
        <v>13088-3807</v>
      </c>
      <c r="AB881" t="s">
        <v>123</v>
      </c>
      <c r="AC881" t="s">
        <v>113</v>
      </c>
      <c r="AD881" t="s">
        <v>108</v>
      </c>
      <c r="AE881" t="s">
        <v>114</v>
      </c>
      <c r="AF881" t="s">
        <v>142</v>
      </c>
      <c r="AG881" t="s">
        <v>116</v>
      </c>
      <c r="AK881" t="str">
        <f t="shared" si="88"/>
        <v/>
      </c>
      <c r="AL881" t="s">
        <v>3102</v>
      </c>
      <c r="AM881">
        <v>1</v>
      </c>
      <c r="AN881">
        <v>1</v>
      </c>
      <c r="AO881">
        <v>0</v>
      </c>
      <c r="AP881">
        <v>0</v>
      </c>
      <c r="AQ881">
        <v>0</v>
      </c>
      <c r="AR881">
        <v>0</v>
      </c>
      <c r="AS881">
        <v>0</v>
      </c>
      <c r="AT881">
        <v>0</v>
      </c>
      <c r="AU881">
        <v>0</v>
      </c>
      <c r="AV881">
        <v>0</v>
      </c>
      <c r="AW881">
        <v>0</v>
      </c>
      <c r="AX881" s="24" t="str">
        <f t="shared" si="92"/>
        <v/>
      </c>
      <c r="AY881" s="24">
        <f t="shared" si="92"/>
        <v>1</v>
      </c>
      <c r="AZ881" s="24" t="str">
        <f t="shared" si="93"/>
        <v/>
      </c>
      <c r="BA881" s="24" t="str">
        <f t="shared" si="93"/>
        <v/>
      </c>
      <c r="BB881" s="24" t="str">
        <f t="shared" si="93"/>
        <v/>
      </c>
      <c r="BC881" s="24" t="str">
        <f t="shared" si="93"/>
        <v/>
      </c>
      <c r="BD881" s="24" t="str">
        <f t="shared" si="93"/>
        <v/>
      </c>
      <c r="BE881" s="24" t="str">
        <f t="shared" si="93"/>
        <v/>
      </c>
      <c r="BF881" s="24" t="str">
        <f t="shared" si="93"/>
        <v/>
      </c>
      <c r="BG881" s="24" t="str">
        <f t="shared" si="93"/>
        <v/>
      </c>
      <c r="BH881" s="24" t="str">
        <f t="shared" si="89"/>
        <v/>
      </c>
      <c r="BI881" s="24">
        <f t="shared" si="93"/>
        <v>1</v>
      </c>
      <c r="BJ881" s="24" t="str">
        <f t="shared" si="90"/>
        <v/>
      </c>
    </row>
    <row r="882" spans="1:62" ht="15" customHeight="1" x14ac:dyDescent="0.25">
      <c r="A882" t="str">
        <f>"1720059298"</f>
        <v>1720059298</v>
      </c>
      <c r="B882" t="str">
        <f>"01200595"</f>
        <v>01200595</v>
      </c>
      <c r="C882" t="s">
        <v>5028</v>
      </c>
      <c r="D882" t="s">
        <v>5029</v>
      </c>
      <c r="E882" t="s">
        <v>5030</v>
      </c>
      <c r="G882" t="s">
        <v>699</v>
      </c>
      <c r="H882" t="s">
        <v>700</v>
      </c>
      <c r="J882" t="s">
        <v>701</v>
      </c>
      <c r="L882" t="s">
        <v>120</v>
      </c>
      <c r="M882" t="s">
        <v>108</v>
      </c>
      <c r="R882" t="s">
        <v>5031</v>
      </c>
      <c r="W882" t="s">
        <v>5032</v>
      </c>
      <c r="X882" t="s">
        <v>5033</v>
      </c>
      <c r="Y882" t="s">
        <v>927</v>
      </c>
      <c r="Z882" t="s">
        <v>111</v>
      </c>
      <c r="AA882" t="str">
        <f>"14905-1627"</f>
        <v>14905-1627</v>
      </c>
      <c r="AB882" t="s">
        <v>123</v>
      </c>
      <c r="AC882" t="s">
        <v>113</v>
      </c>
      <c r="AD882" t="s">
        <v>108</v>
      </c>
      <c r="AE882" t="s">
        <v>114</v>
      </c>
      <c r="AF882" t="s">
        <v>149</v>
      </c>
      <c r="AG882" t="s">
        <v>116</v>
      </c>
      <c r="AK882" t="str">
        <f t="shared" si="88"/>
        <v/>
      </c>
      <c r="AL882" t="s">
        <v>5029</v>
      </c>
      <c r="AM882">
        <v>1</v>
      </c>
      <c r="AN882">
        <v>1</v>
      </c>
      <c r="AO882">
        <v>0</v>
      </c>
      <c r="AP882">
        <v>0</v>
      </c>
      <c r="AQ882">
        <v>0</v>
      </c>
      <c r="AR882">
        <v>0</v>
      </c>
      <c r="AS882">
        <v>0</v>
      </c>
      <c r="AT882">
        <v>1</v>
      </c>
      <c r="AU882">
        <v>1</v>
      </c>
      <c r="AV882">
        <v>1</v>
      </c>
      <c r="AW882">
        <v>0</v>
      </c>
      <c r="AX882" s="24">
        <f t="shared" si="92"/>
        <v>1</v>
      </c>
      <c r="AY882" s="24" t="str">
        <f t="shared" si="92"/>
        <v/>
      </c>
      <c r="AZ882" s="24" t="str">
        <f t="shared" si="93"/>
        <v/>
      </c>
      <c r="BA882" s="24" t="str">
        <f t="shared" si="93"/>
        <v/>
      </c>
      <c r="BB882" s="24" t="str">
        <f t="shared" si="93"/>
        <v/>
      </c>
      <c r="BC882" s="24" t="str">
        <f t="shared" si="93"/>
        <v/>
      </c>
      <c r="BD882" s="24" t="str">
        <f t="shared" si="93"/>
        <v/>
      </c>
      <c r="BE882" s="24" t="str">
        <f t="shared" si="93"/>
        <v/>
      </c>
      <c r="BF882" s="24" t="str">
        <f t="shared" si="93"/>
        <v/>
      </c>
      <c r="BG882" s="24" t="str">
        <f t="shared" si="93"/>
        <v/>
      </c>
      <c r="BH882" s="24" t="str">
        <f t="shared" si="89"/>
        <v/>
      </c>
      <c r="BI882" s="24">
        <f t="shared" si="93"/>
        <v>1</v>
      </c>
      <c r="BJ882" s="24" t="str">
        <f t="shared" si="90"/>
        <v/>
      </c>
    </row>
    <row r="883" spans="1:62" ht="15" customHeight="1" x14ac:dyDescent="0.25">
      <c r="A883" t="str">
        <f>"1023059334"</f>
        <v>1023059334</v>
      </c>
      <c r="B883" t="str">
        <f>"01896139"</f>
        <v>01896139</v>
      </c>
      <c r="C883" t="s">
        <v>3730</v>
      </c>
      <c r="D883" t="s">
        <v>3731</v>
      </c>
      <c r="E883" t="s">
        <v>3732</v>
      </c>
      <c r="G883" t="s">
        <v>2363</v>
      </c>
      <c r="H883" t="s">
        <v>2364</v>
      </c>
      <c r="J883" t="s">
        <v>3733</v>
      </c>
      <c r="L883" t="s">
        <v>120</v>
      </c>
      <c r="M883" t="s">
        <v>108</v>
      </c>
      <c r="R883" t="s">
        <v>3734</v>
      </c>
      <c r="W883" t="s">
        <v>3732</v>
      </c>
      <c r="X883" t="s">
        <v>3735</v>
      </c>
      <c r="Y883" t="s">
        <v>3736</v>
      </c>
      <c r="Z883" t="s">
        <v>111</v>
      </c>
      <c r="AA883" t="str">
        <f>"14425-9534"</f>
        <v>14425-9534</v>
      </c>
      <c r="AB883" t="s">
        <v>123</v>
      </c>
      <c r="AC883" t="s">
        <v>113</v>
      </c>
      <c r="AD883" t="s">
        <v>108</v>
      </c>
      <c r="AE883" t="s">
        <v>114</v>
      </c>
      <c r="AF883" t="s">
        <v>142</v>
      </c>
      <c r="AG883" t="s">
        <v>116</v>
      </c>
      <c r="AK883" t="str">
        <f t="shared" si="88"/>
        <v/>
      </c>
      <c r="AL883" t="s">
        <v>3731</v>
      </c>
      <c r="AM883">
        <v>1</v>
      </c>
      <c r="AN883">
        <v>1</v>
      </c>
      <c r="AO883">
        <v>0</v>
      </c>
      <c r="AP883">
        <v>0</v>
      </c>
      <c r="AQ883">
        <v>0</v>
      </c>
      <c r="AR883">
        <v>0</v>
      </c>
      <c r="AS883">
        <v>0</v>
      </c>
      <c r="AT883">
        <v>0</v>
      </c>
      <c r="AU883">
        <v>0</v>
      </c>
      <c r="AV883">
        <v>0</v>
      </c>
      <c r="AW883">
        <v>0</v>
      </c>
      <c r="AX883" s="24">
        <f t="shared" si="92"/>
        <v>1</v>
      </c>
      <c r="AY883" s="24" t="str">
        <f t="shared" si="92"/>
        <v/>
      </c>
      <c r="AZ883" s="24" t="str">
        <f t="shared" si="93"/>
        <v/>
      </c>
      <c r="BA883" s="24" t="str">
        <f t="shared" si="93"/>
        <v/>
      </c>
      <c r="BB883" s="24" t="str">
        <f t="shared" si="93"/>
        <v/>
      </c>
      <c r="BC883" s="24" t="str">
        <f t="shared" si="93"/>
        <v/>
      </c>
      <c r="BD883" s="24" t="str">
        <f t="shared" si="93"/>
        <v/>
      </c>
      <c r="BE883" s="24" t="str">
        <f t="shared" si="93"/>
        <v/>
      </c>
      <c r="BF883" s="24" t="str">
        <f t="shared" si="93"/>
        <v/>
      </c>
      <c r="BG883" s="24" t="str">
        <f t="shared" si="93"/>
        <v/>
      </c>
      <c r="BH883" s="24" t="str">
        <f t="shared" si="89"/>
        <v/>
      </c>
      <c r="BI883" s="24">
        <f t="shared" si="93"/>
        <v>1</v>
      </c>
      <c r="BJ883" s="24" t="str">
        <f t="shared" si="90"/>
        <v/>
      </c>
    </row>
    <row r="884" spans="1:62" ht="15" customHeight="1" x14ac:dyDescent="0.25">
      <c r="A884" t="str">
        <f>"1356586580"</f>
        <v>1356586580</v>
      </c>
      <c r="B884" t="str">
        <f>"03751562"</f>
        <v>03751562</v>
      </c>
      <c r="C884" t="s">
        <v>1548</v>
      </c>
      <c r="D884" t="s">
        <v>1549</v>
      </c>
      <c r="E884" t="s">
        <v>1550</v>
      </c>
      <c r="G884" t="s">
        <v>1548</v>
      </c>
      <c r="H884" t="s">
        <v>440</v>
      </c>
      <c r="J884" t="s">
        <v>1551</v>
      </c>
      <c r="L884" t="s">
        <v>247</v>
      </c>
      <c r="M884" t="s">
        <v>108</v>
      </c>
      <c r="R884" t="s">
        <v>1552</v>
      </c>
      <c r="W884" t="s">
        <v>1550</v>
      </c>
      <c r="X884" t="s">
        <v>406</v>
      </c>
      <c r="Y884" t="s">
        <v>129</v>
      </c>
      <c r="Z884" t="s">
        <v>111</v>
      </c>
      <c r="AA884" t="str">
        <f>"13790-2107"</f>
        <v>13790-2107</v>
      </c>
      <c r="AB884" t="s">
        <v>123</v>
      </c>
      <c r="AC884" t="s">
        <v>113</v>
      </c>
      <c r="AD884" t="s">
        <v>108</v>
      </c>
      <c r="AE884" t="s">
        <v>114</v>
      </c>
      <c r="AF884" t="s">
        <v>115</v>
      </c>
      <c r="AG884" t="s">
        <v>116</v>
      </c>
      <c r="AK884" t="str">
        <f t="shared" si="88"/>
        <v/>
      </c>
      <c r="AL884" t="s">
        <v>1549</v>
      </c>
      <c r="AM884">
        <v>1</v>
      </c>
      <c r="AN884">
        <v>1</v>
      </c>
      <c r="AO884">
        <v>0</v>
      </c>
      <c r="AP884">
        <v>1</v>
      </c>
      <c r="AQ884">
        <v>1</v>
      </c>
      <c r="AR884">
        <v>0</v>
      </c>
      <c r="AS884">
        <v>0</v>
      </c>
      <c r="AT884">
        <v>0</v>
      </c>
      <c r="AU884">
        <v>0</v>
      </c>
      <c r="AV884">
        <v>0</v>
      </c>
      <c r="AW884">
        <v>0</v>
      </c>
      <c r="AX884" s="24" t="str">
        <f t="shared" si="92"/>
        <v/>
      </c>
      <c r="AY884" s="24">
        <f t="shared" si="92"/>
        <v>1</v>
      </c>
      <c r="AZ884" s="24" t="str">
        <f t="shared" si="93"/>
        <v/>
      </c>
      <c r="BA884" s="24" t="str">
        <f t="shared" si="93"/>
        <v/>
      </c>
      <c r="BB884" s="24" t="str">
        <f t="shared" si="93"/>
        <v/>
      </c>
      <c r="BC884" s="24" t="str">
        <f t="shared" si="93"/>
        <v/>
      </c>
      <c r="BD884" s="24" t="str">
        <f t="shared" si="93"/>
        <v/>
      </c>
      <c r="BE884" s="24" t="str">
        <f t="shared" si="93"/>
        <v/>
      </c>
      <c r="BF884" s="24" t="str">
        <f t="shared" si="93"/>
        <v/>
      </c>
      <c r="BG884" s="24" t="str">
        <f t="shared" si="93"/>
        <v/>
      </c>
      <c r="BH884" s="24" t="str">
        <f t="shared" si="89"/>
        <v/>
      </c>
      <c r="BI884" s="24" t="str">
        <f t="shared" si="93"/>
        <v/>
      </c>
      <c r="BJ884" s="24" t="str">
        <f t="shared" si="90"/>
        <v/>
      </c>
    </row>
    <row r="885" spans="1:62" ht="15" customHeight="1" x14ac:dyDescent="0.25">
      <c r="A885" t="str">
        <f>"1851387104"</f>
        <v>1851387104</v>
      </c>
      <c r="B885" t="str">
        <f>"01411027"</f>
        <v>01411027</v>
      </c>
      <c r="C885" t="s">
        <v>3808</v>
      </c>
      <c r="D885" t="s">
        <v>3809</v>
      </c>
      <c r="E885" t="s">
        <v>3810</v>
      </c>
      <c r="G885" t="s">
        <v>3808</v>
      </c>
      <c r="H885" t="s">
        <v>403</v>
      </c>
      <c r="J885" t="s">
        <v>3811</v>
      </c>
      <c r="L885" t="s">
        <v>138</v>
      </c>
      <c r="M885" t="s">
        <v>108</v>
      </c>
      <c r="R885" t="s">
        <v>3812</v>
      </c>
      <c r="W885" t="s">
        <v>3810</v>
      </c>
      <c r="X885" t="s">
        <v>3813</v>
      </c>
      <c r="Y885" t="s">
        <v>110</v>
      </c>
      <c r="Z885" t="s">
        <v>111</v>
      </c>
      <c r="AA885" t="str">
        <f>"13903"</f>
        <v>13903</v>
      </c>
      <c r="AB885" t="s">
        <v>123</v>
      </c>
      <c r="AC885" t="s">
        <v>113</v>
      </c>
      <c r="AD885" t="s">
        <v>108</v>
      </c>
      <c r="AE885" t="s">
        <v>114</v>
      </c>
      <c r="AF885" t="s">
        <v>115</v>
      </c>
      <c r="AG885" t="s">
        <v>116</v>
      </c>
      <c r="AK885" t="str">
        <f t="shared" si="88"/>
        <v/>
      </c>
      <c r="AL885" t="s">
        <v>3809</v>
      </c>
      <c r="AM885">
        <v>0</v>
      </c>
      <c r="AN885">
        <v>0</v>
      </c>
      <c r="AO885">
        <v>0</v>
      </c>
      <c r="AP885">
        <v>0</v>
      </c>
      <c r="AQ885">
        <v>0</v>
      </c>
      <c r="AR885">
        <v>0</v>
      </c>
      <c r="AS885">
        <v>0</v>
      </c>
      <c r="AT885">
        <v>0</v>
      </c>
      <c r="AU885">
        <v>0</v>
      </c>
      <c r="AV885">
        <v>0</v>
      </c>
      <c r="AW885">
        <v>0</v>
      </c>
      <c r="AX885" s="24" t="str">
        <f t="shared" si="92"/>
        <v/>
      </c>
      <c r="AY885" s="24">
        <f t="shared" si="92"/>
        <v>1</v>
      </c>
      <c r="AZ885" s="24" t="str">
        <f t="shared" si="93"/>
        <v/>
      </c>
      <c r="BA885" s="24" t="str">
        <f t="shared" si="93"/>
        <v/>
      </c>
      <c r="BB885" s="24" t="str">
        <f t="shared" si="93"/>
        <v/>
      </c>
      <c r="BC885" s="24" t="str">
        <f t="shared" si="93"/>
        <v/>
      </c>
      <c r="BD885" s="24" t="str">
        <f t="shared" si="93"/>
        <v/>
      </c>
      <c r="BE885" s="24" t="str">
        <f t="shared" si="93"/>
        <v/>
      </c>
      <c r="BF885" s="24" t="str">
        <f t="shared" si="93"/>
        <v/>
      </c>
      <c r="BG885" s="24" t="str">
        <f t="shared" si="93"/>
        <v/>
      </c>
      <c r="BH885" s="24" t="str">
        <f t="shared" si="89"/>
        <v/>
      </c>
      <c r="BI885" s="24">
        <f t="shared" si="93"/>
        <v>1</v>
      </c>
      <c r="BJ885" s="24" t="str">
        <f t="shared" si="90"/>
        <v/>
      </c>
    </row>
    <row r="886" spans="1:62" ht="15" customHeight="1" x14ac:dyDescent="0.25">
      <c r="A886" t="str">
        <f>"1093140956"</f>
        <v>1093140956</v>
      </c>
      <c r="B886" t="str">
        <f>"03686784"</f>
        <v>03686784</v>
      </c>
      <c r="C886" t="s">
        <v>3334</v>
      </c>
      <c r="D886" t="s">
        <v>3335</v>
      </c>
      <c r="E886" t="s">
        <v>3336</v>
      </c>
      <c r="G886" t="s">
        <v>786</v>
      </c>
      <c r="H886" t="s">
        <v>787</v>
      </c>
      <c r="J886" t="s">
        <v>788</v>
      </c>
      <c r="L886" t="s">
        <v>442</v>
      </c>
      <c r="M886" t="s">
        <v>139</v>
      </c>
      <c r="R886" t="s">
        <v>3337</v>
      </c>
      <c r="W886" t="s">
        <v>3336</v>
      </c>
      <c r="X886" t="s">
        <v>3338</v>
      </c>
      <c r="Y886" t="s">
        <v>239</v>
      </c>
      <c r="Z886" t="s">
        <v>111</v>
      </c>
      <c r="AA886" t="str">
        <f>"13045-1842"</f>
        <v>13045-1842</v>
      </c>
      <c r="AB886" t="s">
        <v>123</v>
      </c>
      <c r="AC886" t="s">
        <v>113</v>
      </c>
      <c r="AD886" t="s">
        <v>108</v>
      </c>
      <c r="AE886" t="s">
        <v>114</v>
      </c>
      <c r="AF886" t="s">
        <v>142</v>
      </c>
      <c r="AG886" t="s">
        <v>116</v>
      </c>
      <c r="AK886" t="str">
        <f t="shared" si="88"/>
        <v/>
      </c>
      <c r="AL886" t="s">
        <v>3335</v>
      </c>
      <c r="AM886">
        <v>0</v>
      </c>
      <c r="AN886">
        <v>0</v>
      </c>
      <c r="AO886">
        <v>0</v>
      </c>
      <c r="AP886">
        <v>0</v>
      </c>
      <c r="AQ886">
        <v>0</v>
      </c>
      <c r="AR886">
        <v>0</v>
      </c>
      <c r="AS886">
        <v>0</v>
      </c>
      <c r="AT886">
        <v>0</v>
      </c>
      <c r="AU886">
        <v>0</v>
      </c>
      <c r="AV886">
        <v>0</v>
      </c>
      <c r="AW886">
        <v>0</v>
      </c>
      <c r="AX886" s="24">
        <f t="shared" si="92"/>
        <v>1</v>
      </c>
      <c r="AY886" s="24" t="str">
        <f t="shared" si="92"/>
        <v/>
      </c>
      <c r="AZ886" s="24" t="str">
        <f t="shared" si="93"/>
        <v/>
      </c>
      <c r="BA886" s="24" t="str">
        <f t="shared" si="93"/>
        <v/>
      </c>
      <c r="BB886" s="24" t="str">
        <f t="shared" si="93"/>
        <v/>
      </c>
      <c r="BC886" s="24" t="str">
        <f t="shared" si="93"/>
        <v/>
      </c>
      <c r="BD886" s="24" t="str">
        <f t="shared" si="93"/>
        <v/>
      </c>
      <c r="BE886" s="24" t="str">
        <f t="shared" si="93"/>
        <v/>
      </c>
      <c r="BF886" s="24" t="str">
        <f t="shared" si="93"/>
        <v/>
      </c>
      <c r="BG886" s="24" t="str">
        <f t="shared" si="93"/>
        <v/>
      </c>
      <c r="BH886" s="24" t="str">
        <f t="shared" si="89"/>
        <v/>
      </c>
      <c r="BI886" s="24" t="str">
        <f t="shared" si="93"/>
        <v/>
      </c>
      <c r="BJ886" s="24" t="str">
        <f t="shared" si="90"/>
        <v/>
      </c>
    </row>
    <row r="887" spans="1:62" ht="15" customHeight="1" x14ac:dyDescent="0.25">
      <c r="A887" t="str">
        <f>"1447317805"</f>
        <v>1447317805</v>
      </c>
      <c r="B887" t="str">
        <f>"01162270"</f>
        <v>01162270</v>
      </c>
      <c r="C887" t="s">
        <v>5182</v>
      </c>
      <c r="D887" t="s">
        <v>5183</v>
      </c>
      <c r="E887" t="s">
        <v>5184</v>
      </c>
      <c r="L887" t="s">
        <v>809</v>
      </c>
      <c r="M887" t="s">
        <v>108</v>
      </c>
      <c r="R887" t="s">
        <v>5182</v>
      </c>
      <c r="W887" t="s">
        <v>5185</v>
      </c>
      <c r="X887" t="s">
        <v>1009</v>
      </c>
      <c r="Y887" t="s">
        <v>110</v>
      </c>
      <c r="Z887" t="s">
        <v>111</v>
      </c>
      <c r="AA887" t="str">
        <f>"13903-1617"</f>
        <v>13903-1617</v>
      </c>
      <c r="AB887" t="s">
        <v>2197</v>
      </c>
      <c r="AC887" t="s">
        <v>113</v>
      </c>
      <c r="AD887" t="s">
        <v>108</v>
      </c>
      <c r="AE887" t="s">
        <v>114</v>
      </c>
      <c r="AF887" t="s">
        <v>115</v>
      </c>
      <c r="AG887" t="s">
        <v>116</v>
      </c>
      <c r="AK887" t="str">
        <f t="shared" si="88"/>
        <v/>
      </c>
      <c r="AL887" t="s">
        <v>5183</v>
      </c>
      <c r="AM887">
        <v>0</v>
      </c>
      <c r="AN887">
        <v>0</v>
      </c>
      <c r="AO887">
        <v>0</v>
      </c>
      <c r="AP887">
        <v>0</v>
      </c>
      <c r="AQ887">
        <v>0</v>
      </c>
      <c r="AR887">
        <v>0</v>
      </c>
      <c r="AS887">
        <v>0</v>
      </c>
      <c r="AT887">
        <v>0</v>
      </c>
      <c r="AU887">
        <v>0</v>
      </c>
      <c r="AV887">
        <v>0</v>
      </c>
      <c r="AW887">
        <v>0</v>
      </c>
      <c r="AX887" s="24" t="str">
        <f t="shared" si="92"/>
        <v/>
      </c>
      <c r="AY887" s="24">
        <f t="shared" si="92"/>
        <v>1</v>
      </c>
      <c r="AZ887" s="24" t="str">
        <f t="shared" si="93"/>
        <v/>
      </c>
      <c r="BA887" s="24" t="str">
        <f t="shared" si="93"/>
        <v/>
      </c>
      <c r="BB887" s="24" t="str">
        <f t="shared" si="93"/>
        <v/>
      </c>
      <c r="BC887" s="24">
        <f t="shared" si="93"/>
        <v>1</v>
      </c>
      <c r="BD887" s="24" t="str">
        <f t="shared" si="93"/>
        <v/>
      </c>
      <c r="BE887" s="24" t="str">
        <f t="shared" si="93"/>
        <v/>
      </c>
      <c r="BF887" s="24" t="str">
        <f t="shared" si="93"/>
        <v/>
      </c>
      <c r="BG887" s="24" t="str">
        <f t="shared" si="93"/>
        <v/>
      </c>
      <c r="BH887" s="24" t="str">
        <f t="shared" si="89"/>
        <v/>
      </c>
      <c r="BI887" s="24" t="str">
        <f t="shared" si="93"/>
        <v/>
      </c>
      <c r="BJ887" s="24" t="str">
        <f t="shared" si="90"/>
        <v/>
      </c>
    </row>
    <row r="888" spans="1:62" ht="15" customHeight="1" x14ac:dyDescent="0.25">
      <c r="A888" t="str">
        <f>"1780722850"</f>
        <v>1780722850</v>
      </c>
      <c r="B888" t="str">
        <f>"02649232"</f>
        <v>02649232</v>
      </c>
      <c r="C888" t="s">
        <v>2695</v>
      </c>
      <c r="D888" t="s">
        <v>2696</v>
      </c>
      <c r="E888" t="s">
        <v>2697</v>
      </c>
      <c r="L888" t="s">
        <v>247</v>
      </c>
      <c r="M888" t="s">
        <v>108</v>
      </c>
      <c r="R888" t="s">
        <v>2695</v>
      </c>
      <c r="W888" t="s">
        <v>2697</v>
      </c>
      <c r="X888" t="s">
        <v>2698</v>
      </c>
      <c r="Y888" t="s">
        <v>110</v>
      </c>
      <c r="Z888" t="s">
        <v>111</v>
      </c>
      <c r="AA888" t="str">
        <f>"13901-2312"</f>
        <v>13901-2312</v>
      </c>
      <c r="AB888" t="s">
        <v>1872</v>
      </c>
      <c r="AC888" t="s">
        <v>113</v>
      </c>
      <c r="AD888" t="s">
        <v>108</v>
      </c>
      <c r="AE888" t="s">
        <v>114</v>
      </c>
      <c r="AF888" t="s">
        <v>115</v>
      </c>
      <c r="AG888" t="s">
        <v>116</v>
      </c>
      <c r="AK888" t="str">
        <f t="shared" si="88"/>
        <v/>
      </c>
      <c r="AL888" t="s">
        <v>2696</v>
      </c>
      <c r="AM888">
        <v>1</v>
      </c>
      <c r="AN888">
        <v>1</v>
      </c>
      <c r="AO888">
        <v>0</v>
      </c>
      <c r="AP888">
        <v>1</v>
      </c>
      <c r="AQ888">
        <v>1</v>
      </c>
      <c r="AR888">
        <v>0</v>
      </c>
      <c r="AS888">
        <v>0</v>
      </c>
      <c r="AT888">
        <v>0</v>
      </c>
      <c r="AU888">
        <v>0</v>
      </c>
      <c r="AV888">
        <v>0</v>
      </c>
      <c r="AW888">
        <v>0</v>
      </c>
      <c r="AX888" s="24" t="str">
        <f t="shared" si="92"/>
        <v/>
      </c>
      <c r="AY888" s="24">
        <f t="shared" si="92"/>
        <v>1</v>
      </c>
      <c r="AZ888" s="24" t="str">
        <f t="shared" si="93"/>
        <v/>
      </c>
      <c r="BA888" s="24" t="str">
        <f t="shared" si="93"/>
        <v/>
      </c>
      <c r="BB888" s="24" t="str">
        <f t="shared" si="93"/>
        <v/>
      </c>
      <c r="BC888" s="24" t="str">
        <f t="shared" si="93"/>
        <v/>
      </c>
      <c r="BD888" s="24" t="str">
        <f t="shared" si="93"/>
        <v/>
      </c>
      <c r="BE888" s="24" t="str">
        <f t="shared" si="93"/>
        <v/>
      </c>
      <c r="BF888" s="24" t="str">
        <f t="shared" si="93"/>
        <v/>
      </c>
      <c r="BG888" s="24" t="str">
        <f t="shared" si="93"/>
        <v/>
      </c>
      <c r="BH888" s="24" t="str">
        <f t="shared" si="89"/>
        <v/>
      </c>
      <c r="BI888" s="24" t="str">
        <f t="shared" si="93"/>
        <v/>
      </c>
      <c r="BJ888" s="24" t="str">
        <f t="shared" si="90"/>
        <v/>
      </c>
    </row>
    <row r="889" spans="1:62" ht="15" customHeight="1" x14ac:dyDescent="0.25">
      <c r="A889" t="str">
        <f>"1568433043"</f>
        <v>1568433043</v>
      </c>
      <c r="B889" t="str">
        <f>"02577897"</f>
        <v>02577897</v>
      </c>
      <c r="C889" t="s">
        <v>5034</v>
      </c>
      <c r="D889" t="s">
        <v>5035</v>
      </c>
      <c r="E889" t="s">
        <v>5034</v>
      </c>
      <c r="G889" t="s">
        <v>699</v>
      </c>
      <c r="H889" t="s">
        <v>700</v>
      </c>
      <c r="J889" t="s">
        <v>701</v>
      </c>
      <c r="L889" t="s">
        <v>120</v>
      </c>
      <c r="M889" t="s">
        <v>108</v>
      </c>
      <c r="R889" t="s">
        <v>5036</v>
      </c>
      <c r="W889" t="s">
        <v>5037</v>
      </c>
      <c r="X889" t="s">
        <v>740</v>
      </c>
      <c r="Y889" t="s">
        <v>181</v>
      </c>
      <c r="Z889" t="s">
        <v>182</v>
      </c>
      <c r="AA889" t="str">
        <f>"18840"</f>
        <v>18840</v>
      </c>
      <c r="AB889" t="s">
        <v>123</v>
      </c>
      <c r="AC889" t="s">
        <v>113</v>
      </c>
      <c r="AD889" t="s">
        <v>108</v>
      </c>
      <c r="AE889" t="s">
        <v>114</v>
      </c>
      <c r="AF889" t="s">
        <v>115</v>
      </c>
      <c r="AG889" t="s">
        <v>116</v>
      </c>
      <c r="AK889" t="str">
        <f t="shared" si="88"/>
        <v/>
      </c>
      <c r="AL889" t="s">
        <v>5035</v>
      </c>
      <c r="AM889">
        <v>1</v>
      </c>
      <c r="AN889">
        <v>1</v>
      </c>
      <c r="AO889">
        <v>0</v>
      </c>
      <c r="AP889">
        <v>0</v>
      </c>
      <c r="AQ889">
        <v>0</v>
      </c>
      <c r="AR889">
        <v>0</v>
      </c>
      <c r="AS889">
        <v>0</v>
      </c>
      <c r="AT889">
        <v>1</v>
      </c>
      <c r="AU889">
        <v>1</v>
      </c>
      <c r="AV889">
        <v>1</v>
      </c>
      <c r="AW889">
        <v>0</v>
      </c>
      <c r="AX889" s="24">
        <f t="shared" si="92"/>
        <v>1</v>
      </c>
      <c r="AY889" s="24" t="str">
        <f t="shared" si="92"/>
        <v/>
      </c>
      <c r="AZ889" s="24" t="str">
        <f t="shared" si="93"/>
        <v/>
      </c>
      <c r="BA889" s="24" t="str">
        <f t="shared" si="93"/>
        <v/>
      </c>
      <c r="BB889" s="24" t="str">
        <f t="shared" si="93"/>
        <v/>
      </c>
      <c r="BC889" s="24" t="str">
        <f t="shared" si="93"/>
        <v/>
      </c>
      <c r="BD889" s="24" t="str">
        <f t="shared" si="93"/>
        <v/>
      </c>
      <c r="BE889" s="24" t="str">
        <f t="shared" si="93"/>
        <v/>
      </c>
      <c r="BF889" s="24" t="str">
        <f t="shared" si="93"/>
        <v/>
      </c>
      <c r="BG889" s="24" t="str">
        <f t="shared" si="93"/>
        <v/>
      </c>
      <c r="BH889" s="24" t="str">
        <f t="shared" si="89"/>
        <v/>
      </c>
      <c r="BI889" s="24">
        <f t="shared" si="93"/>
        <v>1</v>
      </c>
      <c r="BJ889" s="24" t="str">
        <f t="shared" si="90"/>
        <v/>
      </c>
    </row>
    <row r="890" spans="1:62" ht="15" customHeight="1" x14ac:dyDescent="0.25">
      <c r="A890" t="str">
        <f>"1285605766"</f>
        <v>1285605766</v>
      </c>
      <c r="B890" t="str">
        <f>"00365224"</f>
        <v>00365224</v>
      </c>
      <c r="C890" t="s">
        <v>5038</v>
      </c>
      <c r="D890" t="s">
        <v>5039</v>
      </c>
      <c r="E890" t="s">
        <v>5038</v>
      </c>
      <c r="G890" t="s">
        <v>699</v>
      </c>
      <c r="H890" t="s">
        <v>700</v>
      </c>
      <c r="J890" t="s">
        <v>701</v>
      </c>
      <c r="L890" t="s">
        <v>120</v>
      </c>
      <c r="M890" t="s">
        <v>108</v>
      </c>
      <c r="R890" t="s">
        <v>5040</v>
      </c>
      <c r="W890" t="s">
        <v>5041</v>
      </c>
      <c r="X890" t="s">
        <v>5042</v>
      </c>
      <c r="Y890" t="s">
        <v>2892</v>
      </c>
      <c r="Z890" t="s">
        <v>182</v>
      </c>
      <c r="AA890" t="str">
        <f>"16947-1134"</f>
        <v>16947-1134</v>
      </c>
      <c r="AB890" t="s">
        <v>123</v>
      </c>
      <c r="AC890" t="s">
        <v>113</v>
      </c>
      <c r="AD890" t="s">
        <v>108</v>
      </c>
      <c r="AE890" t="s">
        <v>114</v>
      </c>
      <c r="AF890" t="s">
        <v>115</v>
      </c>
      <c r="AG890" t="s">
        <v>116</v>
      </c>
      <c r="AK890" t="str">
        <f t="shared" si="88"/>
        <v/>
      </c>
      <c r="AL890" t="s">
        <v>5039</v>
      </c>
      <c r="AM890">
        <v>1</v>
      </c>
      <c r="AN890">
        <v>1</v>
      </c>
      <c r="AO890">
        <v>0</v>
      </c>
      <c r="AP890">
        <v>0</v>
      </c>
      <c r="AQ890">
        <v>0</v>
      </c>
      <c r="AR890">
        <v>0</v>
      </c>
      <c r="AS890">
        <v>0</v>
      </c>
      <c r="AT890">
        <v>1</v>
      </c>
      <c r="AU890">
        <v>1</v>
      </c>
      <c r="AV890">
        <v>1</v>
      </c>
      <c r="AW890">
        <v>0</v>
      </c>
      <c r="AX890" s="24">
        <f t="shared" si="92"/>
        <v>1</v>
      </c>
      <c r="AY890" s="24" t="str">
        <f t="shared" si="92"/>
        <v/>
      </c>
      <c r="AZ890" s="24" t="str">
        <f t="shared" si="93"/>
        <v/>
      </c>
      <c r="BA890" s="24" t="str">
        <f t="shared" si="93"/>
        <v/>
      </c>
      <c r="BB890" s="24" t="str">
        <f t="shared" si="93"/>
        <v/>
      </c>
      <c r="BC890" s="24" t="str">
        <f t="shared" si="93"/>
        <v/>
      </c>
      <c r="BD890" s="24" t="str">
        <f t="shared" si="93"/>
        <v/>
      </c>
      <c r="BE890" s="24" t="str">
        <f t="shared" si="93"/>
        <v/>
      </c>
      <c r="BF890" s="24" t="str">
        <f t="shared" si="93"/>
        <v/>
      </c>
      <c r="BG890" s="24" t="str">
        <f t="shared" si="93"/>
        <v/>
      </c>
      <c r="BH890" s="24" t="str">
        <f t="shared" si="89"/>
        <v/>
      </c>
      <c r="BI890" s="24">
        <f t="shared" si="93"/>
        <v>1</v>
      </c>
      <c r="BJ890" s="24" t="str">
        <f t="shared" si="90"/>
        <v/>
      </c>
    </row>
    <row r="891" spans="1:62" ht="15" customHeight="1" x14ac:dyDescent="0.25">
      <c r="A891" t="str">
        <f>"1275504615"</f>
        <v>1275504615</v>
      </c>
      <c r="B891" t="str">
        <f>"01170983"</f>
        <v>01170983</v>
      </c>
      <c r="C891" t="s">
        <v>2253</v>
      </c>
      <c r="D891" t="s">
        <v>2254</v>
      </c>
      <c r="E891" t="s">
        <v>2255</v>
      </c>
      <c r="G891" t="s">
        <v>177</v>
      </c>
      <c r="H891" t="s">
        <v>178</v>
      </c>
      <c r="J891" t="s">
        <v>179</v>
      </c>
      <c r="L891" t="s">
        <v>138</v>
      </c>
      <c r="M891" t="s">
        <v>108</v>
      </c>
      <c r="R891" t="s">
        <v>2253</v>
      </c>
      <c r="W891" t="s">
        <v>2256</v>
      </c>
      <c r="X891" t="s">
        <v>2257</v>
      </c>
      <c r="Y891" t="s">
        <v>2258</v>
      </c>
      <c r="Z891" t="s">
        <v>111</v>
      </c>
      <c r="AA891" t="str">
        <f>"12110"</f>
        <v>12110</v>
      </c>
      <c r="AB891" t="s">
        <v>123</v>
      </c>
      <c r="AC891" t="s">
        <v>113</v>
      </c>
      <c r="AD891" t="s">
        <v>108</v>
      </c>
      <c r="AE891" t="s">
        <v>114</v>
      </c>
      <c r="AF891" t="s">
        <v>149</v>
      </c>
      <c r="AG891" t="s">
        <v>116</v>
      </c>
      <c r="AK891" t="str">
        <f t="shared" si="88"/>
        <v/>
      </c>
      <c r="AL891" t="s">
        <v>2254</v>
      </c>
      <c r="AM891">
        <v>1</v>
      </c>
      <c r="AN891">
        <v>1</v>
      </c>
      <c r="AO891">
        <v>0</v>
      </c>
      <c r="AP891">
        <v>0</v>
      </c>
      <c r="AQ891">
        <v>0</v>
      </c>
      <c r="AR891">
        <v>0</v>
      </c>
      <c r="AS891">
        <v>0</v>
      </c>
      <c r="AT891">
        <v>0</v>
      </c>
      <c r="AU891">
        <v>0</v>
      </c>
      <c r="AV891">
        <v>1</v>
      </c>
      <c r="AW891">
        <v>0</v>
      </c>
      <c r="AX891" s="24" t="str">
        <f t="shared" si="92"/>
        <v/>
      </c>
      <c r="AY891" s="24">
        <f t="shared" si="92"/>
        <v>1</v>
      </c>
      <c r="AZ891" s="24" t="str">
        <f t="shared" si="93"/>
        <v/>
      </c>
      <c r="BA891" s="24" t="str">
        <f t="shared" si="93"/>
        <v/>
      </c>
      <c r="BB891" s="24" t="str">
        <f t="shared" si="93"/>
        <v/>
      </c>
      <c r="BC891" s="24" t="str">
        <f t="shared" si="93"/>
        <v/>
      </c>
      <c r="BD891" s="24" t="str">
        <f t="shared" si="93"/>
        <v/>
      </c>
      <c r="BE891" s="24" t="str">
        <f t="shared" si="93"/>
        <v/>
      </c>
      <c r="BF891" s="24" t="str">
        <f t="shared" si="93"/>
        <v/>
      </c>
      <c r="BG891" s="24" t="str">
        <f t="shared" si="93"/>
        <v/>
      </c>
      <c r="BH891" s="24" t="str">
        <f t="shared" si="89"/>
        <v/>
      </c>
      <c r="BI891" s="24">
        <f t="shared" si="93"/>
        <v>1</v>
      </c>
      <c r="BJ891" s="24" t="str">
        <f t="shared" si="90"/>
        <v/>
      </c>
    </row>
    <row r="892" spans="1:62" ht="15" customHeight="1" x14ac:dyDescent="0.25">
      <c r="A892" t="str">
        <f>"1609848696"</f>
        <v>1609848696</v>
      </c>
      <c r="B892" t="str">
        <f>"01131704"</f>
        <v>01131704</v>
      </c>
      <c r="C892" t="s">
        <v>518</v>
      </c>
      <c r="D892" t="s">
        <v>519</v>
      </c>
      <c r="E892" t="s">
        <v>520</v>
      </c>
      <c r="G892" t="s">
        <v>177</v>
      </c>
      <c r="H892" t="s">
        <v>178</v>
      </c>
      <c r="J892" t="s">
        <v>179</v>
      </c>
      <c r="L892" t="s">
        <v>138</v>
      </c>
      <c r="M892" t="s">
        <v>108</v>
      </c>
      <c r="R892" t="s">
        <v>518</v>
      </c>
      <c r="W892" t="s">
        <v>521</v>
      </c>
      <c r="X892" t="s">
        <v>186</v>
      </c>
      <c r="Y892" t="s">
        <v>181</v>
      </c>
      <c r="Z892" t="s">
        <v>182</v>
      </c>
      <c r="AA892" t="str">
        <f>"18840"</f>
        <v>18840</v>
      </c>
      <c r="AB892" t="s">
        <v>123</v>
      </c>
      <c r="AC892" t="s">
        <v>113</v>
      </c>
      <c r="AD892" t="s">
        <v>108</v>
      </c>
      <c r="AE892" t="s">
        <v>114</v>
      </c>
      <c r="AF892" t="s">
        <v>115</v>
      </c>
      <c r="AG892" t="s">
        <v>116</v>
      </c>
      <c r="AK892" t="str">
        <f t="shared" si="88"/>
        <v/>
      </c>
      <c r="AL892" t="s">
        <v>519</v>
      </c>
      <c r="AM892">
        <v>1</v>
      </c>
      <c r="AN892">
        <v>1</v>
      </c>
      <c r="AO892">
        <v>0</v>
      </c>
      <c r="AP892">
        <v>0</v>
      </c>
      <c r="AQ892">
        <v>0</v>
      </c>
      <c r="AR892">
        <v>0</v>
      </c>
      <c r="AS892">
        <v>0</v>
      </c>
      <c r="AT892">
        <v>0</v>
      </c>
      <c r="AU892">
        <v>0</v>
      </c>
      <c r="AV892">
        <v>1</v>
      </c>
      <c r="AW892">
        <v>0</v>
      </c>
      <c r="AX892" s="24" t="str">
        <f t="shared" si="92"/>
        <v/>
      </c>
      <c r="AY892" s="24">
        <f t="shared" si="92"/>
        <v>1</v>
      </c>
      <c r="AZ892" s="24" t="str">
        <f t="shared" si="93"/>
        <v/>
      </c>
      <c r="BA892" s="24" t="str">
        <f t="shared" si="93"/>
        <v/>
      </c>
      <c r="BB892" s="24" t="str">
        <f t="shared" si="93"/>
        <v/>
      </c>
      <c r="BC892" s="24" t="str">
        <f t="shared" si="93"/>
        <v/>
      </c>
      <c r="BD892" s="24" t="str">
        <f t="shared" si="93"/>
        <v/>
      </c>
      <c r="BE892" s="24" t="str">
        <f t="shared" si="93"/>
        <v/>
      </c>
      <c r="BF892" s="24" t="str">
        <f t="shared" si="93"/>
        <v/>
      </c>
      <c r="BG892" s="24" t="str">
        <f t="shared" si="93"/>
        <v/>
      </c>
      <c r="BH892" s="24" t="str">
        <f t="shared" si="89"/>
        <v/>
      </c>
      <c r="BI892" s="24">
        <f t="shared" si="93"/>
        <v>1</v>
      </c>
      <c r="BJ892" s="24" t="str">
        <f t="shared" si="90"/>
        <v/>
      </c>
    </row>
    <row r="893" spans="1:62" ht="15" customHeight="1" x14ac:dyDescent="0.25">
      <c r="A893" t="str">
        <f>"1740332410"</f>
        <v>1740332410</v>
      </c>
      <c r="B893" t="str">
        <f>"02935220"</f>
        <v>02935220</v>
      </c>
      <c r="C893" t="s">
        <v>2663</v>
      </c>
      <c r="D893" t="s">
        <v>2664</v>
      </c>
      <c r="E893" t="s">
        <v>2665</v>
      </c>
      <c r="L893" t="s">
        <v>68</v>
      </c>
      <c r="M893" t="s">
        <v>108</v>
      </c>
      <c r="R893" t="s">
        <v>2663</v>
      </c>
      <c r="W893" t="s">
        <v>2665</v>
      </c>
      <c r="X893" t="s">
        <v>121</v>
      </c>
      <c r="Y893" t="s">
        <v>122</v>
      </c>
      <c r="Z893" t="s">
        <v>111</v>
      </c>
      <c r="AA893" t="str">
        <f>"13815-1019"</f>
        <v>13815-1019</v>
      </c>
      <c r="AB893" t="s">
        <v>123</v>
      </c>
      <c r="AC893" t="s">
        <v>113</v>
      </c>
      <c r="AD893" t="s">
        <v>108</v>
      </c>
      <c r="AE893" t="s">
        <v>114</v>
      </c>
      <c r="AF893" t="s">
        <v>124</v>
      </c>
      <c r="AG893" t="s">
        <v>116</v>
      </c>
      <c r="AK893" t="str">
        <f t="shared" si="88"/>
        <v/>
      </c>
      <c r="AL893" t="s">
        <v>2664</v>
      </c>
      <c r="AM893">
        <v>0</v>
      </c>
      <c r="AN893">
        <v>0</v>
      </c>
      <c r="AO893">
        <v>0</v>
      </c>
      <c r="AP893">
        <v>0</v>
      </c>
      <c r="AQ893">
        <v>0</v>
      </c>
      <c r="AR893">
        <v>0</v>
      </c>
      <c r="AS893">
        <v>0</v>
      </c>
      <c r="AT893">
        <v>0</v>
      </c>
      <c r="AU893">
        <v>0</v>
      </c>
      <c r="AV893">
        <v>0</v>
      </c>
      <c r="AW893">
        <v>0</v>
      </c>
      <c r="AX893" s="24" t="str">
        <f t="shared" si="92"/>
        <v/>
      </c>
      <c r="AY893" s="24" t="str">
        <f t="shared" si="92"/>
        <v/>
      </c>
      <c r="AZ893" s="24" t="str">
        <f t="shared" si="93"/>
        <v/>
      </c>
      <c r="BA893" s="24" t="str">
        <f t="shared" si="93"/>
        <v/>
      </c>
      <c r="BB893" s="24" t="str">
        <f t="shared" si="93"/>
        <v/>
      </c>
      <c r="BC893" s="24" t="str">
        <f t="shared" si="93"/>
        <v/>
      </c>
      <c r="BD893" s="24" t="str">
        <f t="shared" si="93"/>
        <v/>
      </c>
      <c r="BE893" s="24" t="str">
        <f t="shared" si="93"/>
        <v/>
      </c>
      <c r="BF893" s="24" t="str">
        <f t="shared" si="93"/>
        <v/>
      </c>
      <c r="BG893" s="24" t="str">
        <f t="shared" si="93"/>
        <v/>
      </c>
      <c r="BH893" s="24" t="str">
        <f t="shared" si="89"/>
        <v/>
      </c>
      <c r="BI893" s="24">
        <f t="shared" si="93"/>
        <v>1</v>
      </c>
      <c r="BJ893" s="24" t="str">
        <f t="shared" si="90"/>
        <v/>
      </c>
    </row>
    <row r="894" spans="1:62" ht="15" customHeight="1" x14ac:dyDescent="0.25">
      <c r="A894" t="str">
        <f>"1669469789"</f>
        <v>1669469789</v>
      </c>
      <c r="B894" t="str">
        <f>"03369082"</f>
        <v>03369082</v>
      </c>
      <c r="C894" t="s">
        <v>2312</v>
      </c>
      <c r="D894" t="s">
        <v>2313</v>
      </c>
      <c r="E894" t="s">
        <v>2314</v>
      </c>
      <c r="G894" t="s">
        <v>177</v>
      </c>
      <c r="H894" t="s">
        <v>178</v>
      </c>
      <c r="J894" t="s">
        <v>179</v>
      </c>
      <c r="L894" t="s">
        <v>247</v>
      </c>
      <c r="M894" t="s">
        <v>108</v>
      </c>
      <c r="R894" t="s">
        <v>2312</v>
      </c>
      <c r="W894" t="s">
        <v>2314</v>
      </c>
      <c r="X894" t="s">
        <v>196</v>
      </c>
      <c r="Y894" t="s">
        <v>181</v>
      </c>
      <c r="Z894" t="s">
        <v>182</v>
      </c>
      <c r="AA894" t="str">
        <f>"18840-1625"</f>
        <v>18840-1625</v>
      </c>
      <c r="AB894" t="s">
        <v>123</v>
      </c>
      <c r="AC894" t="s">
        <v>113</v>
      </c>
      <c r="AD894" t="s">
        <v>108</v>
      </c>
      <c r="AE894" t="s">
        <v>114</v>
      </c>
      <c r="AF894" t="s">
        <v>115</v>
      </c>
      <c r="AG894" t="s">
        <v>116</v>
      </c>
      <c r="AK894" t="str">
        <f t="shared" si="88"/>
        <v/>
      </c>
      <c r="AL894" t="s">
        <v>2313</v>
      </c>
      <c r="AM894">
        <v>1</v>
      </c>
      <c r="AN894">
        <v>1</v>
      </c>
      <c r="AO894">
        <v>0</v>
      </c>
      <c r="AP894">
        <v>0</v>
      </c>
      <c r="AQ894">
        <v>0</v>
      </c>
      <c r="AR894">
        <v>0</v>
      </c>
      <c r="AS894">
        <v>0</v>
      </c>
      <c r="AT894">
        <v>0</v>
      </c>
      <c r="AU894">
        <v>0</v>
      </c>
      <c r="AV894">
        <v>1</v>
      </c>
      <c r="AW894">
        <v>0</v>
      </c>
      <c r="AX894" s="24" t="str">
        <f t="shared" si="92"/>
        <v/>
      </c>
      <c r="AY894" s="24">
        <f t="shared" si="92"/>
        <v>1</v>
      </c>
      <c r="AZ894" s="24" t="str">
        <f t="shared" si="93"/>
        <v/>
      </c>
      <c r="BA894" s="24" t="str">
        <f t="shared" si="93"/>
        <v/>
      </c>
      <c r="BB894" s="24" t="str">
        <f t="shared" si="93"/>
        <v/>
      </c>
      <c r="BC894" s="24" t="str">
        <f t="shared" si="93"/>
        <v/>
      </c>
      <c r="BD894" s="24" t="str">
        <f t="shared" si="93"/>
        <v/>
      </c>
      <c r="BE894" s="24" t="str">
        <f t="shared" si="93"/>
        <v/>
      </c>
      <c r="BF894" s="24" t="str">
        <f t="shared" si="93"/>
        <v/>
      </c>
      <c r="BG894" s="24" t="str">
        <f t="shared" si="93"/>
        <v/>
      </c>
      <c r="BH894" s="24" t="str">
        <f t="shared" si="89"/>
        <v/>
      </c>
      <c r="BI894" s="24" t="str">
        <f t="shared" si="93"/>
        <v/>
      </c>
      <c r="BJ894" s="24" t="str">
        <f t="shared" si="90"/>
        <v/>
      </c>
    </row>
    <row r="895" spans="1:62" ht="15" customHeight="1" x14ac:dyDescent="0.25">
      <c r="A895" t="str">
        <f>"1255353439"</f>
        <v>1255353439</v>
      </c>
      <c r="B895" t="str">
        <f>"01857092"</f>
        <v>01857092</v>
      </c>
      <c r="C895" t="s">
        <v>1326</v>
      </c>
      <c r="D895" t="s">
        <v>1327</v>
      </c>
      <c r="E895" t="s">
        <v>1328</v>
      </c>
      <c r="G895" t="s">
        <v>1300</v>
      </c>
      <c r="H895" t="s">
        <v>1301</v>
      </c>
      <c r="L895" t="s">
        <v>247</v>
      </c>
      <c r="M895" t="s">
        <v>108</v>
      </c>
      <c r="R895" t="s">
        <v>1326</v>
      </c>
      <c r="W895" t="s">
        <v>1328</v>
      </c>
      <c r="X895" t="s">
        <v>1329</v>
      </c>
      <c r="Y895" t="s">
        <v>649</v>
      </c>
      <c r="Z895" t="s">
        <v>111</v>
      </c>
      <c r="AA895" t="str">
        <f>"13346-9575"</f>
        <v>13346-9575</v>
      </c>
      <c r="AB895" t="s">
        <v>123</v>
      </c>
      <c r="AC895" t="s">
        <v>113</v>
      </c>
      <c r="AD895" t="s">
        <v>108</v>
      </c>
      <c r="AE895" t="s">
        <v>114</v>
      </c>
      <c r="AF895" t="s">
        <v>124</v>
      </c>
      <c r="AG895" t="s">
        <v>116</v>
      </c>
      <c r="AK895" t="str">
        <f t="shared" si="88"/>
        <v/>
      </c>
      <c r="AL895" t="s">
        <v>1327</v>
      </c>
      <c r="AM895">
        <v>0</v>
      </c>
      <c r="AN895">
        <v>0</v>
      </c>
      <c r="AO895">
        <v>0</v>
      </c>
      <c r="AP895">
        <v>0</v>
      </c>
      <c r="AQ895">
        <v>0</v>
      </c>
      <c r="AR895">
        <v>0</v>
      </c>
      <c r="AS895">
        <v>0</v>
      </c>
      <c r="AT895">
        <v>0</v>
      </c>
      <c r="AU895">
        <v>0</v>
      </c>
      <c r="AV895">
        <v>0</v>
      </c>
      <c r="AW895">
        <v>0</v>
      </c>
      <c r="AX895" s="24" t="str">
        <f t="shared" si="92"/>
        <v/>
      </c>
      <c r="AY895" s="24">
        <f t="shared" si="92"/>
        <v>1</v>
      </c>
      <c r="AZ895" s="24" t="str">
        <f t="shared" si="93"/>
        <v/>
      </c>
      <c r="BA895" s="24" t="str">
        <f t="shared" si="93"/>
        <v/>
      </c>
      <c r="BB895" s="24" t="str">
        <f t="shared" si="93"/>
        <v/>
      </c>
      <c r="BC895" s="24" t="str">
        <f t="shared" si="93"/>
        <v/>
      </c>
      <c r="BD895" s="24" t="str">
        <f t="shared" si="93"/>
        <v/>
      </c>
      <c r="BE895" s="24" t="str">
        <f t="shared" si="93"/>
        <v/>
      </c>
      <c r="BF895" s="24" t="str">
        <f t="shared" si="93"/>
        <v/>
      </c>
      <c r="BG895" s="24" t="str">
        <f t="shared" si="93"/>
        <v/>
      </c>
      <c r="BH895" s="24" t="str">
        <f t="shared" si="89"/>
        <v/>
      </c>
      <c r="BI895" s="24" t="str">
        <f t="shared" si="93"/>
        <v/>
      </c>
      <c r="BJ895" s="24" t="str">
        <f t="shared" si="90"/>
        <v/>
      </c>
    </row>
    <row r="896" spans="1:62" ht="15" customHeight="1" x14ac:dyDescent="0.25">
      <c r="A896" t="str">
        <f>"1407296262"</f>
        <v>1407296262</v>
      </c>
      <c r="B896" t="str">
        <f>"03621730"</f>
        <v>03621730</v>
      </c>
      <c r="C896" t="s">
        <v>6379</v>
      </c>
      <c r="D896" t="s">
        <v>6380</v>
      </c>
      <c r="E896" t="s">
        <v>6381</v>
      </c>
      <c r="G896" t="s">
        <v>6330</v>
      </c>
      <c r="H896" t="s">
        <v>6331</v>
      </c>
      <c r="J896" t="s">
        <v>6332</v>
      </c>
      <c r="L896" t="s">
        <v>120</v>
      </c>
      <c r="M896" t="s">
        <v>108</v>
      </c>
      <c r="R896" t="s">
        <v>6382</v>
      </c>
      <c r="W896" t="s">
        <v>6381</v>
      </c>
      <c r="X896" t="s">
        <v>6383</v>
      </c>
      <c r="Y896" t="s">
        <v>281</v>
      </c>
      <c r="Z896" t="s">
        <v>111</v>
      </c>
      <c r="AA896" t="str">
        <f>"13827-1578"</f>
        <v>13827-1578</v>
      </c>
      <c r="AB896" t="s">
        <v>123</v>
      </c>
      <c r="AC896" t="s">
        <v>113</v>
      </c>
      <c r="AD896" t="s">
        <v>108</v>
      </c>
      <c r="AE896" t="s">
        <v>114</v>
      </c>
      <c r="AF896" t="s">
        <v>115</v>
      </c>
      <c r="AG896" t="s">
        <v>116</v>
      </c>
      <c r="AK896" t="str">
        <f t="shared" si="88"/>
        <v>McHenry Kimberly</v>
      </c>
      <c r="AL896" t="s">
        <v>6380</v>
      </c>
      <c r="AM896" t="s">
        <v>108</v>
      </c>
      <c r="AN896" t="s">
        <v>108</v>
      </c>
      <c r="AO896" t="s">
        <v>108</v>
      </c>
      <c r="AP896" t="s">
        <v>108</v>
      </c>
      <c r="AQ896" t="s">
        <v>108</v>
      </c>
      <c r="AR896" t="s">
        <v>108</v>
      </c>
      <c r="AS896" t="s">
        <v>108</v>
      </c>
      <c r="AT896" t="s">
        <v>108</v>
      </c>
      <c r="AU896">
        <v>1</v>
      </c>
      <c r="AV896" t="s">
        <v>108</v>
      </c>
      <c r="AW896" t="s">
        <v>108</v>
      </c>
      <c r="AX896" s="24">
        <f t="shared" si="92"/>
        <v>1</v>
      </c>
      <c r="AY896" s="24" t="str">
        <f t="shared" si="92"/>
        <v/>
      </c>
      <c r="AZ896" s="24" t="str">
        <f t="shared" si="93"/>
        <v/>
      </c>
      <c r="BA896" s="24" t="str">
        <f t="shared" si="93"/>
        <v/>
      </c>
      <c r="BB896" s="24" t="str">
        <f t="shared" si="93"/>
        <v/>
      </c>
      <c r="BC896" s="24" t="str">
        <f t="shared" si="93"/>
        <v/>
      </c>
      <c r="BD896" s="24" t="str">
        <f t="shared" si="93"/>
        <v/>
      </c>
      <c r="BE896" s="24" t="str">
        <f t="shared" si="93"/>
        <v/>
      </c>
      <c r="BF896" s="24" t="str">
        <f t="shared" si="93"/>
        <v/>
      </c>
      <c r="BG896" s="24" t="str">
        <f t="shared" si="93"/>
        <v/>
      </c>
      <c r="BH896" s="24" t="str">
        <f t="shared" si="89"/>
        <v/>
      </c>
      <c r="BI896" s="24">
        <f t="shared" si="93"/>
        <v>1</v>
      </c>
      <c r="BJ896" s="24" t="str">
        <f t="shared" si="90"/>
        <v/>
      </c>
    </row>
    <row r="897" spans="1:62" ht="15" customHeight="1" x14ac:dyDescent="0.25">
      <c r="A897" t="str">
        <f>"1669760682"</f>
        <v>1669760682</v>
      </c>
      <c r="B897" t="str">
        <f>"03358129"</f>
        <v>03358129</v>
      </c>
      <c r="C897" t="s">
        <v>6496</v>
      </c>
      <c r="D897" t="s">
        <v>6497</v>
      </c>
      <c r="E897" t="s">
        <v>6498</v>
      </c>
      <c r="G897" t="s">
        <v>2363</v>
      </c>
      <c r="H897" t="s">
        <v>2364</v>
      </c>
      <c r="J897" t="s">
        <v>5847</v>
      </c>
      <c r="L897" t="s">
        <v>120</v>
      </c>
      <c r="M897" t="s">
        <v>108</v>
      </c>
      <c r="R897" t="s">
        <v>6499</v>
      </c>
      <c r="W897" t="s">
        <v>6498</v>
      </c>
      <c r="X897" t="s">
        <v>2367</v>
      </c>
      <c r="Y897" t="s">
        <v>2368</v>
      </c>
      <c r="Z897" t="s">
        <v>111</v>
      </c>
      <c r="AA897" t="str">
        <f>"14886-9201"</f>
        <v>14886-9201</v>
      </c>
      <c r="AB897" t="s">
        <v>123</v>
      </c>
      <c r="AC897" t="s">
        <v>113</v>
      </c>
      <c r="AD897" t="s">
        <v>108</v>
      </c>
      <c r="AE897" t="s">
        <v>114</v>
      </c>
      <c r="AF897" t="s">
        <v>142</v>
      </c>
      <c r="AG897" t="s">
        <v>116</v>
      </c>
      <c r="AK897" t="str">
        <f t="shared" si="88"/>
        <v>McKelvey Susan</v>
      </c>
      <c r="AL897" t="s">
        <v>6497</v>
      </c>
      <c r="AM897" t="s">
        <v>108</v>
      </c>
      <c r="AN897" t="s">
        <v>108</v>
      </c>
      <c r="AO897" t="s">
        <v>108</v>
      </c>
      <c r="AP897" t="s">
        <v>108</v>
      </c>
      <c r="AQ897" t="s">
        <v>108</v>
      </c>
      <c r="AR897" t="s">
        <v>108</v>
      </c>
      <c r="AS897" t="s">
        <v>108</v>
      </c>
      <c r="AT897" t="s">
        <v>108</v>
      </c>
      <c r="AU897">
        <v>0</v>
      </c>
      <c r="AV897" t="s">
        <v>108</v>
      </c>
      <c r="AW897" t="s">
        <v>108</v>
      </c>
      <c r="AX897" s="24">
        <f t="shared" si="92"/>
        <v>1</v>
      </c>
      <c r="AY897" s="24" t="str">
        <f t="shared" si="92"/>
        <v/>
      </c>
      <c r="AZ897" s="24" t="str">
        <f t="shared" si="93"/>
        <v/>
      </c>
      <c r="BA897" s="24" t="str">
        <f t="shared" si="93"/>
        <v/>
      </c>
      <c r="BB897" s="24" t="str">
        <f t="shared" si="93"/>
        <v/>
      </c>
      <c r="BC897" s="24" t="str">
        <f t="shared" si="93"/>
        <v/>
      </c>
      <c r="BD897" s="24" t="str">
        <f t="shared" si="93"/>
        <v/>
      </c>
      <c r="BE897" s="24" t="str">
        <f t="shared" si="93"/>
        <v/>
      </c>
      <c r="BF897" s="24" t="str">
        <f t="shared" si="93"/>
        <v/>
      </c>
      <c r="BG897" s="24" t="str">
        <f t="shared" si="93"/>
        <v/>
      </c>
      <c r="BH897" s="24" t="str">
        <f t="shared" si="89"/>
        <v/>
      </c>
      <c r="BI897" s="24">
        <f t="shared" si="93"/>
        <v>1</v>
      </c>
      <c r="BJ897" s="24" t="str">
        <f t="shared" si="90"/>
        <v/>
      </c>
    </row>
    <row r="898" spans="1:62" ht="15" customHeight="1" x14ac:dyDescent="0.25">
      <c r="A898" t="str">
        <f>"1124324504"</f>
        <v>1124324504</v>
      </c>
      <c r="B898" t="str">
        <f>"04038515"</f>
        <v>04038515</v>
      </c>
      <c r="C898" t="s">
        <v>6831</v>
      </c>
      <c r="D898" t="s">
        <v>7117</v>
      </c>
      <c r="E898" t="s">
        <v>7118</v>
      </c>
      <c r="G898" t="s">
        <v>815</v>
      </c>
      <c r="H898" t="s">
        <v>816</v>
      </c>
      <c r="J898" t="s">
        <v>817</v>
      </c>
      <c r="L898" t="s">
        <v>6867</v>
      </c>
      <c r="M898" t="s">
        <v>108</v>
      </c>
      <c r="R898" t="s">
        <v>6831</v>
      </c>
      <c r="W898" t="s">
        <v>6976</v>
      </c>
      <c r="X898" t="s">
        <v>5944</v>
      </c>
      <c r="Y898" t="s">
        <v>966</v>
      </c>
      <c r="Z898" t="s">
        <v>111</v>
      </c>
      <c r="AA898" t="str">
        <f>"13850-2003"</f>
        <v>13850-2003</v>
      </c>
      <c r="AB898" t="s">
        <v>123</v>
      </c>
      <c r="AC898" t="s">
        <v>113</v>
      </c>
      <c r="AD898" t="s">
        <v>108</v>
      </c>
      <c r="AE898" t="s">
        <v>114</v>
      </c>
      <c r="AF898" t="s">
        <v>115</v>
      </c>
      <c r="AG898" t="s">
        <v>116</v>
      </c>
      <c r="AK898" t="str">
        <f t="shared" ref="AK898:AK961" si="94">IF(AM898="No",C898,"")</f>
        <v>MCKINNEY CEDRIC DR.</v>
      </c>
      <c r="AL898" t="s">
        <v>7117</v>
      </c>
      <c r="AM898" t="s">
        <v>108</v>
      </c>
      <c r="AN898" t="s">
        <v>108</v>
      </c>
      <c r="AO898" t="s">
        <v>108</v>
      </c>
      <c r="AP898" t="s">
        <v>108</v>
      </c>
      <c r="AQ898" t="s">
        <v>108</v>
      </c>
      <c r="AR898" t="s">
        <v>108</v>
      </c>
      <c r="AS898" t="s">
        <v>108</v>
      </c>
      <c r="AT898" t="s">
        <v>108</v>
      </c>
      <c r="AU898">
        <v>0</v>
      </c>
      <c r="AV898" t="s">
        <v>108</v>
      </c>
      <c r="AW898" t="s">
        <v>108</v>
      </c>
      <c r="AX898" s="24">
        <f t="shared" si="92"/>
        <v>1</v>
      </c>
      <c r="AY898" s="24">
        <f t="shared" si="92"/>
        <v>1</v>
      </c>
      <c r="AZ898" s="24" t="str">
        <f t="shared" si="93"/>
        <v/>
      </c>
      <c r="BA898" s="24" t="str">
        <f t="shared" si="93"/>
        <v/>
      </c>
      <c r="BB898" s="24" t="str">
        <f t="shared" si="93"/>
        <v/>
      </c>
      <c r="BC898" s="24" t="str">
        <f t="shared" si="93"/>
        <v/>
      </c>
      <c r="BD898" s="24" t="str">
        <f t="shared" si="93"/>
        <v/>
      </c>
      <c r="BE898" s="24" t="str">
        <f t="shared" si="93"/>
        <v/>
      </c>
      <c r="BF898" s="24" t="str">
        <f t="shared" si="93"/>
        <v/>
      </c>
      <c r="BG898" s="24" t="str">
        <f t="shared" si="93"/>
        <v/>
      </c>
      <c r="BH898" s="24" t="str">
        <f t="shared" si="89"/>
        <v/>
      </c>
      <c r="BI898" s="24">
        <f t="shared" si="93"/>
        <v>1</v>
      </c>
      <c r="BJ898" s="24" t="str">
        <f t="shared" si="90"/>
        <v/>
      </c>
    </row>
    <row r="899" spans="1:62" ht="15" customHeight="1" x14ac:dyDescent="0.25">
      <c r="A899" t="str">
        <f>"1114165545"</f>
        <v>1114165545</v>
      </c>
      <c r="B899" t="str">
        <f>"03226184"</f>
        <v>03226184</v>
      </c>
      <c r="C899" t="s">
        <v>2915</v>
      </c>
      <c r="D899" t="s">
        <v>2916</v>
      </c>
      <c r="E899" t="s">
        <v>2917</v>
      </c>
      <c r="L899" t="s">
        <v>247</v>
      </c>
      <c r="M899" t="s">
        <v>108</v>
      </c>
      <c r="R899" t="s">
        <v>2915</v>
      </c>
      <c r="W899" t="s">
        <v>2917</v>
      </c>
      <c r="X899" t="s">
        <v>2918</v>
      </c>
      <c r="Y899" t="s">
        <v>966</v>
      </c>
      <c r="Z899" t="s">
        <v>111</v>
      </c>
      <c r="AA899" t="str">
        <f>"13850-1559"</f>
        <v>13850-1559</v>
      </c>
      <c r="AB899" t="s">
        <v>1000</v>
      </c>
      <c r="AC899" t="s">
        <v>113</v>
      </c>
      <c r="AD899" t="s">
        <v>108</v>
      </c>
      <c r="AE899" t="s">
        <v>114</v>
      </c>
      <c r="AF899" t="s">
        <v>115</v>
      </c>
      <c r="AG899" t="s">
        <v>116</v>
      </c>
      <c r="AK899" t="str">
        <f t="shared" si="94"/>
        <v/>
      </c>
      <c r="AL899" t="s">
        <v>2916</v>
      </c>
      <c r="AM899">
        <v>0</v>
      </c>
      <c r="AN899">
        <v>0</v>
      </c>
      <c r="AO899">
        <v>0</v>
      </c>
      <c r="AP899">
        <v>0</v>
      </c>
      <c r="AQ899">
        <v>0</v>
      </c>
      <c r="AR899">
        <v>0</v>
      </c>
      <c r="AS899">
        <v>0</v>
      </c>
      <c r="AT899">
        <v>0</v>
      </c>
      <c r="AU899">
        <v>0</v>
      </c>
      <c r="AV899">
        <v>0</v>
      </c>
      <c r="AW899">
        <v>0</v>
      </c>
      <c r="AX899" s="24" t="str">
        <f t="shared" si="92"/>
        <v/>
      </c>
      <c r="AY899" s="24">
        <f t="shared" si="92"/>
        <v>1</v>
      </c>
      <c r="AZ899" s="24" t="str">
        <f t="shared" si="93"/>
        <v/>
      </c>
      <c r="BA899" s="24" t="str">
        <f t="shared" si="93"/>
        <v/>
      </c>
      <c r="BB899" s="24" t="str">
        <f t="shared" si="93"/>
        <v/>
      </c>
      <c r="BC899" s="24" t="str">
        <f t="shared" si="93"/>
        <v/>
      </c>
      <c r="BD899" s="24" t="str">
        <f t="shared" si="93"/>
        <v/>
      </c>
      <c r="BE899" s="24" t="str">
        <f t="shared" si="93"/>
        <v/>
      </c>
      <c r="BF899" s="24" t="str">
        <f t="shared" si="93"/>
        <v/>
      </c>
      <c r="BG899" s="24" t="str">
        <f t="shared" si="93"/>
        <v/>
      </c>
      <c r="BH899" s="24" t="str">
        <f t="shared" ref="BH899:BH962" si="95">IF(ISERROR(FIND("CBO",$L899,1)),"",1)</f>
        <v/>
      </c>
      <c r="BI899" s="24" t="str">
        <f t="shared" si="93"/>
        <v/>
      </c>
      <c r="BJ899" s="24" t="str">
        <f t="shared" si="90"/>
        <v/>
      </c>
    </row>
    <row r="900" spans="1:62" ht="15" customHeight="1" x14ac:dyDescent="0.25">
      <c r="A900" t="str">
        <f>"1124287271"</f>
        <v>1124287271</v>
      </c>
      <c r="B900" t="str">
        <f>"03301360"</f>
        <v>03301360</v>
      </c>
      <c r="C900" t="s">
        <v>3846</v>
      </c>
      <c r="D900" t="s">
        <v>3847</v>
      </c>
      <c r="E900" t="s">
        <v>3846</v>
      </c>
      <c r="L900" t="s">
        <v>138</v>
      </c>
      <c r="M900" t="s">
        <v>108</v>
      </c>
      <c r="R900" t="s">
        <v>3846</v>
      </c>
      <c r="W900" t="s">
        <v>3846</v>
      </c>
      <c r="X900" t="s">
        <v>3848</v>
      </c>
      <c r="Y900" t="s">
        <v>2506</v>
      </c>
      <c r="Z900" t="s">
        <v>111</v>
      </c>
      <c r="AA900" t="str">
        <f>"13057-9313"</f>
        <v>13057-9313</v>
      </c>
      <c r="AB900" t="s">
        <v>609</v>
      </c>
      <c r="AC900" t="s">
        <v>113</v>
      </c>
      <c r="AD900" t="s">
        <v>108</v>
      </c>
      <c r="AE900" t="s">
        <v>114</v>
      </c>
      <c r="AF900" t="s">
        <v>142</v>
      </c>
      <c r="AG900" t="s">
        <v>116</v>
      </c>
      <c r="AK900" t="str">
        <f t="shared" si="94"/>
        <v/>
      </c>
      <c r="AL900" t="s">
        <v>3847</v>
      </c>
      <c r="AM900">
        <v>0</v>
      </c>
      <c r="AN900">
        <v>0</v>
      </c>
      <c r="AO900">
        <v>0</v>
      </c>
      <c r="AP900">
        <v>0</v>
      </c>
      <c r="AQ900">
        <v>0</v>
      </c>
      <c r="AR900">
        <v>0</v>
      </c>
      <c r="AS900">
        <v>0</v>
      </c>
      <c r="AT900">
        <v>0</v>
      </c>
      <c r="AU900">
        <v>0</v>
      </c>
      <c r="AV900">
        <v>0</v>
      </c>
      <c r="AW900">
        <v>0</v>
      </c>
      <c r="AX900" s="24" t="str">
        <f t="shared" si="92"/>
        <v/>
      </c>
      <c r="AY900" s="24">
        <f t="shared" si="92"/>
        <v>1</v>
      </c>
      <c r="AZ900" s="24" t="str">
        <f t="shared" si="93"/>
        <v/>
      </c>
      <c r="BA900" s="24" t="str">
        <f t="shared" si="93"/>
        <v/>
      </c>
      <c r="BB900" s="24" t="str">
        <f t="shared" si="93"/>
        <v/>
      </c>
      <c r="BC900" s="24" t="str">
        <f t="shared" si="93"/>
        <v/>
      </c>
      <c r="BD900" s="24" t="str">
        <f t="shared" si="93"/>
        <v/>
      </c>
      <c r="BE900" s="24" t="str">
        <f t="shared" si="93"/>
        <v/>
      </c>
      <c r="BF900" s="24" t="str">
        <f t="shared" si="93"/>
        <v/>
      </c>
      <c r="BG900" s="24" t="str">
        <f t="shared" si="93"/>
        <v/>
      </c>
      <c r="BH900" s="24" t="str">
        <f t="shared" si="95"/>
        <v/>
      </c>
      <c r="BI900" s="24">
        <f t="shared" si="93"/>
        <v>1</v>
      </c>
      <c r="BJ900" s="24" t="str">
        <f t="shared" si="90"/>
        <v/>
      </c>
    </row>
    <row r="901" spans="1:62" ht="15" customHeight="1" x14ac:dyDescent="0.25">
      <c r="A901" t="str">
        <f>"1144381443"</f>
        <v>1144381443</v>
      </c>
      <c r="B901" t="str">
        <f>"00415650"</f>
        <v>00415650</v>
      </c>
      <c r="C901" t="s">
        <v>4041</v>
      </c>
      <c r="D901" t="s">
        <v>4042</v>
      </c>
      <c r="E901" t="s">
        <v>4043</v>
      </c>
      <c r="L901" t="s">
        <v>138</v>
      </c>
      <c r="M901" t="s">
        <v>108</v>
      </c>
      <c r="R901" t="s">
        <v>4041</v>
      </c>
      <c r="W901" t="s">
        <v>4043</v>
      </c>
      <c r="X901" t="s">
        <v>4044</v>
      </c>
      <c r="Y901" t="s">
        <v>110</v>
      </c>
      <c r="Z901" t="s">
        <v>111</v>
      </c>
      <c r="AA901" t="str">
        <f>"13903-1651"</f>
        <v>13903-1651</v>
      </c>
      <c r="AB901" t="s">
        <v>609</v>
      </c>
      <c r="AC901" t="s">
        <v>113</v>
      </c>
      <c r="AD901" t="s">
        <v>108</v>
      </c>
      <c r="AE901" t="s">
        <v>114</v>
      </c>
      <c r="AF901" t="s">
        <v>115</v>
      </c>
      <c r="AG901" t="s">
        <v>116</v>
      </c>
      <c r="AK901" t="str">
        <f t="shared" si="94"/>
        <v/>
      </c>
      <c r="AL901" t="s">
        <v>4042</v>
      </c>
      <c r="AM901">
        <v>1</v>
      </c>
      <c r="AN901">
        <v>1</v>
      </c>
      <c r="AO901">
        <v>0</v>
      </c>
      <c r="AP901">
        <v>1</v>
      </c>
      <c r="AQ901">
        <v>1</v>
      </c>
      <c r="AR901">
        <v>0</v>
      </c>
      <c r="AS901">
        <v>0</v>
      </c>
      <c r="AT901">
        <v>0</v>
      </c>
      <c r="AU901">
        <v>0</v>
      </c>
      <c r="AV901">
        <v>0</v>
      </c>
      <c r="AW901">
        <v>0</v>
      </c>
      <c r="AX901" s="24" t="str">
        <f t="shared" si="92"/>
        <v/>
      </c>
      <c r="AY901" s="24">
        <f t="shared" si="92"/>
        <v>1</v>
      </c>
      <c r="AZ901" s="24" t="str">
        <f t="shared" si="93"/>
        <v/>
      </c>
      <c r="BA901" s="24" t="str">
        <f t="shared" si="93"/>
        <v/>
      </c>
      <c r="BB901" s="24" t="str">
        <f t="shared" si="93"/>
        <v/>
      </c>
      <c r="BC901" s="24" t="str">
        <f t="shared" si="93"/>
        <v/>
      </c>
      <c r="BD901" s="24" t="str">
        <f t="shared" si="93"/>
        <v/>
      </c>
      <c r="BE901" s="24" t="str">
        <f t="shared" si="93"/>
        <v/>
      </c>
      <c r="BF901" s="24" t="str">
        <f t="shared" si="93"/>
        <v/>
      </c>
      <c r="BG901" s="24" t="str">
        <f t="shared" si="93"/>
        <v/>
      </c>
      <c r="BH901" s="24" t="str">
        <f t="shared" si="95"/>
        <v/>
      </c>
      <c r="BI901" s="24">
        <f t="shared" si="93"/>
        <v>1</v>
      </c>
      <c r="BJ901" s="24" t="str">
        <f t="shared" si="90"/>
        <v/>
      </c>
    </row>
    <row r="902" spans="1:62" ht="15" customHeight="1" x14ac:dyDescent="0.25">
      <c r="A902" t="str">
        <f>"1659470326"</f>
        <v>1659470326</v>
      </c>
      <c r="B902" t="str">
        <f>"02327879"</f>
        <v>02327879</v>
      </c>
      <c r="C902" t="s">
        <v>1909</v>
      </c>
      <c r="D902" t="s">
        <v>1910</v>
      </c>
      <c r="E902" t="s">
        <v>1911</v>
      </c>
      <c r="L902" t="s">
        <v>120</v>
      </c>
      <c r="M902" t="s">
        <v>108</v>
      </c>
      <c r="R902" t="s">
        <v>1909</v>
      </c>
      <c r="W902" t="s">
        <v>1912</v>
      </c>
      <c r="X902" t="s">
        <v>1913</v>
      </c>
      <c r="Y902" t="s">
        <v>129</v>
      </c>
      <c r="Z902" t="s">
        <v>111</v>
      </c>
      <c r="AA902" t="str">
        <f>"13790-0000"</f>
        <v>13790-0000</v>
      </c>
      <c r="AB902" t="s">
        <v>123</v>
      </c>
      <c r="AC902" t="s">
        <v>113</v>
      </c>
      <c r="AD902" t="s">
        <v>108</v>
      </c>
      <c r="AE902" t="s">
        <v>114</v>
      </c>
      <c r="AF902" t="s">
        <v>115</v>
      </c>
      <c r="AG902" t="s">
        <v>116</v>
      </c>
      <c r="AK902" t="str">
        <f t="shared" si="94"/>
        <v/>
      </c>
      <c r="AL902" t="s">
        <v>1910</v>
      </c>
      <c r="AM902">
        <v>1</v>
      </c>
      <c r="AN902">
        <v>1</v>
      </c>
      <c r="AO902">
        <v>0</v>
      </c>
      <c r="AP902">
        <v>1</v>
      </c>
      <c r="AQ902">
        <v>1</v>
      </c>
      <c r="AR902">
        <v>0</v>
      </c>
      <c r="AS902">
        <v>0</v>
      </c>
      <c r="AT902">
        <v>0</v>
      </c>
      <c r="AU902">
        <v>0</v>
      </c>
      <c r="AV902">
        <v>0</v>
      </c>
      <c r="AW902">
        <v>0</v>
      </c>
      <c r="AX902" s="24">
        <f t="shared" si="92"/>
        <v>1</v>
      </c>
      <c r="AY902" s="24" t="str">
        <f t="shared" si="92"/>
        <v/>
      </c>
      <c r="AZ902" s="24" t="str">
        <f t="shared" si="93"/>
        <v/>
      </c>
      <c r="BA902" s="24" t="str">
        <f t="shared" si="93"/>
        <v/>
      </c>
      <c r="BB902" s="24" t="str">
        <f t="shared" si="93"/>
        <v/>
      </c>
      <c r="BC902" s="24" t="str">
        <f t="shared" si="93"/>
        <v/>
      </c>
      <c r="BD902" s="24" t="str">
        <f t="shared" si="93"/>
        <v/>
      </c>
      <c r="BE902" s="24" t="str">
        <f t="shared" si="93"/>
        <v/>
      </c>
      <c r="BF902" s="24" t="str">
        <f t="shared" si="93"/>
        <v/>
      </c>
      <c r="BG902" s="24" t="str">
        <f t="shared" si="93"/>
        <v/>
      </c>
      <c r="BH902" s="24" t="str">
        <f t="shared" si="95"/>
        <v/>
      </c>
      <c r="BI902" s="24">
        <f t="shared" si="93"/>
        <v>1</v>
      </c>
      <c r="BJ902" s="24" t="str">
        <f t="shared" si="90"/>
        <v/>
      </c>
    </row>
    <row r="903" spans="1:62" ht="15" customHeight="1" x14ac:dyDescent="0.25">
      <c r="A903" t="str">
        <f>"1285782714"</f>
        <v>1285782714</v>
      </c>
      <c r="B903" t="str">
        <f>"02840435"</f>
        <v>02840435</v>
      </c>
      <c r="C903" t="s">
        <v>4142</v>
      </c>
      <c r="D903" t="s">
        <v>4143</v>
      </c>
      <c r="E903" t="s">
        <v>4144</v>
      </c>
      <c r="L903" t="s">
        <v>247</v>
      </c>
      <c r="M903" t="s">
        <v>108</v>
      </c>
      <c r="R903" t="s">
        <v>4142</v>
      </c>
      <c r="W903" t="s">
        <v>4145</v>
      </c>
      <c r="X903" t="s">
        <v>881</v>
      </c>
      <c r="Y903" t="s">
        <v>321</v>
      </c>
      <c r="Z903" t="s">
        <v>111</v>
      </c>
      <c r="AA903" t="str">
        <f>"13760-5430"</f>
        <v>13760-5430</v>
      </c>
      <c r="AB903" t="s">
        <v>1000</v>
      </c>
      <c r="AC903" t="s">
        <v>113</v>
      </c>
      <c r="AD903" t="s">
        <v>108</v>
      </c>
      <c r="AE903" t="s">
        <v>114</v>
      </c>
      <c r="AF903" t="s">
        <v>115</v>
      </c>
      <c r="AG903" t="s">
        <v>116</v>
      </c>
      <c r="AK903" t="str">
        <f t="shared" si="94"/>
        <v/>
      </c>
      <c r="AL903" t="s">
        <v>4143</v>
      </c>
      <c r="AM903">
        <v>0</v>
      </c>
      <c r="AN903">
        <v>0</v>
      </c>
      <c r="AO903">
        <v>0</v>
      </c>
      <c r="AP903">
        <v>0</v>
      </c>
      <c r="AQ903">
        <v>0</v>
      </c>
      <c r="AR903">
        <v>0</v>
      </c>
      <c r="AS903">
        <v>0</v>
      </c>
      <c r="AT903">
        <v>0</v>
      </c>
      <c r="AU903">
        <v>0</v>
      </c>
      <c r="AV903">
        <v>0</v>
      </c>
      <c r="AW903">
        <v>0</v>
      </c>
      <c r="AX903" s="24" t="str">
        <f t="shared" si="92"/>
        <v/>
      </c>
      <c r="AY903" s="24">
        <f t="shared" si="92"/>
        <v>1</v>
      </c>
      <c r="AZ903" s="24" t="str">
        <f t="shared" si="93"/>
        <v/>
      </c>
      <c r="BA903" s="24" t="str">
        <f t="shared" si="93"/>
        <v/>
      </c>
      <c r="BB903" s="24" t="str">
        <f t="shared" si="93"/>
        <v/>
      </c>
      <c r="BC903" s="24" t="str">
        <f t="shared" si="93"/>
        <v/>
      </c>
      <c r="BD903" s="24" t="str">
        <f t="shared" si="93"/>
        <v/>
      </c>
      <c r="BE903" s="24" t="str">
        <f t="shared" si="93"/>
        <v/>
      </c>
      <c r="BF903" s="24" t="str">
        <f t="shared" si="93"/>
        <v/>
      </c>
      <c r="BG903" s="24" t="str">
        <f t="shared" si="93"/>
        <v/>
      </c>
      <c r="BH903" s="24" t="str">
        <f t="shared" si="95"/>
        <v/>
      </c>
      <c r="BI903" s="24" t="str">
        <f t="shared" si="93"/>
        <v/>
      </c>
      <c r="BJ903" s="24" t="str">
        <f t="shared" si="90"/>
        <v/>
      </c>
    </row>
    <row r="904" spans="1:62" ht="15" customHeight="1" x14ac:dyDescent="0.25">
      <c r="A904" t="str">
        <f>"1356781165"</f>
        <v>1356781165</v>
      </c>
      <c r="B904" t="str">
        <f>"03618820"</f>
        <v>03618820</v>
      </c>
      <c r="C904" t="s">
        <v>5541</v>
      </c>
      <c r="D904" t="s">
        <v>5542</v>
      </c>
      <c r="E904" t="s">
        <v>5543</v>
      </c>
      <c r="G904" t="s">
        <v>5541</v>
      </c>
      <c r="H904" t="s">
        <v>5535</v>
      </c>
      <c r="J904" t="s">
        <v>5544</v>
      </c>
      <c r="L904" t="s">
        <v>120</v>
      </c>
      <c r="M904" t="s">
        <v>108</v>
      </c>
      <c r="R904" t="s">
        <v>5545</v>
      </c>
      <c r="W904" t="s">
        <v>5543</v>
      </c>
      <c r="X904" t="s">
        <v>5546</v>
      </c>
      <c r="Y904" t="s">
        <v>5547</v>
      </c>
      <c r="Z904" t="s">
        <v>111</v>
      </c>
      <c r="AA904" t="str">
        <f>"13795-1001"</f>
        <v>13795-1001</v>
      </c>
      <c r="AB904" t="s">
        <v>123</v>
      </c>
      <c r="AC904" t="s">
        <v>113</v>
      </c>
      <c r="AD904" t="s">
        <v>108</v>
      </c>
      <c r="AE904" t="s">
        <v>114</v>
      </c>
      <c r="AF904" t="s">
        <v>115</v>
      </c>
      <c r="AG904" t="s">
        <v>116</v>
      </c>
      <c r="AK904" t="str">
        <f t="shared" si="94"/>
        <v/>
      </c>
      <c r="AL904" t="s">
        <v>5542</v>
      </c>
      <c r="AM904">
        <v>1</v>
      </c>
      <c r="AN904">
        <v>1</v>
      </c>
      <c r="AO904">
        <v>0</v>
      </c>
      <c r="AP904">
        <v>1</v>
      </c>
      <c r="AQ904">
        <v>1</v>
      </c>
      <c r="AR904">
        <v>0</v>
      </c>
      <c r="AS904">
        <v>0</v>
      </c>
      <c r="AT904">
        <v>0</v>
      </c>
      <c r="AU904">
        <v>1</v>
      </c>
      <c r="AV904">
        <v>0</v>
      </c>
      <c r="AW904">
        <v>0</v>
      </c>
      <c r="AX904" s="24">
        <f t="shared" si="92"/>
        <v>1</v>
      </c>
      <c r="AY904" s="24" t="str">
        <f t="shared" si="92"/>
        <v/>
      </c>
      <c r="AZ904" s="24" t="str">
        <f t="shared" si="93"/>
        <v/>
      </c>
      <c r="BA904" s="24" t="str">
        <f t="shared" si="93"/>
        <v/>
      </c>
      <c r="BB904" s="24" t="str">
        <f t="shared" si="93"/>
        <v/>
      </c>
      <c r="BC904" s="24" t="str">
        <f t="shared" si="93"/>
        <v/>
      </c>
      <c r="BD904" s="24" t="str">
        <f t="shared" si="93"/>
        <v/>
      </c>
      <c r="BE904" s="24" t="str">
        <f t="shared" si="93"/>
        <v/>
      </c>
      <c r="BF904" s="24" t="str">
        <f t="shared" si="93"/>
        <v/>
      </c>
      <c r="BG904" s="24" t="str">
        <f t="shared" si="93"/>
        <v/>
      </c>
      <c r="BH904" s="24" t="str">
        <f t="shared" si="95"/>
        <v/>
      </c>
      <c r="BI904" s="24">
        <f t="shared" si="93"/>
        <v>1</v>
      </c>
      <c r="BJ904" s="24" t="str">
        <f t="shared" si="90"/>
        <v/>
      </c>
    </row>
    <row r="905" spans="1:62" ht="15" customHeight="1" x14ac:dyDescent="0.25">
      <c r="A905" t="str">
        <f>"1306986021"</f>
        <v>1306986021</v>
      </c>
      <c r="B905" t="str">
        <f>"03460419"</f>
        <v>03460419</v>
      </c>
      <c r="C905" t="s">
        <v>5043</v>
      </c>
      <c r="D905" t="s">
        <v>5044</v>
      </c>
      <c r="E905" t="s">
        <v>5043</v>
      </c>
      <c r="G905" t="s">
        <v>699</v>
      </c>
      <c r="H905" t="s">
        <v>700</v>
      </c>
      <c r="J905" t="s">
        <v>701</v>
      </c>
      <c r="L905" t="s">
        <v>120</v>
      </c>
      <c r="M905" t="s">
        <v>108</v>
      </c>
      <c r="R905" t="s">
        <v>5045</v>
      </c>
      <c r="W905" t="s">
        <v>5043</v>
      </c>
      <c r="X905" t="s">
        <v>512</v>
      </c>
      <c r="Y905" t="s">
        <v>513</v>
      </c>
      <c r="Z905" t="s">
        <v>182</v>
      </c>
      <c r="AA905" t="str">
        <f>"18810-1618"</f>
        <v>18810-1618</v>
      </c>
      <c r="AB905" t="s">
        <v>123</v>
      </c>
      <c r="AC905" t="s">
        <v>113</v>
      </c>
      <c r="AD905" t="s">
        <v>108</v>
      </c>
      <c r="AE905" t="s">
        <v>114</v>
      </c>
      <c r="AF905" t="s">
        <v>115</v>
      </c>
      <c r="AG905" t="s">
        <v>116</v>
      </c>
      <c r="AK905" t="str">
        <f t="shared" si="94"/>
        <v/>
      </c>
      <c r="AL905" t="s">
        <v>5044</v>
      </c>
      <c r="AM905">
        <v>1</v>
      </c>
      <c r="AN905">
        <v>1</v>
      </c>
      <c r="AO905">
        <v>0</v>
      </c>
      <c r="AP905">
        <v>0</v>
      </c>
      <c r="AQ905">
        <v>0</v>
      </c>
      <c r="AR905">
        <v>0</v>
      </c>
      <c r="AS905">
        <v>0</v>
      </c>
      <c r="AT905">
        <v>1</v>
      </c>
      <c r="AU905">
        <v>1</v>
      </c>
      <c r="AV905">
        <v>1</v>
      </c>
      <c r="AW905">
        <v>0</v>
      </c>
      <c r="AX905" s="24">
        <f t="shared" si="92"/>
        <v>1</v>
      </c>
      <c r="AY905" s="24" t="str">
        <f t="shared" si="92"/>
        <v/>
      </c>
      <c r="AZ905" s="24" t="str">
        <f t="shared" si="93"/>
        <v/>
      </c>
      <c r="BA905" s="24" t="str">
        <f t="shared" si="93"/>
        <v/>
      </c>
      <c r="BB905" s="24" t="str">
        <f t="shared" si="93"/>
        <v/>
      </c>
      <c r="BC905" s="24" t="str">
        <f t="shared" si="93"/>
        <v/>
      </c>
      <c r="BD905" s="24" t="str">
        <f t="shared" si="93"/>
        <v/>
      </c>
      <c r="BE905" s="24" t="str">
        <f t="shared" si="93"/>
        <v/>
      </c>
      <c r="BF905" s="24" t="str">
        <f t="shared" si="93"/>
        <v/>
      </c>
      <c r="BG905" s="24" t="str">
        <f t="shared" si="93"/>
        <v/>
      </c>
      <c r="BH905" s="24" t="str">
        <f t="shared" si="95"/>
        <v/>
      </c>
      <c r="BI905" s="24">
        <f t="shared" si="93"/>
        <v>1</v>
      </c>
      <c r="BJ905" s="24" t="str">
        <f t="shared" si="90"/>
        <v/>
      </c>
    </row>
    <row r="906" spans="1:62" ht="15" customHeight="1" x14ac:dyDescent="0.25">
      <c r="A906" t="str">
        <f>"1548518400"</f>
        <v>1548518400</v>
      </c>
      <c r="B906" t="str">
        <f>"03499089"</f>
        <v>03499089</v>
      </c>
      <c r="C906" t="s">
        <v>5894</v>
      </c>
      <c r="D906" t="s">
        <v>5895</v>
      </c>
      <c r="E906" t="s">
        <v>5896</v>
      </c>
      <c r="G906" t="s">
        <v>815</v>
      </c>
      <c r="H906" t="s">
        <v>816</v>
      </c>
      <c r="J906" t="s">
        <v>817</v>
      </c>
      <c r="L906" t="s">
        <v>138</v>
      </c>
      <c r="M906" t="s">
        <v>108</v>
      </c>
      <c r="R906" t="s">
        <v>5897</v>
      </c>
      <c r="W906" t="s">
        <v>5898</v>
      </c>
      <c r="X906" t="s">
        <v>5899</v>
      </c>
      <c r="Y906" t="s">
        <v>110</v>
      </c>
      <c r="Z906" t="s">
        <v>111</v>
      </c>
      <c r="AA906" t="str">
        <f>"13905-4178"</f>
        <v>13905-4178</v>
      </c>
      <c r="AB906" t="s">
        <v>123</v>
      </c>
      <c r="AC906" t="s">
        <v>113</v>
      </c>
      <c r="AD906" t="s">
        <v>108</v>
      </c>
      <c r="AE906" t="s">
        <v>114</v>
      </c>
      <c r="AF906" t="s">
        <v>115</v>
      </c>
      <c r="AG906" t="s">
        <v>116</v>
      </c>
      <c r="AK906" t="str">
        <f t="shared" si="94"/>
        <v>Melissa Korosec, FNP</v>
      </c>
      <c r="AL906" t="s">
        <v>5895</v>
      </c>
      <c r="AM906" t="s">
        <v>108</v>
      </c>
      <c r="AN906" t="s">
        <v>108</v>
      </c>
      <c r="AO906" t="s">
        <v>108</v>
      </c>
      <c r="AP906" t="s">
        <v>108</v>
      </c>
      <c r="AQ906" t="s">
        <v>108</v>
      </c>
      <c r="AR906" t="s">
        <v>108</v>
      </c>
      <c r="AS906" t="s">
        <v>108</v>
      </c>
      <c r="AT906" t="s">
        <v>108</v>
      </c>
      <c r="AU906">
        <v>0</v>
      </c>
      <c r="AV906" t="s">
        <v>108</v>
      </c>
      <c r="AW906" t="s">
        <v>108</v>
      </c>
      <c r="AX906" s="24" t="str">
        <f t="shared" si="92"/>
        <v/>
      </c>
      <c r="AY906" s="24">
        <f t="shared" si="92"/>
        <v>1</v>
      </c>
      <c r="AZ906" s="24" t="str">
        <f t="shared" si="93"/>
        <v/>
      </c>
      <c r="BA906" s="24" t="str">
        <f t="shared" ref="AZ906:BI931" si="96">IF(ISERROR(FIND(BA$1,$L906,1)),"",1)</f>
        <v/>
      </c>
      <c r="BB906" s="24" t="str">
        <f t="shared" si="96"/>
        <v/>
      </c>
      <c r="BC906" s="24" t="str">
        <f t="shared" si="96"/>
        <v/>
      </c>
      <c r="BD906" s="24" t="str">
        <f t="shared" si="96"/>
        <v/>
      </c>
      <c r="BE906" s="24" t="str">
        <f t="shared" si="96"/>
        <v/>
      </c>
      <c r="BF906" s="24" t="str">
        <f t="shared" si="96"/>
        <v/>
      </c>
      <c r="BG906" s="24" t="str">
        <f t="shared" si="96"/>
        <v/>
      </c>
      <c r="BH906" s="24" t="str">
        <f t="shared" si="95"/>
        <v/>
      </c>
      <c r="BI906" s="24">
        <f t="shared" si="96"/>
        <v>1</v>
      </c>
      <c r="BJ906" s="24" t="str">
        <f t="shared" si="90"/>
        <v/>
      </c>
    </row>
    <row r="907" spans="1:62" ht="15" customHeight="1" x14ac:dyDescent="0.25">
      <c r="A907" t="str">
        <f>"1841283413"</f>
        <v>1841283413</v>
      </c>
      <c r="B907" t="str">
        <f>"02552894"</f>
        <v>02552894</v>
      </c>
      <c r="C907" t="s">
        <v>3266</v>
      </c>
      <c r="D907" t="s">
        <v>3267</v>
      </c>
      <c r="E907" t="s">
        <v>3268</v>
      </c>
      <c r="G907" t="s">
        <v>3266</v>
      </c>
      <c r="H907" t="s">
        <v>3263</v>
      </c>
      <c r="J907" t="s">
        <v>3269</v>
      </c>
      <c r="L907" t="s">
        <v>138</v>
      </c>
      <c r="M907" t="s">
        <v>108</v>
      </c>
      <c r="R907" t="s">
        <v>3270</v>
      </c>
      <c r="W907" t="s">
        <v>3271</v>
      </c>
      <c r="X907" t="s">
        <v>1661</v>
      </c>
      <c r="Y907" t="s">
        <v>293</v>
      </c>
      <c r="Z907" t="s">
        <v>111</v>
      </c>
      <c r="AA907" t="str">
        <f>"14850-1345"</f>
        <v>14850-1345</v>
      </c>
      <c r="AB907" t="s">
        <v>123</v>
      </c>
      <c r="AC907" t="s">
        <v>113</v>
      </c>
      <c r="AD907" t="s">
        <v>108</v>
      </c>
      <c r="AE907" t="s">
        <v>114</v>
      </c>
      <c r="AF907" t="s">
        <v>142</v>
      </c>
      <c r="AG907" t="s">
        <v>116</v>
      </c>
      <c r="AK907" t="str">
        <f t="shared" si="94"/>
        <v/>
      </c>
      <c r="AL907" t="s">
        <v>3267</v>
      </c>
      <c r="AM907">
        <v>1</v>
      </c>
      <c r="AN907">
        <v>1</v>
      </c>
      <c r="AO907">
        <v>0</v>
      </c>
      <c r="AP907">
        <v>0</v>
      </c>
      <c r="AQ907">
        <v>0</v>
      </c>
      <c r="AR907">
        <v>0</v>
      </c>
      <c r="AS907">
        <v>0</v>
      </c>
      <c r="AT907">
        <v>0</v>
      </c>
      <c r="AU907">
        <v>0</v>
      </c>
      <c r="AV907">
        <v>0</v>
      </c>
      <c r="AW907">
        <v>0</v>
      </c>
      <c r="AX907" s="24" t="str">
        <f t="shared" si="92"/>
        <v/>
      </c>
      <c r="AY907" s="24">
        <f t="shared" si="92"/>
        <v>1</v>
      </c>
      <c r="AZ907" s="24" t="str">
        <f t="shared" si="96"/>
        <v/>
      </c>
      <c r="BA907" s="24" t="str">
        <f t="shared" si="96"/>
        <v/>
      </c>
      <c r="BB907" s="24" t="str">
        <f t="shared" si="96"/>
        <v/>
      </c>
      <c r="BC907" s="24" t="str">
        <f t="shared" si="96"/>
        <v/>
      </c>
      <c r="BD907" s="24" t="str">
        <f t="shared" si="96"/>
        <v/>
      </c>
      <c r="BE907" s="24" t="str">
        <f t="shared" si="96"/>
        <v/>
      </c>
      <c r="BF907" s="24" t="str">
        <f t="shared" si="96"/>
        <v/>
      </c>
      <c r="BG907" s="24" t="str">
        <f t="shared" si="96"/>
        <v/>
      </c>
      <c r="BH907" s="24" t="str">
        <f t="shared" si="95"/>
        <v/>
      </c>
      <c r="BI907" s="24">
        <f t="shared" si="96"/>
        <v>1</v>
      </c>
      <c r="BJ907" s="24" t="str">
        <f t="shared" si="90"/>
        <v/>
      </c>
    </row>
    <row r="908" spans="1:62" ht="15" customHeight="1" x14ac:dyDescent="0.25">
      <c r="A908" t="str">
        <f>"1639106867"</f>
        <v>1639106867</v>
      </c>
      <c r="B908" t="str">
        <f>"02229050"</f>
        <v>02229050</v>
      </c>
      <c r="C908" t="s">
        <v>2089</v>
      </c>
      <c r="D908" t="s">
        <v>2090</v>
      </c>
      <c r="E908" t="s">
        <v>2091</v>
      </c>
      <c r="G908" t="s">
        <v>229</v>
      </c>
      <c r="H908" t="s">
        <v>230</v>
      </c>
      <c r="J908" t="s">
        <v>231</v>
      </c>
      <c r="L908" t="s">
        <v>247</v>
      </c>
      <c r="M908" t="s">
        <v>108</v>
      </c>
      <c r="R908" t="s">
        <v>2092</v>
      </c>
      <c r="W908" t="s">
        <v>2091</v>
      </c>
      <c r="X908" t="s">
        <v>543</v>
      </c>
      <c r="Y908" t="s">
        <v>293</v>
      </c>
      <c r="Z908" t="s">
        <v>111</v>
      </c>
      <c r="AA908" t="str">
        <f>"14850-9105"</f>
        <v>14850-9105</v>
      </c>
      <c r="AB908" t="s">
        <v>123</v>
      </c>
      <c r="AC908" t="s">
        <v>113</v>
      </c>
      <c r="AD908" t="s">
        <v>108</v>
      </c>
      <c r="AE908" t="s">
        <v>114</v>
      </c>
      <c r="AF908" t="s">
        <v>142</v>
      </c>
      <c r="AG908" t="s">
        <v>116</v>
      </c>
      <c r="AK908" t="str">
        <f t="shared" si="94"/>
        <v/>
      </c>
      <c r="AL908" t="s">
        <v>2090</v>
      </c>
      <c r="AM908">
        <v>1</v>
      </c>
      <c r="AN908">
        <v>1</v>
      </c>
      <c r="AO908">
        <v>0</v>
      </c>
      <c r="AP908">
        <v>0</v>
      </c>
      <c r="AQ908">
        <v>1</v>
      </c>
      <c r="AR908">
        <v>0</v>
      </c>
      <c r="AS908">
        <v>0</v>
      </c>
      <c r="AT908">
        <v>0</v>
      </c>
      <c r="AU908">
        <v>0</v>
      </c>
      <c r="AV908">
        <v>0</v>
      </c>
      <c r="AW908">
        <v>0</v>
      </c>
      <c r="AX908" s="24" t="str">
        <f t="shared" si="92"/>
        <v/>
      </c>
      <c r="AY908" s="24">
        <f t="shared" si="92"/>
        <v>1</v>
      </c>
      <c r="AZ908" s="24" t="str">
        <f t="shared" si="96"/>
        <v/>
      </c>
      <c r="BA908" s="24" t="str">
        <f t="shared" si="96"/>
        <v/>
      </c>
      <c r="BB908" s="24" t="str">
        <f t="shared" si="96"/>
        <v/>
      </c>
      <c r="BC908" s="24" t="str">
        <f t="shared" si="96"/>
        <v/>
      </c>
      <c r="BD908" s="24" t="str">
        <f t="shared" si="96"/>
        <v/>
      </c>
      <c r="BE908" s="24" t="str">
        <f t="shared" si="96"/>
        <v/>
      </c>
      <c r="BF908" s="24" t="str">
        <f t="shared" si="96"/>
        <v/>
      </c>
      <c r="BG908" s="24" t="str">
        <f t="shared" si="96"/>
        <v/>
      </c>
      <c r="BH908" s="24" t="str">
        <f t="shared" si="95"/>
        <v/>
      </c>
      <c r="BI908" s="24" t="str">
        <f t="shared" si="96"/>
        <v/>
      </c>
      <c r="BJ908" s="24" t="str">
        <f t="shared" si="90"/>
        <v/>
      </c>
    </row>
    <row r="909" spans="1:62" ht="15" customHeight="1" x14ac:dyDescent="0.25">
      <c r="A909" t="str">
        <f>"1356313753"</f>
        <v>1356313753</v>
      </c>
      <c r="B909" t="str">
        <f>"01532865"</f>
        <v>01532865</v>
      </c>
      <c r="C909" t="s">
        <v>5046</v>
      </c>
      <c r="D909" t="s">
        <v>5047</v>
      </c>
      <c r="E909" t="s">
        <v>5046</v>
      </c>
      <c r="G909" t="s">
        <v>699</v>
      </c>
      <c r="H909" t="s">
        <v>700</v>
      </c>
      <c r="J909" t="s">
        <v>701</v>
      </c>
      <c r="L909" t="s">
        <v>120</v>
      </c>
      <c r="M909" t="s">
        <v>108</v>
      </c>
      <c r="R909" t="s">
        <v>5048</v>
      </c>
      <c r="W909" t="s">
        <v>5046</v>
      </c>
      <c r="X909" t="s">
        <v>5049</v>
      </c>
      <c r="Y909" t="s">
        <v>157</v>
      </c>
      <c r="Z909" t="s">
        <v>111</v>
      </c>
      <c r="AA909" t="str">
        <f>"14830-2911"</f>
        <v>14830-2911</v>
      </c>
      <c r="AB909" t="s">
        <v>123</v>
      </c>
      <c r="AC909" t="s">
        <v>113</v>
      </c>
      <c r="AD909" t="s">
        <v>108</v>
      </c>
      <c r="AE909" t="s">
        <v>114</v>
      </c>
      <c r="AF909" t="s">
        <v>149</v>
      </c>
      <c r="AG909" t="s">
        <v>116</v>
      </c>
      <c r="AK909" t="str">
        <f t="shared" si="94"/>
        <v/>
      </c>
      <c r="AL909" t="s">
        <v>5047</v>
      </c>
      <c r="AM909">
        <v>1</v>
      </c>
      <c r="AN909">
        <v>1</v>
      </c>
      <c r="AO909">
        <v>0</v>
      </c>
      <c r="AP909">
        <v>0</v>
      </c>
      <c r="AQ909">
        <v>0</v>
      </c>
      <c r="AR909">
        <v>0</v>
      </c>
      <c r="AS909">
        <v>0</v>
      </c>
      <c r="AT909">
        <v>1</v>
      </c>
      <c r="AU909">
        <v>1</v>
      </c>
      <c r="AV909">
        <v>1</v>
      </c>
      <c r="AW909">
        <v>0</v>
      </c>
      <c r="AX909" s="24">
        <f t="shared" si="92"/>
        <v>1</v>
      </c>
      <c r="AY909" s="24" t="str">
        <f t="shared" si="92"/>
        <v/>
      </c>
      <c r="AZ909" s="24" t="str">
        <f t="shared" si="96"/>
        <v/>
      </c>
      <c r="BA909" s="24" t="str">
        <f t="shared" si="96"/>
        <v/>
      </c>
      <c r="BB909" s="24" t="str">
        <f t="shared" si="96"/>
        <v/>
      </c>
      <c r="BC909" s="24" t="str">
        <f t="shared" si="96"/>
        <v/>
      </c>
      <c r="BD909" s="24" t="str">
        <f t="shared" si="96"/>
        <v/>
      </c>
      <c r="BE909" s="24" t="str">
        <f t="shared" si="96"/>
        <v/>
      </c>
      <c r="BF909" s="24" t="str">
        <f t="shared" si="96"/>
        <v/>
      </c>
      <c r="BG909" s="24" t="str">
        <f t="shared" si="96"/>
        <v/>
      </c>
      <c r="BH909" s="24" t="str">
        <f t="shared" si="95"/>
        <v/>
      </c>
      <c r="BI909" s="24">
        <f t="shared" si="96"/>
        <v>1</v>
      </c>
      <c r="BJ909" s="24" t="str">
        <f t="shared" si="90"/>
        <v/>
      </c>
    </row>
    <row r="910" spans="1:62" ht="15" customHeight="1" x14ac:dyDescent="0.25">
      <c r="A910" t="str">
        <f>"1073955092"</f>
        <v>1073955092</v>
      </c>
      <c r="B910" t="str">
        <f>"03932932"</f>
        <v>03932932</v>
      </c>
      <c r="C910" t="s">
        <v>4794</v>
      </c>
      <c r="D910" t="s">
        <v>4795</v>
      </c>
      <c r="E910" t="s">
        <v>4796</v>
      </c>
      <c r="G910" t="s">
        <v>4797</v>
      </c>
      <c r="I910">
        <v>349</v>
      </c>
      <c r="J910" t="s">
        <v>4798</v>
      </c>
      <c r="L910" t="s">
        <v>133</v>
      </c>
      <c r="M910" t="s">
        <v>108</v>
      </c>
      <c r="R910" t="s">
        <v>4799</v>
      </c>
      <c r="W910" t="s">
        <v>4796</v>
      </c>
      <c r="X910" t="s">
        <v>4800</v>
      </c>
      <c r="Y910" t="s">
        <v>110</v>
      </c>
      <c r="Z910" t="s">
        <v>111</v>
      </c>
      <c r="AA910" t="str">
        <f>"13901-3502"</f>
        <v>13901-3502</v>
      </c>
      <c r="AB910" t="s">
        <v>165</v>
      </c>
      <c r="AC910" t="s">
        <v>113</v>
      </c>
      <c r="AD910" t="s">
        <v>108</v>
      </c>
      <c r="AE910" t="s">
        <v>114</v>
      </c>
      <c r="AF910" t="s">
        <v>115</v>
      </c>
      <c r="AG910" t="s">
        <v>116</v>
      </c>
      <c r="AK910" t="str">
        <f t="shared" si="94"/>
        <v/>
      </c>
      <c r="AL910" t="s">
        <v>4795</v>
      </c>
      <c r="AM910">
        <v>1</v>
      </c>
      <c r="AN910">
        <v>0</v>
      </c>
      <c r="AO910">
        <v>0</v>
      </c>
      <c r="AP910">
        <v>0</v>
      </c>
      <c r="AQ910">
        <v>0</v>
      </c>
      <c r="AR910">
        <v>0</v>
      </c>
      <c r="AS910">
        <v>1</v>
      </c>
      <c r="AT910">
        <v>0</v>
      </c>
      <c r="AU910">
        <v>0</v>
      </c>
      <c r="AV910">
        <v>0</v>
      </c>
      <c r="AW910">
        <v>0</v>
      </c>
      <c r="AX910" s="24" t="str">
        <f t="shared" si="92"/>
        <v/>
      </c>
      <c r="AY910" s="24" t="str">
        <f t="shared" si="92"/>
        <v/>
      </c>
      <c r="AZ910" s="24" t="str">
        <f t="shared" si="96"/>
        <v/>
      </c>
      <c r="BA910" s="24" t="str">
        <f t="shared" si="96"/>
        <v/>
      </c>
      <c r="BB910" s="24" t="str">
        <f t="shared" si="96"/>
        <v/>
      </c>
      <c r="BC910" s="24" t="str">
        <f t="shared" si="96"/>
        <v/>
      </c>
      <c r="BD910" s="24" t="str">
        <f t="shared" si="96"/>
        <v/>
      </c>
      <c r="BE910" s="24" t="str">
        <f t="shared" si="96"/>
        <v/>
      </c>
      <c r="BF910" s="24" t="str">
        <f t="shared" si="96"/>
        <v/>
      </c>
      <c r="BG910" s="24" t="str">
        <f t="shared" si="96"/>
        <v/>
      </c>
      <c r="BH910" s="24" t="str">
        <f t="shared" si="95"/>
        <v/>
      </c>
      <c r="BI910" s="24" t="str">
        <f t="shared" si="96"/>
        <v/>
      </c>
      <c r="BJ910" s="24">
        <f t="shared" si="90"/>
        <v>1</v>
      </c>
    </row>
    <row r="911" spans="1:62" ht="15" customHeight="1" x14ac:dyDescent="0.25">
      <c r="C911" t="s">
        <v>5514</v>
      </c>
      <c r="G911" t="s">
        <v>5515</v>
      </c>
      <c r="H911" t="s">
        <v>5516</v>
      </c>
      <c r="J911" t="s">
        <v>5517</v>
      </c>
      <c r="K911" t="s">
        <v>1289</v>
      </c>
      <c r="L911" t="s">
        <v>781</v>
      </c>
      <c r="M911" t="s">
        <v>108</v>
      </c>
      <c r="N911" t="s">
        <v>5518</v>
      </c>
      <c r="O911" t="s">
        <v>1088</v>
      </c>
      <c r="P911" t="s">
        <v>111</v>
      </c>
      <c r="Q911" t="str">
        <f>"14850"</f>
        <v>14850</v>
      </c>
      <c r="AC911" t="s">
        <v>113</v>
      </c>
      <c r="AD911" t="s">
        <v>108</v>
      </c>
      <c r="AE911" t="s">
        <v>784</v>
      </c>
      <c r="AF911" t="s">
        <v>142</v>
      </c>
      <c r="AG911" t="s">
        <v>116</v>
      </c>
      <c r="AK911" t="str">
        <f t="shared" si="94"/>
        <v>Mental Health Association of Tompkins County</v>
      </c>
      <c r="AM911" t="s">
        <v>108</v>
      </c>
      <c r="AN911" t="s">
        <v>108</v>
      </c>
      <c r="AO911" t="s">
        <v>108</v>
      </c>
      <c r="AP911" t="s">
        <v>108</v>
      </c>
      <c r="AQ911" t="s">
        <v>108</v>
      </c>
      <c r="AR911" t="s">
        <v>108</v>
      </c>
      <c r="AS911" t="s">
        <v>108</v>
      </c>
      <c r="AT911" t="s">
        <v>108</v>
      </c>
      <c r="AU911">
        <v>0</v>
      </c>
      <c r="AV911" t="s">
        <v>108</v>
      </c>
      <c r="AW911" t="s">
        <v>108</v>
      </c>
      <c r="AX911" s="24" t="str">
        <f t="shared" si="92"/>
        <v/>
      </c>
      <c r="AY911" s="24" t="str">
        <f t="shared" si="92"/>
        <v/>
      </c>
      <c r="AZ911" s="24" t="str">
        <f t="shared" si="96"/>
        <v/>
      </c>
      <c r="BA911" s="24" t="str">
        <f t="shared" si="96"/>
        <v/>
      </c>
      <c r="BB911" s="24" t="str">
        <f t="shared" si="96"/>
        <v/>
      </c>
      <c r="BC911" s="24" t="str">
        <f t="shared" si="96"/>
        <v/>
      </c>
      <c r="BD911" s="24" t="str">
        <f t="shared" si="96"/>
        <v/>
      </c>
      <c r="BE911" s="24" t="str">
        <f t="shared" si="96"/>
        <v/>
      </c>
      <c r="BF911" s="24" t="str">
        <f t="shared" si="96"/>
        <v/>
      </c>
      <c r="BG911" s="24" t="str">
        <f t="shared" si="96"/>
        <v/>
      </c>
      <c r="BH911" s="24">
        <f t="shared" si="95"/>
        <v>1</v>
      </c>
      <c r="BI911" s="24" t="str">
        <f t="shared" si="96"/>
        <v/>
      </c>
      <c r="BJ911" s="24" t="str">
        <f t="shared" si="90"/>
        <v/>
      </c>
    </row>
    <row r="912" spans="1:62" ht="15" customHeight="1" x14ac:dyDescent="0.25">
      <c r="A912" t="str">
        <f>"1194797100"</f>
        <v>1194797100</v>
      </c>
      <c r="B912" t="str">
        <f>"02801141"</f>
        <v>02801141</v>
      </c>
      <c r="C912" t="s">
        <v>5050</v>
      </c>
      <c r="D912" t="s">
        <v>5051</v>
      </c>
      <c r="E912" t="s">
        <v>5050</v>
      </c>
      <c r="G912" t="s">
        <v>699</v>
      </c>
      <c r="H912" t="s">
        <v>700</v>
      </c>
      <c r="J912" t="s">
        <v>701</v>
      </c>
      <c r="L912" t="s">
        <v>6869</v>
      </c>
      <c r="M912" t="s">
        <v>108</v>
      </c>
      <c r="R912" t="s">
        <v>5052</v>
      </c>
      <c r="W912" t="s">
        <v>5053</v>
      </c>
      <c r="X912" t="s">
        <v>5054</v>
      </c>
      <c r="Y912" t="s">
        <v>3992</v>
      </c>
      <c r="Z912" t="s">
        <v>182</v>
      </c>
      <c r="AA912" t="str">
        <f>"16901-1126"</f>
        <v>16901-1126</v>
      </c>
      <c r="AB912" t="s">
        <v>123</v>
      </c>
      <c r="AC912" t="s">
        <v>113</v>
      </c>
      <c r="AD912" t="s">
        <v>108</v>
      </c>
      <c r="AE912" t="s">
        <v>114</v>
      </c>
      <c r="AF912" t="s">
        <v>149</v>
      </c>
      <c r="AG912" t="s">
        <v>116</v>
      </c>
      <c r="AK912" t="str">
        <f t="shared" si="94"/>
        <v/>
      </c>
      <c r="AL912" t="s">
        <v>5051</v>
      </c>
      <c r="AM912">
        <v>1</v>
      </c>
      <c r="AN912">
        <v>1</v>
      </c>
      <c r="AO912">
        <v>0</v>
      </c>
      <c r="AP912">
        <v>0</v>
      </c>
      <c r="AQ912">
        <v>0</v>
      </c>
      <c r="AR912">
        <v>0</v>
      </c>
      <c r="AS912">
        <v>0</v>
      </c>
      <c r="AT912">
        <v>1</v>
      </c>
      <c r="AU912">
        <v>1</v>
      </c>
      <c r="AV912">
        <v>1</v>
      </c>
      <c r="AW912">
        <v>0</v>
      </c>
      <c r="AX912" s="24">
        <f t="shared" si="92"/>
        <v>1</v>
      </c>
      <c r="AY912" s="24" t="str">
        <f t="shared" si="92"/>
        <v/>
      </c>
      <c r="AZ912" s="24" t="str">
        <f t="shared" si="96"/>
        <v/>
      </c>
      <c r="BA912" s="24" t="str">
        <f t="shared" si="96"/>
        <v/>
      </c>
      <c r="BB912" s="24" t="str">
        <f t="shared" si="96"/>
        <v/>
      </c>
      <c r="BC912" s="24">
        <f t="shared" si="96"/>
        <v>1</v>
      </c>
      <c r="BD912" s="24" t="str">
        <f t="shared" si="96"/>
        <v/>
      </c>
      <c r="BE912" s="24" t="str">
        <f t="shared" si="96"/>
        <v/>
      </c>
      <c r="BF912" s="24" t="str">
        <f t="shared" si="96"/>
        <v/>
      </c>
      <c r="BG912" s="24" t="str">
        <f t="shared" si="96"/>
        <v/>
      </c>
      <c r="BH912" s="24" t="str">
        <f t="shared" si="95"/>
        <v/>
      </c>
      <c r="BI912" s="24">
        <f t="shared" si="96"/>
        <v>1</v>
      </c>
      <c r="BJ912" s="24" t="str">
        <f t="shared" si="90"/>
        <v/>
      </c>
    </row>
    <row r="913" spans="1:62" ht="15" customHeight="1" x14ac:dyDescent="0.25">
      <c r="A913" t="str">
        <f>"1003062183"</f>
        <v>1003062183</v>
      </c>
      <c r="B913" t="str">
        <f>"04072840"</f>
        <v>04072840</v>
      </c>
      <c r="C913" t="s">
        <v>6811</v>
      </c>
      <c r="D913" t="s">
        <v>7092</v>
      </c>
      <c r="E913" t="s">
        <v>6951</v>
      </c>
      <c r="G913" t="s">
        <v>1352</v>
      </c>
      <c r="H913" t="s">
        <v>1301</v>
      </c>
      <c r="J913" t="s">
        <v>1354</v>
      </c>
      <c r="L913" t="s">
        <v>6867</v>
      </c>
      <c r="M913" t="s">
        <v>108</v>
      </c>
      <c r="R913" t="s">
        <v>6811</v>
      </c>
      <c r="W913" t="s">
        <v>6951</v>
      </c>
      <c r="X913" t="s">
        <v>3766</v>
      </c>
      <c r="Y913" t="s">
        <v>239</v>
      </c>
      <c r="Z913" t="s">
        <v>111</v>
      </c>
      <c r="AA913" t="str">
        <f>"13045-1226"</f>
        <v>13045-1226</v>
      </c>
      <c r="AB913" t="s">
        <v>123</v>
      </c>
      <c r="AC913" t="s">
        <v>113</v>
      </c>
      <c r="AD913" t="s">
        <v>108</v>
      </c>
      <c r="AE913" t="s">
        <v>114</v>
      </c>
      <c r="AF913" t="s">
        <v>142</v>
      </c>
      <c r="AG913" t="s">
        <v>116</v>
      </c>
      <c r="AK913" t="str">
        <f t="shared" si="94"/>
        <v>MEZU-PATEL NGOZI DR.</v>
      </c>
      <c r="AL913" t="s">
        <v>7092</v>
      </c>
      <c r="AM913" t="s">
        <v>108</v>
      </c>
      <c r="AN913" t="s">
        <v>108</v>
      </c>
      <c r="AO913" t="s">
        <v>108</v>
      </c>
      <c r="AP913" t="s">
        <v>108</v>
      </c>
      <c r="AQ913" t="s">
        <v>108</v>
      </c>
      <c r="AR913" t="s">
        <v>108</v>
      </c>
      <c r="AS913" t="s">
        <v>108</v>
      </c>
      <c r="AT913" t="s">
        <v>108</v>
      </c>
      <c r="AU913">
        <v>0</v>
      </c>
      <c r="AV913" t="s">
        <v>108</v>
      </c>
      <c r="AW913" t="s">
        <v>108</v>
      </c>
      <c r="AX913" s="24">
        <f t="shared" si="92"/>
        <v>1</v>
      </c>
      <c r="AY913" s="24">
        <f t="shared" si="92"/>
        <v>1</v>
      </c>
      <c r="AZ913" s="24" t="str">
        <f t="shared" si="96"/>
        <v/>
      </c>
      <c r="BA913" s="24" t="str">
        <f t="shared" si="96"/>
        <v/>
      </c>
      <c r="BB913" s="24" t="str">
        <f t="shared" si="96"/>
        <v/>
      </c>
      <c r="BC913" s="24" t="str">
        <f t="shared" si="96"/>
        <v/>
      </c>
      <c r="BD913" s="24" t="str">
        <f t="shared" si="96"/>
        <v/>
      </c>
      <c r="BE913" s="24" t="str">
        <f t="shared" si="96"/>
        <v/>
      </c>
      <c r="BF913" s="24" t="str">
        <f t="shared" si="96"/>
        <v/>
      </c>
      <c r="BG913" s="24" t="str">
        <f t="shared" si="96"/>
        <v/>
      </c>
      <c r="BH913" s="24" t="str">
        <f t="shared" si="95"/>
        <v/>
      </c>
      <c r="BI913" s="24">
        <f t="shared" si="96"/>
        <v>1</v>
      </c>
      <c r="BJ913" s="24" t="str">
        <f t="shared" si="90"/>
        <v/>
      </c>
    </row>
    <row r="914" spans="1:62" ht="15" customHeight="1" x14ac:dyDescent="0.25">
      <c r="A914" t="str">
        <f>"1700808193"</f>
        <v>1700808193</v>
      </c>
      <c r="B914" t="str">
        <f>"03085494"</f>
        <v>03085494</v>
      </c>
      <c r="C914" t="s">
        <v>650</v>
      </c>
      <c r="D914" t="s">
        <v>651</v>
      </c>
      <c r="E914" t="s">
        <v>652</v>
      </c>
      <c r="G914" t="s">
        <v>638</v>
      </c>
      <c r="H914" t="s">
        <v>639</v>
      </c>
      <c r="J914" t="s">
        <v>653</v>
      </c>
      <c r="L914" t="s">
        <v>247</v>
      </c>
      <c r="M914" t="s">
        <v>108</v>
      </c>
      <c r="R914" t="s">
        <v>654</v>
      </c>
      <c r="W914" t="s">
        <v>652</v>
      </c>
      <c r="X914" t="s">
        <v>655</v>
      </c>
      <c r="Y914" t="s">
        <v>239</v>
      </c>
      <c r="Z914" t="s">
        <v>111</v>
      </c>
      <c r="AA914" t="str">
        <f>"13045-1651"</f>
        <v>13045-1651</v>
      </c>
      <c r="AB914" t="s">
        <v>123</v>
      </c>
      <c r="AC914" t="s">
        <v>113</v>
      </c>
      <c r="AD914" t="s">
        <v>108</v>
      </c>
      <c r="AE914" t="s">
        <v>114</v>
      </c>
      <c r="AF914" t="s">
        <v>142</v>
      </c>
      <c r="AG914" t="s">
        <v>116</v>
      </c>
      <c r="AK914" t="str">
        <f t="shared" si="94"/>
        <v/>
      </c>
      <c r="AL914" t="s">
        <v>651</v>
      </c>
      <c r="AM914">
        <v>0</v>
      </c>
      <c r="AN914">
        <v>0</v>
      </c>
      <c r="AO914">
        <v>0</v>
      </c>
      <c r="AP914">
        <v>0</v>
      </c>
      <c r="AQ914">
        <v>0</v>
      </c>
      <c r="AR914">
        <v>0</v>
      </c>
      <c r="AS914">
        <v>0</v>
      </c>
      <c r="AT914">
        <v>0</v>
      </c>
      <c r="AU914">
        <v>0</v>
      </c>
      <c r="AV914">
        <v>0</v>
      </c>
      <c r="AW914">
        <v>0</v>
      </c>
      <c r="AX914" s="24" t="str">
        <f t="shared" si="92"/>
        <v/>
      </c>
      <c r="AY914" s="24">
        <f t="shared" si="92"/>
        <v>1</v>
      </c>
      <c r="AZ914" s="24" t="str">
        <f t="shared" si="96"/>
        <v/>
      </c>
      <c r="BA914" s="24" t="str">
        <f t="shared" si="96"/>
        <v/>
      </c>
      <c r="BB914" s="24" t="str">
        <f t="shared" si="96"/>
        <v/>
      </c>
      <c r="BC914" s="24" t="str">
        <f t="shared" si="96"/>
        <v/>
      </c>
      <c r="BD914" s="24" t="str">
        <f t="shared" si="96"/>
        <v/>
      </c>
      <c r="BE914" s="24" t="str">
        <f t="shared" si="96"/>
        <v/>
      </c>
      <c r="BF914" s="24" t="str">
        <f t="shared" si="96"/>
        <v/>
      </c>
      <c r="BG914" s="24" t="str">
        <f t="shared" si="96"/>
        <v/>
      </c>
      <c r="BH914" s="24" t="str">
        <f t="shared" si="95"/>
        <v/>
      </c>
      <c r="BI914" s="24" t="str">
        <f t="shared" si="96"/>
        <v/>
      </c>
      <c r="BJ914" s="24" t="str">
        <f t="shared" ref="BJ914:BJ977" si="97">IF(ISERROR(FIND(BJ$1,$L914,1)),"",1)</f>
        <v/>
      </c>
    </row>
    <row r="915" spans="1:62" ht="15" customHeight="1" x14ac:dyDescent="0.25">
      <c r="A915" t="str">
        <f>"1639244205"</f>
        <v>1639244205</v>
      </c>
      <c r="B915" t="str">
        <f>"00395666"</f>
        <v>00395666</v>
      </c>
      <c r="C915" t="s">
        <v>3594</v>
      </c>
      <c r="D915" t="s">
        <v>3595</v>
      </c>
      <c r="E915" t="s">
        <v>3596</v>
      </c>
      <c r="G915" t="s">
        <v>2412</v>
      </c>
      <c r="H915" t="s">
        <v>2413</v>
      </c>
      <c r="I915">
        <v>2359</v>
      </c>
      <c r="J915" t="s">
        <v>3597</v>
      </c>
      <c r="L915" t="s">
        <v>120</v>
      </c>
      <c r="M915" t="s">
        <v>108</v>
      </c>
      <c r="R915" t="s">
        <v>3598</v>
      </c>
      <c r="W915" t="s">
        <v>3596</v>
      </c>
      <c r="X915" t="s">
        <v>3599</v>
      </c>
      <c r="Y915" t="s">
        <v>1655</v>
      </c>
      <c r="Z915" t="s">
        <v>111</v>
      </c>
      <c r="AA915" t="str">
        <f>"14865"</f>
        <v>14865</v>
      </c>
      <c r="AB915" t="s">
        <v>123</v>
      </c>
      <c r="AC915" t="s">
        <v>113</v>
      </c>
      <c r="AD915" t="s">
        <v>108</v>
      </c>
      <c r="AE915" t="s">
        <v>114</v>
      </c>
      <c r="AF915" t="s">
        <v>142</v>
      </c>
      <c r="AG915" t="s">
        <v>116</v>
      </c>
      <c r="AK915" t="str">
        <f t="shared" si="94"/>
        <v/>
      </c>
      <c r="AL915" t="s">
        <v>3595</v>
      </c>
      <c r="AM915">
        <v>0</v>
      </c>
      <c r="AN915">
        <v>0</v>
      </c>
      <c r="AO915">
        <v>0</v>
      </c>
      <c r="AP915">
        <v>0</v>
      </c>
      <c r="AQ915">
        <v>0</v>
      </c>
      <c r="AR915">
        <v>0</v>
      </c>
      <c r="AS915">
        <v>0</v>
      </c>
      <c r="AT915">
        <v>0</v>
      </c>
      <c r="AU915">
        <v>0</v>
      </c>
      <c r="AV915">
        <v>0</v>
      </c>
      <c r="AW915">
        <v>0</v>
      </c>
      <c r="AX915" s="24">
        <f t="shared" si="92"/>
        <v>1</v>
      </c>
      <c r="AY915" s="24" t="str">
        <f t="shared" si="92"/>
        <v/>
      </c>
      <c r="AZ915" s="24" t="str">
        <f t="shared" si="96"/>
        <v/>
      </c>
      <c r="BA915" s="24" t="str">
        <f t="shared" si="96"/>
        <v/>
      </c>
      <c r="BB915" s="24" t="str">
        <f t="shared" si="96"/>
        <v/>
      </c>
      <c r="BC915" s="24" t="str">
        <f t="shared" si="96"/>
        <v/>
      </c>
      <c r="BD915" s="24" t="str">
        <f t="shared" si="96"/>
        <v/>
      </c>
      <c r="BE915" s="24" t="str">
        <f t="shared" si="96"/>
        <v/>
      </c>
      <c r="BF915" s="24" t="str">
        <f t="shared" si="96"/>
        <v/>
      </c>
      <c r="BG915" s="24" t="str">
        <f t="shared" si="96"/>
        <v/>
      </c>
      <c r="BH915" s="24" t="str">
        <f t="shared" si="95"/>
        <v/>
      </c>
      <c r="BI915" s="24">
        <f t="shared" si="96"/>
        <v>1</v>
      </c>
      <c r="BJ915" s="24" t="str">
        <f t="shared" si="97"/>
        <v/>
      </c>
    </row>
    <row r="916" spans="1:62" ht="15" customHeight="1" x14ac:dyDescent="0.25">
      <c r="A916" t="str">
        <f>"1497745434"</f>
        <v>1497745434</v>
      </c>
      <c r="B916" t="str">
        <f>"01654246"</f>
        <v>01654246</v>
      </c>
      <c r="C916" t="s">
        <v>4818</v>
      </c>
      <c r="D916" t="s">
        <v>4819</v>
      </c>
      <c r="E916" t="s">
        <v>4820</v>
      </c>
      <c r="G916" t="s">
        <v>4818</v>
      </c>
      <c r="H916" t="s">
        <v>403</v>
      </c>
      <c r="J916" t="s">
        <v>4821</v>
      </c>
      <c r="L916" t="s">
        <v>138</v>
      </c>
      <c r="M916" t="s">
        <v>108</v>
      </c>
      <c r="R916" t="s">
        <v>4822</v>
      </c>
      <c r="W916" t="s">
        <v>4820</v>
      </c>
      <c r="X916" t="s">
        <v>4823</v>
      </c>
      <c r="Y916" t="s">
        <v>4824</v>
      </c>
      <c r="Z916" t="s">
        <v>182</v>
      </c>
      <c r="AA916" t="str">
        <f>"16407-1152"</f>
        <v>16407-1152</v>
      </c>
      <c r="AB916" t="s">
        <v>123</v>
      </c>
      <c r="AC916" t="s">
        <v>113</v>
      </c>
      <c r="AD916" t="s">
        <v>108</v>
      </c>
      <c r="AE916" t="s">
        <v>114</v>
      </c>
      <c r="AF916" t="s">
        <v>115</v>
      </c>
      <c r="AG916" t="s">
        <v>116</v>
      </c>
      <c r="AK916" t="str">
        <f t="shared" si="94"/>
        <v/>
      </c>
      <c r="AL916" t="s">
        <v>4819</v>
      </c>
      <c r="AM916">
        <v>0</v>
      </c>
      <c r="AN916">
        <v>0</v>
      </c>
      <c r="AO916">
        <v>0</v>
      </c>
      <c r="AP916">
        <v>0</v>
      </c>
      <c r="AQ916">
        <v>0</v>
      </c>
      <c r="AR916">
        <v>0</v>
      </c>
      <c r="AS916">
        <v>0</v>
      </c>
      <c r="AT916">
        <v>0</v>
      </c>
      <c r="AU916">
        <v>0</v>
      </c>
      <c r="AV916">
        <v>0</v>
      </c>
      <c r="AW916">
        <v>0</v>
      </c>
      <c r="AX916" s="24" t="str">
        <f t="shared" si="92"/>
        <v/>
      </c>
      <c r="AY916" s="24">
        <f t="shared" si="92"/>
        <v>1</v>
      </c>
      <c r="AZ916" s="24" t="str">
        <f t="shared" si="96"/>
        <v/>
      </c>
      <c r="BA916" s="24" t="str">
        <f t="shared" si="96"/>
        <v/>
      </c>
      <c r="BB916" s="24" t="str">
        <f t="shared" si="96"/>
        <v/>
      </c>
      <c r="BC916" s="24" t="str">
        <f t="shared" si="96"/>
        <v/>
      </c>
      <c r="BD916" s="24" t="str">
        <f t="shared" si="96"/>
        <v/>
      </c>
      <c r="BE916" s="24" t="str">
        <f t="shared" si="96"/>
        <v/>
      </c>
      <c r="BF916" s="24" t="str">
        <f t="shared" si="96"/>
        <v/>
      </c>
      <c r="BG916" s="24" t="str">
        <f t="shared" si="96"/>
        <v/>
      </c>
      <c r="BH916" s="24" t="str">
        <f t="shared" si="95"/>
        <v/>
      </c>
      <c r="BI916" s="24">
        <f t="shared" si="96"/>
        <v>1</v>
      </c>
      <c r="BJ916" s="24" t="str">
        <f t="shared" si="97"/>
        <v/>
      </c>
    </row>
    <row r="917" spans="1:62" ht="15" customHeight="1" x14ac:dyDescent="0.25">
      <c r="A917" t="str">
        <f>"1669698486"</f>
        <v>1669698486</v>
      </c>
      <c r="B917" t="str">
        <f>"02868266"</f>
        <v>02868266</v>
      </c>
      <c r="C917" t="s">
        <v>3634</v>
      </c>
      <c r="D917" t="s">
        <v>3635</v>
      </c>
      <c r="E917" t="s">
        <v>3636</v>
      </c>
      <c r="G917" t="s">
        <v>229</v>
      </c>
      <c r="H917" t="s">
        <v>230</v>
      </c>
      <c r="J917" t="s">
        <v>231</v>
      </c>
      <c r="L917" t="s">
        <v>247</v>
      </c>
      <c r="M917" t="s">
        <v>108</v>
      </c>
      <c r="R917" t="s">
        <v>3637</v>
      </c>
      <c r="W917" t="s">
        <v>3636</v>
      </c>
      <c r="X917" t="s">
        <v>238</v>
      </c>
      <c r="Y917" t="s">
        <v>239</v>
      </c>
      <c r="Z917" t="s">
        <v>111</v>
      </c>
      <c r="AA917" t="str">
        <f>"13045-1206"</f>
        <v>13045-1206</v>
      </c>
      <c r="AB917" t="s">
        <v>123</v>
      </c>
      <c r="AC917" t="s">
        <v>113</v>
      </c>
      <c r="AD917" t="s">
        <v>108</v>
      </c>
      <c r="AE917" t="s">
        <v>114</v>
      </c>
      <c r="AF917" t="s">
        <v>142</v>
      </c>
      <c r="AG917" t="s">
        <v>116</v>
      </c>
      <c r="AK917" t="str">
        <f t="shared" si="94"/>
        <v/>
      </c>
      <c r="AL917" t="s">
        <v>3635</v>
      </c>
      <c r="AM917">
        <v>0</v>
      </c>
      <c r="AN917">
        <v>0</v>
      </c>
      <c r="AO917">
        <v>0</v>
      </c>
      <c r="AP917">
        <v>0</v>
      </c>
      <c r="AQ917">
        <v>0</v>
      </c>
      <c r="AR917">
        <v>0</v>
      </c>
      <c r="AS917">
        <v>0</v>
      </c>
      <c r="AT917">
        <v>0</v>
      </c>
      <c r="AU917">
        <v>0</v>
      </c>
      <c r="AV917">
        <v>0</v>
      </c>
      <c r="AW917">
        <v>0</v>
      </c>
      <c r="AX917" s="24" t="str">
        <f t="shared" si="92"/>
        <v/>
      </c>
      <c r="AY917" s="24">
        <f t="shared" si="92"/>
        <v>1</v>
      </c>
      <c r="AZ917" s="24" t="str">
        <f t="shared" si="96"/>
        <v/>
      </c>
      <c r="BA917" s="24" t="str">
        <f t="shared" si="96"/>
        <v/>
      </c>
      <c r="BB917" s="24" t="str">
        <f t="shared" si="96"/>
        <v/>
      </c>
      <c r="BC917" s="24" t="str">
        <f t="shared" si="96"/>
        <v/>
      </c>
      <c r="BD917" s="24" t="str">
        <f t="shared" si="96"/>
        <v/>
      </c>
      <c r="BE917" s="24" t="str">
        <f t="shared" si="96"/>
        <v/>
      </c>
      <c r="BF917" s="24" t="str">
        <f t="shared" si="96"/>
        <v/>
      </c>
      <c r="BG917" s="24" t="str">
        <f t="shared" si="96"/>
        <v/>
      </c>
      <c r="BH917" s="24" t="str">
        <f t="shared" si="95"/>
        <v/>
      </c>
      <c r="BI917" s="24" t="str">
        <f t="shared" si="96"/>
        <v/>
      </c>
      <c r="BJ917" s="24" t="str">
        <f t="shared" si="97"/>
        <v/>
      </c>
    </row>
    <row r="918" spans="1:62" ht="15" customHeight="1" x14ac:dyDescent="0.25">
      <c r="A918" t="str">
        <f>"1871507905"</f>
        <v>1871507905</v>
      </c>
      <c r="B918" t="str">
        <f>"02266791"</f>
        <v>02266791</v>
      </c>
      <c r="C918" t="s">
        <v>5357</v>
      </c>
      <c r="D918" t="s">
        <v>5358</v>
      </c>
      <c r="E918" t="s">
        <v>5359</v>
      </c>
      <c r="G918" t="s">
        <v>2412</v>
      </c>
      <c r="H918" t="s">
        <v>2413</v>
      </c>
      <c r="I918">
        <v>2359</v>
      </c>
      <c r="J918" t="s">
        <v>5360</v>
      </c>
      <c r="L918" t="s">
        <v>247</v>
      </c>
      <c r="M918" t="s">
        <v>108</v>
      </c>
      <c r="R918" t="s">
        <v>5361</v>
      </c>
      <c r="W918" t="s">
        <v>5359</v>
      </c>
      <c r="X918" t="s">
        <v>2097</v>
      </c>
      <c r="Y918" t="s">
        <v>927</v>
      </c>
      <c r="Z918" t="s">
        <v>111</v>
      </c>
      <c r="AA918" t="str">
        <f>"14905-1629"</f>
        <v>14905-1629</v>
      </c>
      <c r="AB918" t="s">
        <v>123</v>
      </c>
      <c r="AC918" t="s">
        <v>113</v>
      </c>
      <c r="AD918" t="s">
        <v>108</v>
      </c>
      <c r="AE918" t="s">
        <v>114</v>
      </c>
      <c r="AF918" t="s">
        <v>149</v>
      </c>
      <c r="AG918" t="s">
        <v>116</v>
      </c>
      <c r="AK918" t="str">
        <f t="shared" si="94"/>
        <v/>
      </c>
      <c r="AL918" t="s">
        <v>5358</v>
      </c>
      <c r="AM918">
        <v>1</v>
      </c>
      <c r="AN918">
        <v>1</v>
      </c>
      <c r="AO918">
        <v>0</v>
      </c>
      <c r="AP918">
        <v>0</v>
      </c>
      <c r="AQ918">
        <v>0</v>
      </c>
      <c r="AR918">
        <v>0</v>
      </c>
      <c r="AS918">
        <v>0</v>
      </c>
      <c r="AT918">
        <v>0</v>
      </c>
      <c r="AU918">
        <v>0</v>
      </c>
      <c r="AV918">
        <v>0</v>
      </c>
      <c r="AW918">
        <v>0</v>
      </c>
      <c r="AX918" s="24" t="str">
        <f t="shared" si="92"/>
        <v/>
      </c>
      <c r="AY918" s="24">
        <f t="shared" si="92"/>
        <v>1</v>
      </c>
      <c r="AZ918" s="24" t="str">
        <f t="shared" si="96"/>
        <v/>
      </c>
      <c r="BA918" s="24" t="str">
        <f t="shared" si="96"/>
        <v/>
      </c>
      <c r="BB918" s="24" t="str">
        <f t="shared" si="96"/>
        <v/>
      </c>
      <c r="BC918" s="24" t="str">
        <f t="shared" si="96"/>
        <v/>
      </c>
      <c r="BD918" s="24" t="str">
        <f t="shared" si="96"/>
        <v/>
      </c>
      <c r="BE918" s="24" t="str">
        <f t="shared" si="96"/>
        <v/>
      </c>
      <c r="BF918" s="24" t="str">
        <f t="shared" si="96"/>
        <v/>
      </c>
      <c r="BG918" s="24" t="str">
        <f t="shared" si="96"/>
        <v/>
      </c>
      <c r="BH918" s="24" t="str">
        <f t="shared" si="95"/>
        <v/>
      </c>
      <c r="BI918" s="24" t="str">
        <f t="shared" si="96"/>
        <v/>
      </c>
      <c r="BJ918" s="24" t="str">
        <f t="shared" si="97"/>
        <v/>
      </c>
    </row>
    <row r="919" spans="1:62" ht="15" customHeight="1" x14ac:dyDescent="0.25">
      <c r="A919" t="str">
        <f>"1609890078"</f>
        <v>1609890078</v>
      </c>
      <c r="B919" t="str">
        <f>"00837334"</f>
        <v>00837334</v>
      </c>
      <c r="C919" t="s">
        <v>5476</v>
      </c>
      <c r="D919" t="s">
        <v>5477</v>
      </c>
      <c r="E919" t="s">
        <v>5478</v>
      </c>
      <c r="G919" t="s">
        <v>5476</v>
      </c>
      <c r="H919" t="s">
        <v>403</v>
      </c>
      <c r="J919" t="s">
        <v>5479</v>
      </c>
      <c r="L919" t="s">
        <v>247</v>
      </c>
      <c r="M919" t="s">
        <v>108</v>
      </c>
      <c r="R919" t="s">
        <v>5480</v>
      </c>
      <c r="W919" t="s">
        <v>5481</v>
      </c>
      <c r="X919" t="s">
        <v>5482</v>
      </c>
      <c r="Y919" t="s">
        <v>110</v>
      </c>
      <c r="Z919" t="s">
        <v>111</v>
      </c>
      <c r="AA919" t="str">
        <f>"13903"</f>
        <v>13903</v>
      </c>
      <c r="AB919" t="s">
        <v>123</v>
      </c>
      <c r="AC919" t="s">
        <v>113</v>
      </c>
      <c r="AD919" t="s">
        <v>108</v>
      </c>
      <c r="AE919" t="s">
        <v>114</v>
      </c>
      <c r="AF919" t="s">
        <v>115</v>
      </c>
      <c r="AG919" t="s">
        <v>116</v>
      </c>
      <c r="AK919" t="str">
        <f t="shared" si="94"/>
        <v/>
      </c>
      <c r="AL919" t="s">
        <v>5477</v>
      </c>
      <c r="AM919">
        <v>0</v>
      </c>
      <c r="AN919">
        <v>0</v>
      </c>
      <c r="AO919">
        <v>0</v>
      </c>
      <c r="AP919">
        <v>0</v>
      </c>
      <c r="AQ919">
        <v>0</v>
      </c>
      <c r="AR919">
        <v>0</v>
      </c>
      <c r="AS919">
        <v>0</v>
      </c>
      <c r="AT919">
        <v>0</v>
      </c>
      <c r="AU919">
        <v>0</v>
      </c>
      <c r="AV919">
        <v>0</v>
      </c>
      <c r="AW919">
        <v>0</v>
      </c>
      <c r="AX919" s="24" t="str">
        <f t="shared" si="92"/>
        <v/>
      </c>
      <c r="AY919" s="24">
        <f t="shared" si="92"/>
        <v>1</v>
      </c>
      <c r="AZ919" s="24" t="str">
        <f t="shared" si="96"/>
        <v/>
      </c>
      <c r="BA919" s="24" t="str">
        <f t="shared" si="96"/>
        <v/>
      </c>
      <c r="BB919" s="24" t="str">
        <f t="shared" si="96"/>
        <v/>
      </c>
      <c r="BC919" s="24" t="str">
        <f t="shared" si="96"/>
        <v/>
      </c>
      <c r="BD919" s="24" t="str">
        <f t="shared" si="96"/>
        <v/>
      </c>
      <c r="BE919" s="24" t="str">
        <f t="shared" si="96"/>
        <v/>
      </c>
      <c r="BF919" s="24" t="str">
        <f t="shared" si="96"/>
        <v/>
      </c>
      <c r="BG919" s="24" t="str">
        <f t="shared" si="96"/>
        <v/>
      </c>
      <c r="BH919" s="24" t="str">
        <f t="shared" si="95"/>
        <v/>
      </c>
      <c r="BI919" s="24" t="str">
        <f t="shared" si="96"/>
        <v/>
      </c>
      <c r="BJ919" s="24" t="str">
        <f t="shared" si="97"/>
        <v/>
      </c>
    </row>
    <row r="920" spans="1:62" ht="15" customHeight="1" x14ac:dyDescent="0.25">
      <c r="A920" t="str">
        <f>"1861450694"</f>
        <v>1861450694</v>
      </c>
      <c r="B920" t="str">
        <f>"02153193"</f>
        <v>02153193</v>
      </c>
      <c r="C920" t="s">
        <v>2979</v>
      </c>
      <c r="D920" t="s">
        <v>2980</v>
      </c>
      <c r="E920" t="s">
        <v>2981</v>
      </c>
      <c r="G920" t="s">
        <v>2420</v>
      </c>
      <c r="H920" t="s">
        <v>2421</v>
      </c>
      <c r="J920" t="s">
        <v>2982</v>
      </c>
      <c r="L920" t="s">
        <v>247</v>
      </c>
      <c r="M920" t="s">
        <v>139</v>
      </c>
      <c r="R920" t="s">
        <v>2983</v>
      </c>
      <c r="W920" t="s">
        <v>2981</v>
      </c>
      <c r="X920" t="s">
        <v>2984</v>
      </c>
      <c r="Y920" t="s">
        <v>141</v>
      </c>
      <c r="Z920" t="s">
        <v>111</v>
      </c>
      <c r="AA920" t="str">
        <f>"13210-2342"</f>
        <v>13210-2342</v>
      </c>
      <c r="AB920" t="s">
        <v>123</v>
      </c>
      <c r="AC920" t="s">
        <v>113</v>
      </c>
      <c r="AD920" t="s">
        <v>108</v>
      </c>
      <c r="AE920" t="s">
        <v>114</v>
      </c>
      <c r="AF920" t="s">
        <v>142</v>
      </c>
      <c r="AG920" t="s">
        <v>116</v>
      </c>
      <c r="AK920" t="str">
        <f t="shared" si="94"/>
        <v/>
      </c>
      <c r="AL920" t="s">
        <v>2980</v>
      </c>
      <c r="AM920">
        <v>0</v>
      </c>
      <c r="AN920">
        <v>0</v>
      </c>
      <c r="AO920">
        <v>0</v>
      </c>
      <c r="AP920">
        <v>0</v>
      </c>
      <c r="AQ920">
        <v>0</v>
      </c>
      <c r="AR920">
        <v>0</v>
      </c>
      <c r="AS920">
        <v>0</v>
      </c>
      <c r="AT920">
        <v>0</v>
      </c>
      <c r="AU920">
        <v>0</v>
      </c>
      <c r="AV920">
        <v>0</v>
      </c>
      <c r="AW920">
        <v>0</v>
      </c>
      <c r="AX920" s="24" t="str">
        <f t="shared" si="92"/>
        <v/>
      </c>
      <c r="AY920" s="24">
        <f t="shared" si="92"/>
        <v>1</v>
      </c>
      <c r="AZ920" s="24" t="str">
        <f t="shared" si="96"/>
        <v/>
      </c>
      <c r="BA920" s="24" t="str">
        <f t="shared" si="96"/>
        <v/>
      </c>
      <c r="BB920" s="24" t="str">
        <f t="shared" si="96"/>
        <v/>
      </c>
      <c r="BC920" s="24" t="str">
        <f t="shared" si="96"/>
        <v/>
      </c>
      <c r="BD920" s="24" t="str">
        <f t="shared" si="96"/>
        <v/>
      </c>
      <c r="BE920" s="24" t="str">
        <f t="shared" si="96"/>
        <v/>
      </c>
      <c r="BF920" s="24" t="str">
        <f t="shared" si="96"/>
        <v/>
      </c>
      <c r="BG920" s="24" t="str">
        <f t="shared" si="96"/>
        <v/>
      </c>
      <c r="BH920" s="24" t="str">
        <f t="shared" si="95"/>
        <v/>
      </c>
      <c r="BI920" s="24" t="str">
        <f t="shared" si="96"/>
        <v/>
      </c>
      <c r="BJ920" s="24" t="str">
        <f t="shared" si="97"/>
        <v/>
      </c>
    </row>
    <row r="921" spans="1:62" ht="15" customHeight="1" x14ac:dyDescent="0.25">
      <c r="A921" t="str">
        <f>"1861567661"</f>
        <v>1861567661</v>
      </c>
      <c r="B921" t="str">
        <f>"03400415"</f>
        <v>03400415</v>
      </c>
      <c r="C921" t="s">
        <v>3236</v>
      </c>
      <c r="D921" t="s">
        <v>3237</v>
      </c>
      <c r="E921" t="s">
        <v>3238</v>
      </c>
      <c r="G921" t="s">
        <v>3207</v>
      </c>
      <c r="H921" t="s">
        <v>3208</v>
      </c>
      <c r="J921" t="s">
        <v>3239</v>
      </c>
      <c r="L921" t="s">
        <v>138</v>
      </c>
      <c r="M921" t="s">
        <v>108</v>
      </c>
      <c r="R921" t="s">
        <v>3240</v>
      </c>
      <c r="W921" t="s">
        <v>3241</v>
      </c>
      <c r="X921" t="s">
        <v>3211</v>
      </c>
      <c r="Y921" t="s">
        <v>293</v>
      </c>
      <c r="Z921" t="s">
        <v>111</v>
      </c>
      <c r="AA921" t="str">
        <f>"14850-1397"</f>
        <v>14850-1397</v>
      </c>
      <c r="AB921" t="s">
        <v>123</v>
      </c>
      <c r="AC921" t="s">
        <v>113</v>
      </c>
      <c r="AD921" t="s">
        <v>108</v>
      </c>
      <c r="AE921" t="s">
        <v>114</v>
      </c>
      <c r="AF921" t="s">
        <v>142</v>
      </c>
      <c r="AG921" t="s">
        <v>116</v>
      </c>
      <c r="AK921" t="str">
        <f t="shared" si="94"/>
        <v/>
      </c>
      <c r="AL921" t="s">
        <v>3237</v>
      </c>
      <c r="AM921">
        <v>1</v>
      </c>
      <c r="AN921">
        <v>1</v>
      </c>
      <c r="AO921">
        <v>0</v>
      </c>
      <c r="AP921">
        <v>0</v>
      </c>
      <c r="AQ921">
        <v>0</v>
      </c>
      <c r="AR921">
        <v>0</v>
      </c>
      <c r="AS921">
        <v>0</v>
      </c>
      <c r="AT921">
        <v>0</v>
      </c>
      <c r="AU921">
        <v>0</v>
      </c>
      <c r="AV921">
        <v>0</v>
      </c>
      <c r="AW921">
        <v>0</v>
      </c>
      <c r="AX921" s="24" t="str">
        <f t="shared" si="92"/>
        <v/>
      </c>
      <c r="AY921" s="24">
        <f t="shared" si="92"/>
        <v>1</v>
      </c>
      <c r="AZ921" s="24" t="str">
        <f t="shared" si="96"/>
        <v/>
      </c>
      <c r="BA921" s="24" t="str">
        <f t="shared" si="96"/>
        <v/>
      </c>
      <c r="BB921" s="24" t="str">
        <f t="shared" si="96"/>
        <v/>
      </c>
      <c r="BC921" s="24" t="str">
        <f t="shared" si="96"/>
        <v/>
      </c>
      <c r="BD921" s="24" t="str">
        <f t="shared" si="96"/>
        <v/>
      </c>
      <c r="BE921" s="24" t="str">
        <f t="shared" si="96"/>
        <v/>
      </c>
      <c r="BF921" s="24" t="str">
        <f t="shared" si="96"/>
        <v/>
      </c>
      <c r="BG921" s="24" t="str">
        <f t="shared" si="96"/>
        <v/>
      </c>
      <c r="BH921" s="24" t="str">
        <f t="shared" si="95"/>
        <v/>
      </c>
      <c r="BI921" s="24">
        <f t="shared" si="96"/>
        <v>1</v>
      </c>
      <c r="BJ921" s="24" t="str">
        <f t="shared" si="97"/>
        <v/>
      </c>
    </row>
    <row r="922" spans="1:62" ht="15" customHeight="1" x14ac:dyDescent="0.25">
      <c r="A922" t="str">
        <f>"1063583847"</f>
        <v>1063583847</v>
      </c>
      <c r="B922" t="str">
        <f>"01790376"</f>
        <v>01790376</v>
      </c>
      <c r="C922" t="s">
        <v>5956</v>
      </c>
      <c r="D922" t="s">
        <v>5957</v>
      </c>
      <c r="E922" t="s">
        <v>5958</v>
      </c>
      <c r="G922" t="s">
        <v>815</v>
      </c>
      <c r="H922" t="s">
        <v>816</v>
      </c>
      <c r="J922" t="s">
        <v>817</v>
      </c>
      <c r="L922" t="s">
        <v>120</v>
      </c>
      <c r="M922" t="s">
        <v>108</v>
      </c>
      <c r="R922" t="s">
        <v>5959</v>
      </c>
      <c r="W922" t="s">
        <v>5960</v>
      </c>
      <c r="X922" t="s">
        <v>5961</v>
      </c>
      <c r="Y922" t="s">
        <v>5962</v>
      </c>
      <c r="Z922" t="s">
        <v>111</v>
      </c>
      <c r="AA922" t="str">
        <f>"13778-1057"</f>
        <v>13778-1057</v>
      </c>
      <c r="AB922" t="s">
        <v>123</v>
      </c>
      <c r="AC922" t="s">
        <v>113</v>
      </c>
      <c r="AD922" t="s">
        <v>108</v>
      </c>
      <c r="AE922" t="s">
        <v>114</v>
      </c>
      <c r="AF922" t="s">
        <v>115</v>
      </c>
      <c r="AG922" t="s">
        <v>116</v>
      </c>
      <c r="AK922" t="str">
        <f t="shared" si="94"/>
        <v>Michele M. Talerico, FNP-C</v>
      </c>
      <c r="AL922" t="s">
        <v>5957</v>
      </c>
      <c r="AM922" t="s">
        <v>108</v>
      </c>
      <c r="AN922" t="s">
        <v>108</v>
      </c>
      <c r="AO922" t="s">
        <v>108</v>
      </c>
      <c r="AP922" t="s">
        <v>108</v>
      </c>
      <c r="AQ922" t="s">
        <v>108</v>
      </c>
      <c r="AR922" t="s">
        <v>108</v>
      </c>
      <c r="AS922" t="s">
        <v>108</v>
      </c>
      <c r="AT922" t="s">
        <v>108</v>
      </c>
      <c r="AU922">
        <v>0</v>
      </c>
      <c r="AV922" t="s">
        <v>108</v>
      </c>
      <c r="AW922" t="s">
        <v>108</v>
      </c>
      <c r="AX922" s="24">
        <f t="shared" si="92"/>
        <v>1</v>
      </c>
      <c r="AY922" s="24" t="str">
        <f t="shared" si="92"/>
        <v/>
      </c>
      <c r="AZ922" s="24" t="str">
        <f t="shared" si="96"/>
        <v/>
      </c>
      <c r="BA922" s="24" t="str">
        <f t="shared" si="96"/>
        <v/>
      </c>
      <c r="BB922" s="24" t="str">
        <f t="shared" si="96"/>
        <v/>
      </c>
      <c r="BC922" s="24" t="str">
        <f t="shared" si="96"/>
        <v/>
      </c>
      <c r="BD922" s="24" t="str">
        <f t="shared" si="96"/>
        <v/>
      </c>
      <c r="BE922" s="24" t="str">
        <f t="shared" si="96"/>
        <v/>
      </c>
      <c r="BF922" s="24" t="str">
        <f t="shared" si="96"/>
        <v/>
      </c>
      <c r="BG922" s="24" t="str">
        <f t="shared" si="96"/>
        <v/>
      </c>
      <c r="BH922" s="24" t="str">
        <f t="shared" si="95"/>
        <v/>
      </c>
      <c r="BI922" s="24">
        <f t="shared" si="96"/>
        <v>1</v>
      </c>
      <c r="BJ922" s="24" t="str">
        <f t="shared" si="97"/>
        <v/>
      </c>
    </row>
    <row r="923" spans="1:62" ht="15" customHeight="1" x14ac:dyDescent="0.25">
      <c r="A923" t="str">
        <f>"1285604538"</f>
        <v>1285604538</v>
      </c>
      <c r="B923" t="str">
        <f>"02659158"</f>
        <v>02659158</v>
      </c>
      <c r="C923" t="s">
        <v>3003</v>
      </c>
      <c r="D923" t="s">
        <v>3004</v>
      </c>
      <c r="E923" t="s">
        <v>3005</v>
      </c>
      <c r="G923" t="s">
        <v>2412</v>
      </c>
      <c r="H923" t="s">
        <v>2413</v>
      </c>
      <c r="I923">
        <v>2359</v>
      </c>
      <c r="J923" t="s">
        <v>3006</v>
      </c>
      <c r="L923" t="s">
        <v>247</v>
      </c>
      <c r="M923" t="s">
        <v>108</v>
      </c>
      <c r="R923" t="s">
        <v>3007</v>
      </c>
      <c r="W923" t="s">
        <v>3005</v>
      </c>
      <c r="X923" t="s">
        <v>3008</v>
      </c>
      <c r="Y923" t="s">
        <v>148</v>
      </c>
      <c r="Z923" t="s">
        <v>111</v>
      </c>
      <c r="AA923" t="str">
        <f>"14845-1709"</f>
        <v>14845-1709</v>
      </c>
      <c r="AB923" t="s">
        <v>123</v>
      </c>
      <c r="AC923" t="s">
        <v>113</v>
      </c>
      <c r="AD923" t="s">
        <v>108</v>
      </c>
      <c r="AE923" t="s">
        <v>114</v>
      </c>
      <c r="AF923" t="s">
        <v>149</v>
      </c>
      <c r="AG923" t="s">
        <v>116</v>
      </c>
      <c r="AK923" t="str">
        <f t="shared" si="94"/>
        <v/>
      </c>
      <c r="AL923" t="s">
        <v>3004</v>
      </c>
      <c r="AM923">
        <v>1</v>
      </c>
      <c r="AN923">
        <v>1</v>
      </c>
      <c r="AO923">
        <v>0</v>
      </c>
      <c r="AP923">
        <v>0</v>
      </c>
      <c r="AQ923">
        <v>0</v>
      </c>
      <c r="AR923">
        <v>0</v>
      </c>
      <c r="AS923">
        <v>0</v>
      </c>
      <c r="AT923">
        <v>0</v>
      </c>
      <c r="AU923">
        <v>0</v>
      </c>
      <c r="AV923">
        <v>0</v>
      </c>
      <c r="AW923">
        <v>0</v>
      </c>
      <c r="AX923" s="24" t="str">
        <f t="shared" si="92"/>
        <v/>
      </c>
      <c r="AY923" s="24">
        <f t="shared" si="92"/>
        <v>1</v>
      </c>
      <c r="AZ923" s="24" t="str">
        <f t="shared" si="96"/>
        <v/>
      </c>
      <c r="BA923" s="24" t="str">
        <f t="shared" si="96"/>
        <v/>
      </c>
      <c r="BB923" s="24" t="str">
        <f t="shared" si="96"/>
        <v/>
      </c>
      <c r="BC923" s="24" t="str">
        <f t="shared" si="96"/>
        <v/>
      </c>
      <c r="BD923" s="24" t="str">
        <f t="shared" si="96"/>
        <v/>
      </c>
      <c r="BE923" s="24" t="str">
        <f t="shared" si="96"/>
        <v/>
      </c>
      <c r="BF923" s="24" t="str">
        <f t="shared" si="96"/>
        <v/>
      </c>
      <c r="BG923" s="24" t="str">
        <f t="shared" si="96"/>
        <v/>
      </c>
      <c r="BH923" s="24" t="str">
        <f t="shared" si="95"/>
        <v/>
      </c>
      <c r="BI923" s="24" t="str">
        <f t="shared" si="96"/>
        <v/>
      </c>
      <c r="BJ923" s="24" t="str">
        <f t="shared" si="97"/>
        <v/>
      </c>
    </row>
    <row r="924" spans="1:62" ht="15" customHeight="1" x14ac:dyDescent="0.25">
      <c r="A924" t="str">
        <f>"1053309484"</f>
        <v>1053309484</v>
      </c>
      <c r="B924" t="str">
        <f>"02164116"</f>
        <v>02164116</v>
      </c>
      <c r="C924" t="s">
        <v>3803</v>
      </c>
      <c r="D924" t="s">
        <v>3804</v>
      </c>
      <c r="E924" t="s">
        <v>3805</v>
      </c>
      <c r="G924" t="s">
        <v>2363</v>
      </c>
      <c r="H924" t="s">
        <v>2364</v>
      </c>
      <c r="J924" t="s">
        <v>3806</v>
      </c>
      <c r="L924" t="s">
        <v>120</v>
      </c>
      <c r="M924" t="s">
        <v>108</v>
      </c>
      <c r="R924" t="s">
        <v>3807</v>
      </c>
      <c r="W924" t="s">
        <v>3805</v>
      </c>
      <c r="X924" t="s">
        <v>2367</v>
      </c>
      <c r="Y924" t="s">
        <v>2368</v>
      </c>
      <c r="Z924" t="s">
        <v>111</v>
      </c>
      <c r="AA924" t="str">
        <f>"14886-9201"</f>
        <v>14886-9201</v>
      </c>
      <c r="AB924" t="s">
        <v>123</v>
      </c>
      <c r="AC924" t="s">
        <v>113</v>
      </c>
      <c r="AD924" t="s">
        <v>108</v>
      </c>
      <c r="AE924" t="s">
        <v>114</v>
      </c>
      <c r="AF924" t="s">
        <v>142</v>
      </c>
      <c r="AG924" t="s">
        <v>116</v>
      </c>
      <c r="AK924" t="str">
        <f t="shared" si="94"/>
        <v/>
      </c>
      <c r="AL924" t="s">
        <v>3804</v>
      </c>
      <c r="AM924">
        <v>1</v>
      </c>
      <c r="AN924">
        <v>1</v>
      </c>
      <c r="AO924">
        <v>0</v>
      </c>
      <c r="AP924">
        <v>0</v>
      </c>
      <c r="AQ924">
        <v>0</v>
      </c>
      <c r="AR924">
        <v>0</v>
      </c>
      <c r="AS924">
        <v>0</v>
      </c>
      <c r="AT924">
        <v>0</v>
      </c>
      <c r="AU924">
        <v>0</v>
      </c>
      <c r="AV924">
        <v>0</v>
      </c>
      <c r="AW924">
        <v>0</v>
      </c>
      <c r="AX924" s="24">
        <f t="shared" si="92"/>
        <v>1</v>
      </c>
      <c r="AY924" s="24" t="str">
        <f t="shared" si="92"/>
        <v/>
      </c>
      <c r="AZ924" s="24" t="str">
        <f t="shared" si="96"/>
        <v/>
      </c>
      <c r="BA924" s="24" t="str">
        <f t="shared" si="96"/>
        <v/>
      </c>
      <c r="BB924" s="24" t="str">
        <f t="shared" si="96"/>
        <v/>
      </c>
      <c r="BC924" s="24" t="str">
        <f t="shared" si="96"/>
        <v/>
      </c>
      <c r="BD924" s="24" t="str">
        <f t="shared" si="96"/>
        <v/>
      </c>
      <c r="BE924" s="24" t="str">
        <f t="shared" si="96"/>
        <v/>
      </c>
      <c r="BF924" s="24" t="str">
        <f t="shared" si="96"/>
        <v/>
      </c>
      <c r="BG924" s="24" t="str">
        <f t="shared" si="96"/>
        <v/>
      </c>
      <c r="BH924" s="24" t="str">
        <f t="shared" si="95"/>
        <v/>
      </c>
      <c r="BI924" s="24">
        <f t="shared" si="96"/>
        <v>1</v>
      </c>
      <c r="BJ924" s="24" t="str">
        <f t="shared" si="97"/>
        <v/>
      </c>
    </row>
    <row r="925" spans="1:62" ht="15" customHeight="1" x14ac:dyDescent="0.25">
      <c r="A925" t="str">
        <f>"1881914067"</f>
        <v>1881914067</v>
      </c>
      <c r="B925" t="str">
        <f>"03636913"</f>
        <v>03636913</v>
      </c>
      <c r="C925" t="s">
        <v>1662</v>
      </c>
      <c r="D925" t="s">
        <v>1663</v>
      </c>
      <c r="E925" t="s">
        <v>1664</v>
      </c>
      <c r="G925" t="s">
        <v>638</v>
      </c>
      <c r="H925" t="s">
        <v>645</v>
      </c>
      <c r="J925" t="s">
        <v>1665</v>
      </c>
      <c r="L925" t="s">
        <v>247</v>
      </c>
      <c r="M925" t="s">
        <v>108</v>
      </c>
      <c r="R925" t="s">
        <v>1666</v>
      </c>
      <c r="W925" t="s">
        <v>1664</v>
      </c>
      <c r="X925" t="s">
        <v>583</v>
      </c>
      <c r="Y925" t="s">
        <v>293</v>
      </c>
      <c r="Z925" t="s">
        <v>111</v>
      </c>
      <c r="AA925" t="str">
        <f>"14850-1857"</f>
        <v>14850-1857</v>
      </c>
      <c r="AB925" t="s">
        <v>123</v>
      </c>
      <c r="AC925" t="s">
        <v>113</v>
      </c>
      <c r="AD925" t="s">
        <v>108</v>
      </c>
      <c r="AE925" t="s">
        <v>114</v>
      </c>
      <c r="AF925" t="s">
        <v>142</v>
      </c>
      <c r="AG925" t="s">
        <v>116</v>
      </c>
      <c r="AK925" t="str">
        <f t="shared" si="94"/>
        <v/>
      </c>
      <c r="AL925" t="s">
        <v>1663</v>
      </c>
      <c r="AM925">
        <v>1</v>
      </c>
      <c r="AN925">
        <v>1</v>
      </c>
      <c r="AO925">
        <v>0</v>
      </c>
      <c r="AP925">
        <v>0</v>
      </c>
      <c r="AQ925">
        <v>0</v>
      </c>
      <c r="AR925">
        <v>0</v>
      </c>
      <c r="AS925">
        <v>0</v>
      </c>
      <c r="AT925">
        <v>0</v>
      </c>
      <c r="AU925">
        <v>0</v>
      </c>
      <c r="AV925">
        <v>0</v>
      </c>
      <c r="AW925">
        <v>0</v>
      </c>
      <c r="AX925" s="24" t="str">
        <f t="shared" si="92"/>
        <v/>
      </c>
      <c r="AY925" s="24">
        <f t="shared" si="92"/>
        <v>1</v>
      </c>
      <c r="AZ925" s="24" t="str">
        <f t="shared" si="96"/>
        <v/>
      </c>
      <c r="BA925" s="24" t="str">
        <f t="shared" si="96"/>
        <v/>
      </c>
      <c r="BB925" s="24" t="str">
        <f t="shared" si="96"/>
        <v/>
      </c>
      <c r="BC925" s="24" t="str">
        <f t="shared" si="96"/>
        <v/>
      </c>
      <c r="BD925" s="24" t="str">
        <f t="shared" si="96"/>
        <v/>
      </c>
      <c r="BE925" s="24" t="str">
        <f t="shared" si="96"/>
        <v/>
      </c>
      <c r="BF925" s="24" t="str">
        <f t="shared" si="96"/>
        <v/>
      </c>
      <c r="BG925" s="24" t="str">
        <f t="shared" si="96"/>
        <v/>
      </c>
      <c r="BH925" s="24" t="str">
        <f t="shared" si="95"/>
        <v/>
      </c>
      <c r="BI925" s="24" t="str">
        <f t="shared" si="96"/>
        <v/>
      </c>
      <c r="BJ925" s="24" t="str">
        <f t="shared" si="97"/>
        <v/>
      </c>
    </row>
    <row r="926" spans="1:62" ht="15" customHeight="1" x14ac:dyDescent="0.25">
      <c r="A926" t="str">
        <f>"1588764484"</f>
        <v>1588764484</v>
      </c>
      <c r="B926" t="str">
        <f>"02420822"</f>
        <v>02420822</v>
      </c>
      <c r="C926" t="s">
        <v>4315</v>
      </c>
      <c r="D926" t="s">
        <v>4316</v>
      </c>
      <c r="E926" t="s">
        <v>4317</v>
      </c>
      <c r="G926" t="s">
        <v>4304</v>
      </c>
      <c r="H926" t="s">
        <v>4305</v>
      </c>
      <c r="J926" t="s">
        <v>4318</v>
      </c>
      <c r="L926" t="s">
        <v>120</v>
      </c>
      <c r="M926" t="s">
        <v>108</v>
      </c>
      <c r="R926" t="s">
        <v>4319</v>
      </c>
      <c r="W926" t="s">
        <v>4317</v>
      </c>
      <c r="X926" t="s">
        <v>4308</v>
      </c>
      <c r="Y926" t="s">
        <v>293</v>
      </c>
      <c r="Z926" t="s">
        <v>111</v>
      </c>
      <c r="AA926" t="str">
        <f>"14850-5429"</f>
        <v>14850-5429</v>
      </c>
      <c r="AB926" t="s">
        <v>123</v>
      </c>
      <c r="AC926" t="s">
        <v>113</v>
      </c>
      <c r="AD926" t="s">
        <v>108</v>
      </c>
      <c r="AE926" t="s">
        <v>114</v>
      </c>
      <c r="AF926" t="s">
        <v>142</v>
      </c>
      <c r="AG926" t="s">
        <v>116</v>
      </c>
      <c r="AK926" t="str">
        <f t="shared" si="94"/>
        <v/>
      </c>
      <c r="AL926" t="s">
        <v>4316</v>
      </c>
      <c r="AM926">
        <v>1</v>
      </c>
      <c r="AN926">
        <v>1</v>
      </c>
      <c r="AO926">
        <v>0</v>
      </c>
      <c r="AP926">
        <v>0</v>
      </c>
      <c r="AQ926">
        <v>0</v>
      </c>
      <c r="AR926">
        <v>0</v>
      </c>
      <c r="AS926">
        <v>0</v>
      </c>
      <c r="AT926">
        <v>1</v>
      </c>
      <c r="AU926">
        <v>1</v>
      </c>
      <c r="AV926">
        <v>1</v>
      </c>
      <c r="AW926">
        <v>0</v>
      </c>
      <c r="AX926" s="24">
        <f t="shared" si="92"/>
        <v>1</v>
      </c>
      <c r="AY926" s="24" t="str">
        <f t="shared" si="92"/>
        <v/>
      </c>
      <c r="AZ926" s="24" t="str">
        <f t="shared" si="96"/>
        <v/>
      </c>
      <c r="BA926" s="24" t="str">
        <f t="shared" si="96"/>
        <v/>
      </c>
      <c r="BB926" s="24" t="str">
        <f t="shared" si="96"/>
        <v/>
      </c>
      <c r="BC926" s="24" t="str">
        <f t="shared" si="96"/>
        <v/>
      </c>
      <c r="BD926" s="24" t="str">
        <f t="shared" si="96"/>
        <v/>
      </c>
      <c r="BE926" s="24" t="str">
        <f t="shared" si="96"/>
        <v/>
      </c>
      <c r="BF926" s="24" t="str">
        <f t="shared" si="96"/>
        <v/>
      </c>
      <c r="BG926" s="24" t="str">
        <f t="shared" si="96"/>
        <v/>
      </c>
      <c r="BH926" s="24" t="str">
        <f t="shared" si="95"/>
        <v/>
      </c>
      <c r="BI926" s="24">
        <f t="shared" si="96"/>
        <v>1</v>
      </c>
      <c r="BJ926" s="24" t="str">
        <f t="shared" si="97"/>
        <v/>
      </c>
    </row>
    <row r="927" spans="1:62" ht="15" customHeight="1" x14ac:dyDescent="0.25">
      <c r="A927" t="str">
        <f>"1255591772"</f>
        <v>1255591772</v>
      </c>
      <c r="B927" t="str">
        <f>"03024531"</f>
        <v>03024531</v>
      </c>
      <c r="C927" t="s">
        <v>1059</v>
      </c>
      <c r="D927" t="s">
        <v>1060</v>
      </c>
      <c r="E927" t="s">
        <v>1061</v>
      </c>
      <c r="G927" t="s">
        <v>815</v>
      </c>
      <c r="H927" t="s">
        <v>816</v>
      </c>
      <c r="J927" t="s">
        <v>817</v>
      </c>
      <c r="L927" t="s">
        <v>120</v>
      </c>
      <c r="M927" t="s">
        <v>108</v>
      </c>
      <c r="R927" t="s">
        <v>1059</v>
      </c>
      <c r="W927" t="s">
        <v>1061</v>
      </c>
      <c r="X927" t="s">
        <v>1062</v>
      </c>
      <c r="Y927" t="s">
        <v>110</v>
      </c>
      <c r="Z927" t="s">
        <v>111</v>
      </c>
      <c r="AA927" t="str">
        <f>"13905-1118"</f>
        <v>13905-1118</v>
      </c>
      <c r="AB927" t="s">
        <v>123</v>
      </c>
      <c r="AC927" t="s">
        <v>113</v>
      </c>
      <c r="AD927" t="s">
        <v>108</v>
      </c>
      <c r="AE927" t="s">
        <v>114</v>
      </c>
      <c r="AF927" t="s">
        <v>115</v>
      </c>
      <c r="AG927" t="s">
        <v>116</v>
      </c>
      <c r="AK927" t="str">
        <f t="shared" si="94"/>
        <v/>
      </c>
      <c r="AL927" t="s">
        <v>1060</v>
      </c>
      <c r="AM927">
        <v>1</v>
      </c>
      <c r="AN927">
        <v>1</v>
      </c>
      <c r="AO927">
        <v>0</v>
      </c>
      <c r="AP927">
        <v>1</v>
      </c>
      <c r="AQ927">
        <v>1</v>
      </c>
      <c r="AR927">
        <v>0</v>
      </c>
      <c r="AS927">
        <v>0</v>
      </c>
      <c r="AT927">
        <v>1</v>
      </c>
      <c r="AU927">
        <v>0</v>
      </c>
      <c r="AV927">
        <v>0</v>
      </c>
      <c r="AW927">
        <v>1</v>
      </c>
      <c r="AX927" s="24">
        <f t="shared" si="92"/>
        <v>1</v>
      </c>
      <c r="AY927" s="24" t="str">
        <f t="shared" si="92"/>
        <v/>
      </c>
      <c r="AZ927" s="24" t="str">
        <f t="shared" si="96"/>
        <v/>
      </c>
      <c r="BA927" s="24" t="str">
        <f t="shared" si="96"/>
        <v/>
      </c>
      <c r="BB927" s="24" t="str">
        <f t="shared" si="96"/>
        <v/>
      </c>
      <c r="BC927" s="24" t="str">
        <f t="shared" si="96"/>
        <v/>
      </c>
      <c r="BD927" s="24" t="str">
        <f t="shared" si="96"/>
        <v/>
      </c>
      <c r="BE927" s="24" t="str">
        <f t="shared" si="96"/>
        <v/>
      </c>
      <c r="BF927" s="24" t="str">
        <f t="shared" si="96"/>
        <v/>
      </c>
      <c r="BG927" s="24" t="str">
        <f t="shared" si="96"/>
        <v/>
      </c>
      <c r="BH927" s="24" t="str">
        <f t="shared" si="95"/>
        <v/>
      </c>
      <c r="BI927" s="24">
        <f t="shared" si="96"/>
        <v>1</v>
      </c>
      <c r="BJ927" s="24" t="str">
        <f t="shared" si="97"/>
        <v/>
      </c>
    </row>
    <row r="928" spans="1:62" ht="15" customHeight="1" x14ac:dyDescent="0.25">
      <c r="A928" t="str">
        <f>"1114059185"</f>
        <v>1114059185</v>
      </c>
      <c r="B928" t="str">
        <f>"03113559"</f>
        <v>03113559</v>
      </c>
      <c r="C928" t="s">
        <v>6788</v>
      </c>
      <c r="D928" t="s">
        <v>7063</v>
      </c>
      <c r="E928" t="s">
        <v>6923</v>
      </c>
      <c r="G928" t="s">
        <v>815</v>
      </c>
      <c r="H928" t="s">
        <v>816</v>
      </c>
      <c r="J928" t="s">
        <v>817</v>
      </c>
      <c r="L928" t="s">
        <v>120</v>
      </c>
      <c r="M928" t="s">
        <v>108</v>
      </c>
      <c r="R928" t="s">
        <v>6788</v>
      </c>
      <c r="W928" t="s">
        <v>6923</v>
      </c>
      <c r="X928" t="s">
        <v>1781</v>
      </c>
      <c r="Y928" t="s">
        <v>110</v>
      </c>
      <c r="Z928" t="s">
        <v>111</v>
      </c>
      <c r="AA928" t="str">
        <f>"13904-1659"</f>
        <v>13904-1659</v>
      </c>
      <c r="AB928" t="s">
        <v>123</v>
      </c>
      <c r="AC928" t="s">
        <v>113</v>
      </c>
      <c r="AD928" t="s">
        <v>108</v>
      </c>
      <c r="AE928" t="s">
        <v>114</v>
      </c>
      <c r="AF928" t="s">
        <v>115</v>
      </c>
      <c r="AG928" t="s">
        <v>116</v>
      </c>
      <c r="AK928" t="str">
        <f t="shared" si="94"/>
        <v>MIKLOUCICH JEROME DR.</v>
      </c>
      <c r="AL928" t="s">
        <v>7063</v>
      </c>
      <c r="AM928" t="s">
        <v>108</v>
      </c>
      <c r="AN928" t="s">
        <v>108</v>
      </c>
      <c r="AO928" t="s">
        <v>108</v>
      </c>
      <c r="AP928" t="s">
        <v>108</v>
      </c>
      <c r="AQ928" t="s">
        <v>108</v>
      </c>
      <c r="AR928" t="s">
        <v>108</v>
      </c>
      <c r="AS928" t="s">
        <v>108</v>
      </c>
      <c r="AT928" t="s">
        <v>108</v>
      </c>
      <c r="AU928">
        <v>0</v>
      </c>
      <c r="AV928" t="s">
        <v>108</v>
      </c>
      <c r="AW928" t="s">
        <v>108</v>
      </c>
      <c r="AX928" s="24">
        <f t="shared" si="92"/>
        <v>1</v>
      </c>
      <c r="AY928" s="24" t="str">
        <f t="shared" si="92"/>
        <v/>
      </c>
      <c r="AZ928" s="24" t="str">
        <f t="shared" si="96"/>
        <v/>
      </c>
      <c r="BA928" s="24" t="str">
        <f t="shared" si="96"/>
        <v/>
      </c>
      <c r="BB928" s="24" t="str">
        <f t="shared" si="96"/>
        <v/>
      </c>
      <c r="BC928" s="24" t="str">
        <f t="shared" si="96"/>
        <v/>
      </c>
      <c r="BD928" s="24" t="str">
        <f t="shared" si="96"/>
        <v/>
      </c>
      <c r="BE928" s="24" t="str">
        <f t="shared" si="96"/>
        <v/>
      </c>
      <c r="BF928" s="24" t="str">
        <f t="shared" si="96"/>
        <v/>
      </c>
      <c r="BG928" s="24" t="str">
        <f t="shared" si="96"/>
        <v/>
      </c>
      <c r="BH928" s="24" t="str">
        <f t="shared" si="95"/>
        <v/>
      </c>
      <c r="BI928" s="24">
        <f t="shared" si="96"/>
        <v>1</v>
      </c>
      <c r="BJ928" s="24" t="str">
        <f t="shared" si="97"/>
        <v/>
      </c>
    </row>
    <row r="929" spans="1:62" x14ac:dyDescent="0.25">
      <c r="A929" t="str">
        <f>"1063651594"</f>
        <v>1063651594</v>
      </c>
      <c r="B929" t="str">
        <f>"03559079"</f>
        <v>03559079</v>
      </c>
      <c r="C929" t="s">
        <v>5494</v>
      </c>
      <c r="D929" t="s">
        <v>5495</v>
      </c>
      <c r="E929" t="s">
        <v>5496</v>
      </c>
      <c r="G929" t="s">
        <v>4447</v>
      </c>
      <c r="H929" t="s">
        <v>4448</v>
      </c>
      <c r="J929" t="s">
        <v>4449</v>
      </c>
      <c r="L929" t="s">
        <v>695</v>
      </c>
      <c r="M929" t="s">
        <v>108</v>
      </c>
      <c r="R929" t="s">
        <v>5494</v>
      </c>
      <c r="W929" t="s">
        <v>5496</v>
      </c>
      <c r="X929" t="s">
        <v>2139</v>
      </c>
      <c r="Y929" t="s">
        <v>122</v>
      </c>
      <c r="Z929" t="s">
        <v>111</v>
      </c>
      <c r="AA929" t="str">
        <f>"13815-1654"</f>
        <v>13815-1654</v>
      </c>
      <c r="AB929" t="s">
        <v>282</v>
      </c>
      <c r="AC929" t="s">
        <v>113</v>
      </c>
      <c r="AD929" t="s">
        <v>108</v>
      </c>
      <c r="AE929" t="s">
        <v>114</v>
      </c>
      <c r="AF929" t="s">
        <v>124</v>
      </c>
      <c r="AG929" t="s">
        <v>116</v>
      </c>
      <c r="AK929" t="str">
        <f t="shared" si="94"/>
        <v/>
      </c>
      <c r="AL929" t="s">
        <v>5495</v>
      </c>
      <c r="AM929">
        <v>0</v>
      </c>
      <c r="AN929">
        <v>0</v>
      </c>
      <c r="AO929">
        <v>0</v>
      </c>
      <c r="AP929">
        <v>0</v>
      </c>
      <c r="AQ929">
        <v>0</v>
      </c>
      <c r="AR929">
        <v>0</v>
      </c>
      <c r="AS929">
        <v>0</v>
      </c>
      <c r="AT929">
        <v>0</v>
      </c>
      <c r="AU929">
        <v>0</v>
      </c>
      <c r="AV929">
        <v>0</v>
      </c>
      <c r="AW929">
        <v>0</v>
      </c>
      <c r="AX929" s="24" t="str">
        <f t="shared" si="92"/>
        <v/>
      </c>
      <c r="AY929" s="24" t="str">
        <f t="shared" si="92"/>
        <v/>
      </c>
      <c r="AZ929" s="24" t="str">
        <f t="shared" si="96"/>
        <v/>
      </c>
      <c r="BA929" s="24">
        <f t="shared" si="96"/>
        <v>1</v>
      </c>
      <c r="BB929" s="24" t="str">
        <f t="shared" si="96"/>
        <v/>
      </c>
      <c r="BC929" s="24" t="str">
        <f t="shared" si="96"/>
        <v/>
      </c>
      <c r="BD929" s="24" t="str">
        <f t="shared" si="96"/>
        <v/>
      </c>
      <c r="BE929" s="24" t="str">
        <f t="shared" si="96"/>
        <v/>
      </c>
      <c r="BF929" s="24" t="str">
        <f t="shared" si="96"/>
        <v/>
      </c>
      <c r="BG929" s="24" t="str">
        <f t="shared" si="96"/>
        <v/>
      </c>
      <c r="BH929" s="24" t="str">
        <f t="shared" si="95"/>
        <v/>
      </c>
      <c r="BI929" s="24">
        <f t="shared" si="96"/>
        <v>1</v>
      </c>
      <c r="BJ929" s="24" t="str">
        <f t="shared" si="97"/>
        <v/>
      </c>
    </row>
    <row r="930" spans="1:62" ht="15" customHeight="1" x14ac:dyDescent="0.25">
      <c r="A930" t="str">
        <f>"1851392328"</f>
        <v>1851392328</v>
      </c>
      <c r="B930" t="str">
        <f>"00836402"</f>
        <v>00836402</v>
      </c>
      <c r="C930" t="s">
        <v>3481</v>
      </c>
      <c r="D930" t="s">
        <v>3482</v>
      </c>
      <c r="E930" t="s">
        <v>3483</v>
      </c>
      <c r="G930" t="s">
        <v>6330</v>
      </c>
      <c r="H930" t="s">
        <v>6331</v>
      </c>
      <c r="J930" t="s">
        <v>6332</v>
      </c>
      <c r="L930" t="s">
        <v>120</v>
      </c>
      <c r="M930" t="s">
        <v>108</v>
      </c>
      <c r="R930" t="s">
        <v>3481</v>
      </c>
      <c r="W930" t="s">
        <v>3483</v>
      </c>
      <c r="Y930" t="s">
        <v>129</v>
      </c>
      <c r="Z930" t="s">
        <v>111</v>
      </c>
      <c r="AA930" t="str">
        <f>"13790-2597"</f>
        <v>13790-2597</v>
      </c>
      <c r="AB930" t="s">
        <v>123</v>
      </c>
      <c r="AC930" t="s">
        <v>113</v>
      </c>
      <c r="AD930" t="s">
        <v>108</v>
      </c>
      <c r="AE930" t="s">
        <v>114</v>
      </c>
      <c r="AF930" t="s">
        <v>115</v>
      </c>
      <c r="AG930" t="s">
        <v>116</v>
      </c>
      <c r="AK930" t="str">
        <f t="shared" si="94"/>
        <v/>
      </c>
      <c r="AL930" t="s">
        <v>3482</v>
      </c>
      <c r="AM930">
        <v>1</v>
      </c>
      <c r="AN930">
        <v>1</v>
      </c>
      <c r="AO930">
        <v>0</v>
      </c>
      <c r="AP930">
        <v>1</v>
      </c>
      <c r="AQ930">
        <v>1</v>
      </c>
      <c r="AR930">
        <v>0</v>
      </c>
      <c r="AS930">
        <v>0</v>
      </c>
      <c r="AT930">
        <v>0</v>
      </c>
      <c r="AU930">
        <v>0</v>
      </c>
      <c r="AV930">
        <v>0</v>
      </c>
      <c r="AW930">
        <v>0</v>
      </c>
      <c r="AX930" s="24">
        <f t="shared" si="92"/>
        <v>1</v>
      </c>
      <c r="AY930" s="24" t="str">
        <f t="shared" si="92"/>
        <v/>
      </c>
      <c r="AZ930" s="24" t="str">
        <f t="shared" si="96"/>
        <v/>
      </c>
      <c r="BA930" s="24" t="str">
        <f t="shared" si="96"/>
        <v/>
      </c>
      <c r="BB930" s="24" t="str">
        <f t="shared" si="96"/>
        <v/>
      </c>
      <c r="BC930" s="24" t="str">
        <f t="shared" si="96"/>
        <v/>
      </c>
      <c r="BD930" s="24" t="str">
        <f t="shared" si="96"/>
        <v/>
      </c>
      <c r="BE930" s="24" t="str">
        <f t="shared" si="96"/>
        <v/>
      </c>
      <c r="BF930" s="24" t="str">
        <f t="shared" si="96"/>
        <v/>
      </c>
      <c r="BG930" s="24" t="str">
        <f t="shared" si="96"/>
        <v/>
      </c>
      <c r="BH930" s="24" t="str">
        <f t="shared" si="95"/>
        <v/>
      </c>
      <c r="BI930" s="24">
        <f t="shared" si="96"/>
        <v>1</v>
      </c>
      <c r="BJ930" s="24" t="str">
        <f t="shared" si="97"/>
        <v/>
      </c>
    </row>
    <row r="931" spans="1:62" ht="15" customHeight="1" x14ac:dyDescent="0.25">
      <c r="A931" t="str">
        <f>"1619962883"</f>
        <v>1619962883</v>
      </c>
      <c r="B931" t="str">
        <f>"01458837"</f>
        <v>01458837</v>
      </c>
      <c r="C931" t="s">
        <v>6847</v>
      </c>
      <c r="D931" t="s">
        <v>7140</v>
      </c>
      <c r="E931" t="s">
        <v>6992</v>
      </c>
      <c r="G931" t="s">
        <v>6330</v>
      </c>
      <c r="H931" t="s">
        <v>6331</v>
      </c>
      <c r="J931" t="s">
        <v>6332</v>
      </c>
      <c r="L931" t="s">
        <v>120</v>
      </c>
      <c r="M931" t="s">
        <v>108</v>
      </c>
      <c r="R931" t="s">
        <v>6847</v>
      </c>
      <c r="W931" t="s">
        <v>6992</v>
      </c>
      <c r="X931" t="s">
        <v>180</v>
      </c>
      <c r="Y931" t="s">
        <v>181</v>
      </c>
      <c r="Z931" t="s">
        <v>182</v>
      </c>
      <c r="AA931" t="str">
        <f>"18840"</f>
        <v>18840</v>
      </c>
      <c r="AB931" t="s">
        <v>123</v>
      </c>
      <c r="AC931" t="s">
        <v>113</v>
      </c>
      <c r="AD931" t="s">
        <v>108</v>
      </c>
      <c r="AE931" t="s">
        <v>114</v>
      </c>
      <c r="AF931" t="s">
        <v>115</v>
      </c>
      <c r="AG931" t="s">
        <v>116</v>
      </c>
      <c r="AK931" t="str">
        <f t="shared" si="94"/>
        <v>MILLER JULIA</v>
      </c>
      <c r="AL931" t="s">
        <v>7140</v>
      </c>
      <c r="AM931" t="s">
        <v>108</v>
      </c>
      <c r="AN931" t="s">
        <v>108</v>
      </c>
      <c r="AO931" t="s">
        <v>108</v>
      </c>
      <c r="AP931" t="s">
        <v>108</v>
      </c>
      <c r="AQ931" t="s">
        <v>108</v>
      </c>
      <c r="AR931" t="s">
        <v>108</v>
      </c>
      <c r="AS931" t="s">
        <v>108</v>
      </c>
      <c r="AT931" t="s">
        <v>108</v>
      </c>
      <c r="AU931">
        <v>0</v>
      </c>
      <c r="AV931" t="s">
        <v>108</v>
      </c>
      <c r="AW931" t="s">
        <v>108</v>
      </c>
      <c r="AX931" s="24">
        <f t="shared" si="92"/>
        <v>1</v>
      </c>
      <c r="AY931" s="24" t="str">
        <f t="shared" si="92"/>
        <v/>
      </c>
      <c r="AZ931" s="24" t="str">
        <f t="shared" si="96"/>
        <v/>
      </c>
      <c r="BA931" s="24" t="str">
        <f t="shared" si="96"/>
        <v/>
      </c>
      <c r="BB931" s="24" t="str">
        <f t="shared" si="96"/>
        <v/>
      </c>
      <c r="BC931" s="24" t="str">
        <f t="shared" si="96"/>
        <v/>
      </c>
      <c r="BD931" s="24" t="str">
        <f t="shared" si="96"/>
        <v/>
      </c>
      <c r="BE931" s="24" t="str">
        <f t="shared" si="96"/>
        <v/>
      </c>
      <c r="BF931" s="24" t="str">
        <f t="shared" ref="AZ931:BI957" si="98">IF(ISERROR(FIND(BF$1,$L931,1)),"",1)</f>
        <v/>
      </c>
      <c r="BG931" s="24" t="str">
        <f t="shared" si="98"/>
        <v/>
      </c>
      <c r="BH931" s="24" t="str">
        <f t="shared" si="95"/>
        <v/>
      </c>
      <c r="BI931" s="24">
        <f t="shared" si="98"/>
        <v>1</v>
      </c>
      <c r="BJ931" s="24" t="str">
        <f t="shared" si="97"/>
        <v/>
      </c>
    </row>
    <row r="932" spans="1:62" ht="15" customHeight="1" x14ac:dyDescent="0.25">
      <c r="A932" t="str">
        <f>"1336122563"</f>
        <v>1336122563</v>
      </c>
      <c r="B932" t="str">
        <f>"02644475"</f>
        <v>02644475</v>
      </c>
      <c r="C932" t="s">
        <v>6763</v>
      </c>
      <c r="D932" t="s">
        <v>7032</v>
      </c>
      <c r="E932" t="s">
        <v>6888</v>
      </c>
      <c r="G932" t="s">
        <v>6330</v>
      </c>
      <c r="H932" t="s">
        <v>6331</v>
      </c>
      <c r="J932" t="s">
        <v>6332</v>
      </c>
      <c r="L932" t="s">
        <v>120</v>
      </c>
      <c r="M932" t="s">
        <v>108</v>
      </c>
      <c r="R932" t="s">
        <v>6763</v>
      </c>
      <c r="W932" t="s">
        <v>6888</v>
      </c>
      <c r="X932" t="s">
        <v>6889</v>
      </c>
      <c r="Y932" t="s">
        <v>129</v>
      </c>
      <c r="Z932" t="s">
        <v>111</v>
      </c>
      <c r="AA932" t="str">
        <f>"13790-1805"</f>
        <v>13790-1805</v>
      </c>
      <c r="AB932" t="s">
        <v>123</v>
      </c>
      <c r="AC932" t="s">
        <v>113</v>
      </c>
      <c r="AD932" t="s">
        <v>108</v>
      </c>
      <c r="AE932" t="s">
        <v>114</v>
      </c>
      <c r="AF932" t="s">
        <v>115</v>
      </c>
      <c r="AG932" t="s">
        <v>116</v>
      </c>
      <c r="AK932" t="str">
        <f t="shared" si="94"/>
        <v>MILLER WILLIAM</v>
      </c>
      <c r="AL932" t="s">
        <v>7032</v>
      </c>
      <c r="AM932" t="s">
        <v>108</v>
      </c>
      <c r="AN932" t="s">
        <v>108</v>
      </c>
      <c r="AO932" t="s">
        <v>108</v>
      </c>
      <c r="AP932" t="s">
        <v>108</v>
      </c>
      <c r="AQ932" t="s">
        <v>108</v>
      </c>
      <c r="AR932" t="s">
        <v>108</v>
      </c>
      <c r="AS932" t="s">
        <v>108</v>
      </c>
      <c r="AT932" t="s">
        <v>108</v>
      </c>
      <c r="AU932">
        <v>0</v>
      </c>
      <c r="AV932" t="s">
        <v>108</v>
      </c>
      <c r="AW932" t="s">
        <v>108</v>
      </c>
      <c r="AX932" s="24">
        <f t="shared" si="92"/>
        <v>1</v>
      </c>
      <c r="AY932" s="24" t="str">
        <f t="shared" si="92"/>
        <v/>
      </c>
      <c r="AZ932" s="24" t="str">
        <f t="shared" si="98"/>
        <v/>
      </c>
      <c r="BA932" s="24" t="str">
        <f t="shared" si="98"/>
        <v/>
      </c>
      <c r="BB932" s="24" t="str">
        <f t="shared" si="98"/>
        <v/>
      </c>
      <c r="BC932" s="24" t="str">
        <f t="shared" si="98"/>
        <v/>
      </c>
      <c r="BD932" s="24" t="str">
        <f t="shared" si="98"/>
        <v/>
      </c>
      <c r="BE932" s="24" t="str">
        <f t="shared" si="98"/>
        <v/>
      </c>
      <c r="BF932" s="24" t="str">
        <f t="shared" si="98"/>
        <v/>
      </c>
      <c r="BG932" s="24" t="str">
        <f t="shared" si="98"/>
        <v/>
      </c>
      <c r="BH932" s="24" t="str">
        <f t="shared" si="95"/>
        <v/>
      </c>
      <c r="BI932" s="24">
        <f t="shared" si="98"/>
        <v>1</v>
      </c>
      <c r="BJ932" s="24" t="str">
        <f t="shared" si="97"/>
        <v/>
      </c>
    </row>
    <row r="933" spans="1:62" ht="15" customHeight="1" x14ac:dyDescent="0.25">
      <c r="A933" t="str">
        <f>"1306133954"</f>
        <v>1306133954</v>
      </c>
      <c r="B933" t="str">
        <f>"03716736"</f>
        <v>03716736</v>
      </c>
      <c r="C933" t="s">
        <v>6042</v>
      </c>
      <c r="D933" t="s">
        <v>6043</v>
      </c>
      <c r="E933" t="s">
        <v>6044</v>
      </c>
      <c r="G933" t="s">
        <v>815</v>
      </c>
      <c r="H933" t="s">
        <v>816</v>
      </c>
      <c r="J933" t="s">
        <v>817</v>
      </c>
      <c r="L933" t="s">
        <v>120</v>
      </c>
      <c r="M933" t="s">
        <v>108</v>
      </c>
      <c r="R933" t="s">
        <v>6045</v>
      </c>
      <c r="W933" t="s">
        <v>6044</v>
      </c>
      <c r="X933" t="s">
        <v>5987</v>
      </c>
      <c r="Y933" t="s">
        <v>321</v>
      </c>
      <c r="Z933" t="s">
        <v>111</v>
      </c>
      <c r="AA933" t="str">
        <f>"13760-4925"</f>
        <v>13760-4925</v>
      </c>
      <c r="AB933" t="s">
        <v>123</v>
      </c>
      <c r="AC933" t="s">
        <v>113</v>
      </c>
      <c r="AD933" t="s">
        <v>108</v>
      </c>
      <c r="AE933" t="s">
        <v>114</v>
      </c>
      <c r="AF933" t="s">
        <v>115</v>
      </c>
      <c r="AG933" t="s">
        <v>116</v>
      </c>
      <c r="AK933" t="str">
        <f t="shared" si="94"/>
        <v>Misty D. Ondrusek, MD</v>
      </c>
      <c r="AL933" t="s">
        <v>6043</v>
      </c>
      <c r="AM933" t="s">
        <v>108</v>
      </c>
      <c r="AN933" t="s">
        <v>108</v>
      </c>
      <c r="AO933" t="s">
        <v>108</v>
      </c>
      <c r="AP933" t="s">
        <v>108</v>
      </c>
      <c r="AQ933" t="s">
        <v>108</v>
      </c>
      <c r="AR933" t="s">
        <v>108</v>
      </c>
      <c r="AS933" t="s">
        <v>108</v>
      </c>
      <c r="AT933" t="s">
        <v>108</v>
      </c>
      <c r="AU933">
        <v>0</v>
      </c>
      <c r="AV933" t="s">
        <v>108</v>
      </c>
      <c r="AW933" t="s">
        <v>108</v>
      </c>
      <c r="AX933" s="24">
        <f t="shared" si="92"/>
        <v>1</v>
      </c>
      <c r="AY933" s="24" t="str">
        <f t="shared" si="92"/>
        <v/>
      </c>
      <c r="AZ933" s="24" t="str">
        <f t="shared" si="98"/>
        <v/>
      </c>
      <c r="BA933" s="24" t="str">
        <f t="shared" si="98"/>
        <v/>
      </c>
      <c r="BB933" s="24" t="str">
        <f t="shared" si="98"/>
        <v/>
      </c>
      <c r="BC933" s="24" t="str">
        <f t="shared" si="98"/>
        <v/>
      </c>
      <c r="BD933" s="24" t="str">
        <f t="shared" si="98"/>
        <v/>
      </c>
      <c r="BE933" s="24" t="str">
        <f t="shared" si="98"/>
        <v/>
      </c>
      <c r="BF933" s="24" t="str">
        <f t="shared" si="98"/>
        <v/>
      </c>
      <c r="BG933" s="24" t="str">
        <f t="shared" si="98"/>
        <v/>
      </c>
      <c r="BH933" s="24" t="str">
        <f t="shared" si="95"/>
        <v/>
      </c>
      <c r="BI933" s="24">
        <f t="shared" si="98"/>
        <v>1</v>
      </c>
      <c r="BJ933" s="24" t="str">
        <f t="shared" si="97"/>
        <v/>
      </c>
    </row>
    <row r="934" spans="1:62" ht="15" customHeight="1" x14ac:dyDescent="0.25">
      <c r="A934" t="str">
        <f>"1023207032"</f>
        <v>1023207032</v>
      </c>
      <c r="B934" t="str">
        <f>"02920836"</f>
        <v>02920836</v>
      </c>
      <c r="C934" t="s">
        <v>4481</v>
      </c>
      <c r="D934" t="s">
        <v>4482</v>
      </c>
      <c r="E934" t="s">
        <v>4483</v>
      </c>
      <c r="G934" t="s">
        <v>4447</v>
      </c>
      <c r="H934" t="s">
        <v>4448</v>
      </c>
      <c r="J934" t="s">
        <v>4449</v>
      </c>
      <c r="L934" t="s">
        <v>6868</v>
      </c>
      <c r="M934" t="s">
        <v>108</v>
      </c>
      <c r="R934" t="s">
        <v>4481</v>
      </c>
      <c r="W934" t="s">
        <v>4483</v>
      </c>
      <c r="X934" t="s">
        <v>121</v>
      </c>
      <c r="Y934" t="s">
        <v>122</v>
      </c>
      <c r="Z934" t="s">
        <v>111</v>
      </c>
      <c r="AA934" t="str">
        <f>"13815-1019"</f>
        <v>13815-1019</v>
      </c>
      <c r="AB934" t="s">
        <v>123</v>
      </c>
      <c r="AC934" t="s">
        <v>113</v>
      </c>
      <c r="AD934" t="s">
        <v>108</v>
      </c>
      <c r="AE934" t="s">
        <v>114</v>
      </c>
      <c r="AF934" t="s">
        <v>124</v>
      </c>
      <c r="AG934" t="s">
        <v>116</v>
      </c>
      <c r="AK934" t="str">
        <f t="shared" si="94"/>
        <v/>
      </c>
      <c r="AL934" t="s">
        <v>4482</v>
      </c>
      <c r="AM934">
        <v>0</v>
      </c>
      <c r="AN934">
        <v>0</v>
      </c>
      <c r="AO934">
        <v>0</v>
      </c>
      <c r="AP934">
        <v>0</v>
      </c>
      <c r="AQ934">
        <v>0</v>
      </c>
      <c r="AR934">
        <v>0</v>
      </c>
      <c r="AS934">
        <v>0</v>
      </c>
      <c r="AT934">
        <v>0</v>
      </c>
      <c r="AU934">
        <v>0</v>
      </c>
      <c r="AV934">
        <v>0</v>
      </c>
      <c r="AW934">
        <v>0</v>
      </c>
      <c r="AX934" s="24">
        <f t="shared" si="92"/>
        <v>1</v>
      </c>
      <c r="AY934" s="24">
        <f t="shared" si="92"/>
        <v>1</v>
      </c>
      <c r="AZ934" s="24" t="str">
        <f t="shared" si="98"/>
        <v/>
      </c>
      <c r="BA934" s="24" t="str">
        <f t="shared" si="98"/>
        <v/>
      </c>
      <c r="BB934" s="24" t="str">
        <f t="shared" si="98"/>
        <v/>
      </c>
      <c r="BC934" s="24" t="str">
        <f t="shared" si="98"/>
        <v/>
      </c>
      <c r="BD934" s="24" t="str">
        <f t="shared" si="98"/>
        <v/>
      </c>
      <c r="BE934" s="24" t="str">
        <f t="shared" si="98"/>
        <v/>
      </c>
      <c r="BF934" s="24" t="str">
        <f t="shared" si="98"/>
        <v/>
      </c>
      <c r="BG934" s="24" t="str">
        <f t="shared" si="98"/>
        <v/>
      </c>
      <c r="BH934" s="24" t="str">
        <f t="shared" si="95"/>
        <v/>
      </c>
      <c r="BI934" s="24" t="str">
        <f t="shared" si="98"/>
        <v/>
      </c>
      <c r="BJ934" s="24" t="str">
        <f t="shared" si="97"/>
        <v/>
      </c>
    </row>
    <row r="935" spans="1:62" ht="15" customHeight="1" x14ac:dyDescent="0.25">
      <c r="A935" t="str">
        <f>"1790778876"</f>
        <v>1790778876</v>
      </c>
      <c r="B935" t="str">
        <f>"01025754"</f>
        <v>01025754</v>
      </c>
      <c r="C935" t="s">
        <v>2705</v>
      </c>
      <c r="D935" t="s">
        <v>2706</v>
      </c>
      <c r="E935" t="s">
        <v>2707</v>
      </c>
      <c r="L935" t="s">
        <v>120</v>
      </c>
      <c r="M935" t="s">
        <v>108</v>
      </c>
      <c r="R935" t="s">
        <v>2705</v>
      </c>
      <c r="W935" t="s">
        <v>2707</v>
      </c>
      <c r="X935" t="s">
        <v>2708</v>
      </c>
      <c r="Y935" t="s">
        <v>110</v>
      </c>
      <c r="Z935" t="s">
        <v>111</v>
      </c>
      <c r="AA935" t="str">
        <f>"13903"</f>
        <v>13903</v>
      </c>
      <c r="AB935" t="s">
        <v>123</v>
      </c>
      <c r="AC935" t="s">
        <v>113</v>
      </c>
      <c r="AD935" t="s">
        <v>108</v>
      </c>
      <c r="AE935" t="s">
        <v>114</v>
      </c>
      <c r="AF935" t="s">
        <v>115</v>
      </c>
      <c r="AG935" t="s">
        <v>116</v>
      </c>
      <c r="AK935" t="str">
        <f t="shared" si="94"/>
        <v/>
      </c>
      <c r="AL935" t="s">
        <v>2706</v>
      </c>
      <c r="AM935">
        <v>0</v>
      </c>
      <c r="AN935">
        <v>0</v>
      </c>
      <c r="AO935">
        <v>0</v>
      </c>
      <c r="AP935">
        <v>0</v>
      </c>
      <c r="AQ935">
        <v>0</v>
      </c>
      <c r="AR935">
        <v>0</v>
      </c>
      <c r="AS935">
        <v>0</v>
      </c>
      <c r="AT935">
        <v>0</v>
      </c>
      <c r="AU935">
        <v>0</v>
      </c>
      <c r="AV935">
        <v>0</v>
      </c>
      <c r="AW935">
        <v>0</v>
      </c>
      <c r="AX935" s="24">
        <f t="shared" si="92"/>
        <v>1</v>
      </c>
      <c r="AY935" s="24" t="str">
        <f t="shared" si="92"/>
        <v/>
      </c>
      <c r="AZ935" s="24" t="str">
        <f t="shared" si="98"/>
        <v/>
      </c>
      <c r="BA935" s="24" t="str">
        <f t="shared" si="98"/>
        <v/>
      </c>
      <c r="BB935" s="24" t="str">
        <f t="shared" si="98"/>
        <v/>
      </c>
      <c r="BC935" s="24" t="str">
        <f t="shared" si="98"/>
        <v/>
      </c>
      <c r="BD935" s="24" t="str">
        <f t="shared" si="98"/>
        <v/>
      </c>
      <c r="BE935" s="24" t="str">
        <f t="shared" si="98"/>
        <v/>
      </c>
      <c r="BF935" s="24" t="str">
        <f t="shared" si="98"/>
        <v/>
      </c>
      <c r="BG935" s="24" t="str">
        <f t="shared" si="98"/>
        <v/>
      </c>
      <c r="BH935" s="24" t="str">
        <f t="shared" si="95"/>
        <v/>
      </c>
      <c r="BI935" s="24">
        <f t="shared" si="98"/>
        <v>1</v>
      </c>
      <c r="BJ935" s="24" t="str">
        <f t="shared" si="97"/>
        <v/>
      </c>
    </row>
    <row r="936" spans="1:62" ht="15" customHeight="1" x14ac:dyDescent="0.25">
      <c r="A936" t="str">
        <f>"1669461711"</f>
        <v>1669461711</v>
      </c>
      <c r="B936" t="str">
        <f>"01890739"</f>
        <v>01890739</v>
      </c>
      <c r="C936" t="s">
        <v>3646</v>
      </c>
      <c r="D936" t="s">
        <v>3647</v>
      </c>
      <c r="E936" t="s">
        <v>3648</v>
      </c>
      <c r="G936" t="s">
        <v>3649</v>
      </c>
      <c r="H936" t="s">
        <v>3650</v>
      </c>
      <c r="J936" t="s">
        <v>3651</v>
      </c>
      <c r="L936" t="s">
        <v>120</v>
      </c>
      <c r="M936" t="s">
        <v>139</v>
      </c>
      <c r="R936" t="s">
        <v>3652</v>
      </c>
      <c r="W936" t="s">
        <v>3648</v>
      </c>
      <c r="X936" t="s">
        <v>3653</v>
      </c>
      <c r="Y936" t="s">
        <v>239</v>
      </c>
      <c r="Z936" t="s">
        <v>111</v>
      </c>
      <c r="AA936" t="str">
        <f>"13045-1257"</f>
        <v>13045-1257</v>
      </c>
      <c r="AB936" t="s">
        <v>123</v>
      </c>
      <c r="AC936" t="s">
        <v>113</v>
      </c>
      <c r="AD936" t="s">
        <v>108</v>
      </c>
      <c r="AE936" t="s">
        <v>114</v>
      </c>
      <c r="AF936" t="s">
        <v>142</v>
      </c>
      <c r="AG936" t="s">
        <v>116</v>
      </c>
      <c r="AK936" t="str">
        <f t="shared" si="94"/>
        <v/>
      </c>
      <c r="AL936" t="s">
        <v>3647</v>
      </c>
      <c r="AM936">
        <v>1</v>
      </c>
      <c r="AN936">
        <v>0</v>
      </c>
      <c r="AO936">
        <v>0</v>
      </c>
      <c r="AP936">
        <v>1</v>
      </c>
      <c r="AQ936">
        <v>0</v>
      </c>
      <c r="AR936">
        <v>0</v>
      </c>
      <c r="AS936">
        <v>0</v>
      </c>
      <c r="AT936">
        <v>0</v>
      </c>
      <c r="AU936">
        <v>0</v>
      </c>
      <c r="AV936">
        <v>1</v>
      </c>
      <c r="AW936">
        <v>0</v>
      </c>
      <c r="AX936" s="24">
        <f t="shared" ref="AX936:AY999" si="99">IF(ISERROR(FIND(AX$1,$L936,1)),"",1)</f>
        <v>1</v>
      </c>
      <c r="AY936" s="24" t="str">
        <f t="shared" si="99"/>
        <v/>
      </c>
      <c r="AZ936" s="24" t="str">
        <f t="shared" si="98"/>
        <v/>
      </c>
      <c r="BA936" s="24" t="str">
        <f t="shared" si="98"/>
        <v/>
      </c>
      <c r="BB936" s="24" t="str">
        <f t="shared" si="98"/>
        <v/>
      </c>
      <c r="BC936" s="24" t="str">
        <f t="shared" si="98"/>
        <v/>
      </c>
      <c r="BD936" s="24" t="str">
        <f t="shared" si="98"/>
        <v/>
      </c>
      <c r="BE936" s="24" t="str">
        <f t="shared" si="98"/>
        <v/>
      </c>
      <c r="BF936" s="24" t="str">
        <f t="shared" si="98"/>
        <v/>
      </c>
      <c r="BG936" s="24" t="str">
        <f t="shared" si="98"/>
        <v/>
      </c>
      <c r="BH936" s="24" t="str">
        <f t="shared" si="95"/>
        <v/>
      </c>
      <c r="BI936" s="24">
        <f t="shared" si="98"/>
        <v>1</v>
      </c>
      <c r="BJ936" s="24" t="str">
        <f t="shared" si="97"/>
        <v/>
      </c>
    </row>
    <row r="937" spans="1:62" ht="15" customHeight="1" x14ac:dyDescent="0.25">
      <c r="A937" t="str">
        <f>"1619122017"</f>
        <v>1619122017</v>
      </c>
      <c r="B937" t="str">
        <f>"03263807"</f>
        <v>03263807</v>
      </c>
      <c r="C937" t="s">
        <v>3130</v>
      </c>
      <c r="D937" t="s">
        <v>3131</v>
      </c>
      <c r="E937" t="s">
        <v>3132</v>
      </c>
      <c r="G937" t="s">
        <v>229</v>
      </c>
      <c r="H937" t="s">
        <v>230</v>
      </c>
      <c r="J937" t="s">
        <v>231</v>
      </c>
      <c r="L937" t="s">
        <v>442</v>
      </c>
      <c r="M937" t="s">
        <v>108</v>
      </c>
      <c r="R937" t="s">
        <v>3133</v>
      </c>
      <c r="W937" t="s">
        <v>3134</v>
      </c>
      <c r="X937" t="s">
        <v>406</v>
      </c>
      <c r="Y937" t="s">
        <v>129</v>
      </c>
      <c r="Z937" t="s">
        <v>111</v>
      </c>
      <c r="AA937" t="str">
        <f>"13790-2107"</f>
        <v>13790-2107</v>
      </c>
      <c r="AB937" t="s">
        <v>123</v>
      </c>
      <c r="AC937" t="s">
        <v>113</v>
      </c>
      <c r="AD937" t="s">
        <v>108</v>
      </c>
      <c r="AE937" t="s">
        <v>114</v>
      </c>
      <c r="AF937" t="s">
        <v>115</v>
      </c>
      <c r="AG937" t="s">
        <v>116</v>
      </c>
      <c r="AK937" t="str">
        <f t="shared" si="94"/>
        <v/>
      </c>
      <c r="AL937" t="s">
        <v>3131</v>
      </c>
      <c r="AM937">
        <v>0</v>
      </c>
      <c r="AN937">
        <v>0</v>
      </c>
      <c r="AO937">
        <v>0</v>
      </c>
      <c r="AP937">
        <v>0</v>
      </c>
      <c r="AQ937">
        <v>0</v>
      </c>
      <c r="AR937">
        <v>0</v>
      </c>
      <c r="AS937">
        <v>0</v>
      </c>
      <c r="AT937">
        <v>0</v>
      </c>
      <c r="AU937">
        <v>0</v>
      </c>
      <c r="AV937">
        <v>0</v>
      </c>
      <c r="AW937">
        <v>0</v>
      </c>
      <c r="AX937" s="24">
        <f t="shared" si="99"/>
        <v>1</v>
      </c>
      <c r="AY937" s="24" t="str">
        <f t="shared" si="99"/>
        <v/>
      </c>
      <c r="AZ937" s="24" t="str">
        <f t="shared" si="98"/>
        <v/>
      </c>
      <c r="BA937" s="24" t="str">
        <f t="shared" si="98"/>
        <v/>
      </c>
      <c r="BB937" s="24" t="str">
        <f t="shared" si="98"/>
        <v/>
      </c>
      <c r="BC937" s="24" t="str">
        <f t="shared" si="98"/>
        <v/>
      </c>
      <c r="BD937" s="24" t="str">
        <f t="shared" si="98"/>
        <v/>
      </c>
      <c r="BE937" s="24" t="str">
        <f t="shared" si="98"/>
        <v/>
      </c>
      <c r="BF937" s="24" t="str">
        <f t="shared" si="98"/>
        <v/>
      </c>
      <c r="BG937" s="24" t="str">
        <f t="shared" si="98"/>
        <v/>
      </c>
      <c r="BH937" s="24" t="str">
        <f t="shared" si="95"/>
        <v/>
      </c>
      <c r="BI937" s="24" t="str">
        <f t="shared" si="98"/>
        <v/>
      </c>
      <c r="BJ937" s="24" t="str">
        <f t="shared" si="97"/>
        <v/>
      </c>
    </row>
    <row r="938" spans="1:62" ht="15" customHeight="1" x14ac:dyDescent="0.25">
      <c r="A938" t="str">
        <f>"1578559399"</f>
        <v>1578559399</v>
      </c>
      <c r="B938" t="str">
        <f>"02649654"</f>
        <v>02649654</v>
      </c>
      <c r="C938" t="s">
        <v>1459</v>
      </c>
      <c r="D938" t="s">
        <v>1460</v>
      </c>
      <c r="E938" t="s">
        <v>1461</v>
      </c>
      <c r="G938" t="s">
        <v>1459</v>
      </c>
      <c r="H938" t="s">
        <v>1456</v>
      </c>
      <c r="J938" t="s">
        <v>1462</v>
      </c>
      <c r="L938" t="s">
        <v>138</v>
      </c>
      <c r="M938" t="s">
        <v>108</v>
      </c>
      <c r="R938" t="s">
        <v>1463</v>
      </c>
      <c r="W938" t="s">
        <v>1461</v>
      </c>
      <c r="X938" t="s">
        <v>1464</v>
      </c>
      <c r="Y938" t="s">
        <v>110</v>
      </c>
      <c r="Z938" t="s">
        <v>111</v>
      </c>
      <c r="AA938" t="str">
        <f>"13903-1605"</f>
        <v>13903-1605</v>
      </c>
      <c r="AB938" t="s">
        <v>123</v>
      </c>
      <c r="AC938" t="s">
        <v>113</v>
      </c>
      <c r="AD938" t="s">
        <v>108</v>
      </c>
      <c r="AE938" t="s">
        <v>114</v>
      </c>
      <c r="AF938" t="s">
        <v>115</v>
      </c>
      <c r="AG938" t="s">
        <v>116</v>
      </c>
      <c r="AK938" t="str">
        <f t="shared" si="94"/>
        <v/>
      </c>
      <c r="AL938" t="s">
        <v>1460</v>
      </c>
      <c r="AM938">
        <v>1</v>
      </c>
      <c r="AN938">
        <v>1</v>
      </c>
      <c r="AO938">
        <v>0</v>
      </c>
      <c r="AP938">
        <v>1</v>
      </c>
      <c r="AQ938">
        <v>1</v>
      </c>
      <c r="AR938">
        <v>0</v>
      </c>
      <c r="AS938">
        <v>0</v>
      </c>
      <c r="AT938">
        <v>1</v>
      </c>
      <c r="AU938">
        <v>0</v>
      </c>
      <c r="AV938">
        <v>0</v>
      </c>
      <c r="AW938">
        <v>1</v>
      </c>
      <c r="AX938" s="24" t="str">
        <f t="shared" si="99"/>
        <v/>
      </c>
      <c r="AY938" s="24">
        <f t="shared" si="99"/>
        <v>1</v>
      </c>
      <c r="AZ938" s="24" t="str">
        <f t="shared" si="98"/>
        <v/>
      </c>
      <c r="BA938" s="24" t="str">
        <f t="shared" si="98"/>
        <v/>
      </c>
      <c r="BB938" s="24" t="str">
        <f t="shared" si="98"/>
        <v/>
      </c>
      <c r="BC938" s="24" t="str">
        <f t="shared" si="98"/>
        <v/>
      </c>
      <c r="BD938" s="24" t="str">
        <f t="shared" si="98"/>
        <v/>
      </c>
      <c r="BE938" s="24" t="str">
        <f t="shared" si="98"/>
        <v/>
      </c>
      <c r="BF938" s="24" t="str">
        <f t="shared" si="98"/>
        <v/>
      </c>
      <c r="BG938" s="24" t="str">
        <f t="shared" si="98"/>
        <v/>
      </c>
      <c r="BH938" s="24" t="str">
        <f t="shared" si="95"/>
        <v/>
      </c>
      <c r="BI938" s="24">
        <f t="shared" si="98"/>
        <v>1</v>
      </c>
      <c r="BJ938" s="24" t="str">
        <f t="shared" si="97"/>
        <v/>
      </c>
    </row>
    <row r="939" spans="1:62" ht="15" customHeight="1" x14ac:dyDescent="0.25">
      <c r="A939" t="str">
        <f>"1952635633"</f>
        <v>1952635633</v>
      </c>
      <c r="B939" t="str">
        <f>"03177502"</f>
        <v>03177502</v>
      </c>
      <c r="C939" t="s">
        <v>4565</v>
      </c>
      <c r="D939" t="s">
        <v>4566</v>
      </c>
      <c r="E939" t="s">
        <v>4567</v>
      </c>
      <c r="L939" t="s">
        <v>247</v>
      </c>
      <c r="M939" t="s">
        <v>108</v>
      </c>
      <c r="R939" t="s">
        <v>4565</v>
      </c>
      <c r="W939" t="s">
        <v>4567</v>
      </c>
      <c r="X939" t="s">
        <v>121</v>
      </c>
      <c r="Y939" t="s">
        <v>122</v>
      </c>
      <c r="Z939" t="s">
        <v>111</v>
      </c>
      <c r="AA939" t="str">
        <f>"13815-1019"</f>
        <v>13815-1019</v>
      </c>
      <c r="AB939" t="s">
        <v>123</v>
      </c>
      <c r="AC939" t="s">
        <v>113</v>
      </c>
      <c r="AD939" t="s">
        <v>108</v>
      </c>
      <c r="AE939" t="s">
        <v>114</v>
      </c>
      <c r="AF939" t="s">
        <v>124</v>
      </c>
      <c r="AG939" t="s">
        <v>116</v>
      </c>
      <c r="AK939" t="str">
        <f t="shared" si="94"/>
        <v/>
      </c>
      <c r="AL939" t="s">
        <v>4566</v>
      </c>
      <c r="AM939">
        <v>0</v>
      </c>
      <c r="AN939">
        <v>0</v>
      </c>
      <c r="AO939">
        <v>0</v>
      </c>
      <c r="AP939">
        <v>0</v>
      </c>
      <c r="AQ939">
        <v>0</v>
      </c>
      <c r="AR939">
        <v>0</v>
      </c>
      <c r="AS939">
        <v>0</v>
      </c>
      <c r="AT939">
        <v>0</v>
      </c>
      <c r="AU939">
        <v>0</v>
      </c>
      <c r="AV939">
        <v>0</v>
      </c>
      <c r="AW939">
        <v>0</v>
      </c>
      <c r="AX939" s="24" t="str">
        <f t="shared" si="99"/>
        <v/>
      </c>
      <c r="AY939" s="24">
        <f t="shared" si="99"/>
        <v>1</v>
      </c>
      <c r="AZ939" s="24" t="str">
        <f t="shared" si="98"/>
        <v/>
      </c>
      <c r="BA939" s="24" t="str">
        <f t="shared" si="98"/>
        <v/>
      </c>
      <c r="BB939" s="24" t="str">
        <f t="shared" si="98"/>
        <v/>
      </c>
      <c r="BC939" s="24" t="str">
        <f t="shared" si="98"/>
        <v/>
      </c>
      <c r="BD939" s="24" t="str">
        <f t="shared" si="98"/>
        <v/>
      </c>
      <c r="BE939" s="24" t="str">
        <f t="shared" si="98"/>
        <v/>
      </c>
      <c r="BF939" s="24" t="str">
        <f t="shared" si="98"/>
        <v/>
      </c>
      <c r="BG939" s="24" t="str">
        <f t="shared" si="98"/>
        <v/>
      </c>
      <c r="BH939" s="24" t="str">
        <f t="shared" si="95"/>
        <v/>
      </c>
      <c r="BI939" s="24" t="str">
        <f t="shared" si="98"/>
        <v/>
      </c>
      <c r="BJ939" s="24" t="str">
        <f t="shared" si="97"/>
        <v/>
      </c>
    </row>
    <row r="940" spans="1:62" ht="15" customHeight="1" x14ac:dyDescent="0.25">
      <c r="A940" t="str">
        <f>"1174595136"</f>
        <v>1174595136</v>
      </c>
      <c r="B940" t="str">
        <f>"01980905"</f>
        <v>01980905</v>
      </c>
      <c r="C940" t="s">
        <v>5055</v>
      </c>
      <c r="D940" t="s">
        <v>5056</v>
      </c>
      <c r="E940" t="s">
        <v>5055</v>
      </c>
      <c r="G940" t="s">
        <v>699</v>
      </c>
      <c r="H940" t="s">
        <v>700</v>
      </c>
      <c r="J940" t="s">
        <v>701</v>
      </c>
      <c r="L940" t="s">
        <v>120</v>
      </c>
      <c r="M940" t="s">
        <v>108</v>
      </c>
      <c r="R940" t="s">
        <v>5057</v>
      </c>
      <c r="W940" t="s">
        <v>5058</v>
      </c>
      <c r="X940" t="s">
        <v>5059</v>
      </c>
      <c r="Y940" t="s">
        <v>293</v>
      </c>
      <c r="Z940" t="s">
        <v>111</v>
      </c>
      <c r="AA940" t="str">
        <f>"14850-2017"</f>
        <v>14850-2017</v>
      </c>
      <c r="AB940" t="s">
        <v>123</v>
      </c>
      <c r="AC940" t="s">
        <v>113</v>
      </c>
      <c r="AD940" t="s">
        <v>108</v>
      </c>
      <c r="AE940" t="s">
        <v>114</v>
      </c>
      <c r="AF940" t="s">
        <v>142</v>
      </c>
      <c r="AG940" t="s">
        <v>116</v>
      </c>
      <c r="AK940" t="str">
        <f t="shared" si="94"/>
        <v/>
      </c>
      <c r="AL940" t="s">
        <v>5056</v>
      </c>
      <c r="AM940">
        <v>0</v>
      </c>
      <c r="AN940">
        <v>0</v>
      </c>
      <c r="AO940">
        <v>0</v>
      </c>
      <c r="AP940">
        <v>0</v>
      </c>
      <c r="AQ940">
        <v>0</v>
      </c>
      <c r="AR940">
        <v>0</v>
      </c>
      <c r="AS940">
        <v>0</v>
      </c>
      <c r="AT940">
        <v>0</v>
      </c>
      <c r="AU940">
        <v>0</v>
      </c>
      <c r="AV940">
        <v>0</v>
      </c>
      <c r="AW940">
        <v>0</v>
      </c>
      <c r="AX940" s="24">
        <f t="shared" si="99"/>
        <v>1</v>
      </c>
      <c r="AY940" s="24" t="str">
        <f t="shared" si="99"/>
        <v/>
      </c>
      <c r="AZ940" s="24" t="str">
        <f t="shared" si="98"/>
        <v/>
      </c>
      <c r="BA940" s="24" t="str">
        <f t="shared" si="98"/>
        <v/>
      </c>
      <c r="BB940" s="24" t="str">
        <f t="shared" si="98"/>
        <v/>
      </c>
      <c r="BC940" s="24" t="str">
        <f t="shared" si="98"/>
        <v/>
      </c>
      <c r="BD940" s="24" t="str">
        <f t="shared" si="98"/>
        <v/>
      </c>
      <c r="BE940" s="24" t="str">
        <f t="shared" si="98"/>
        <v/>
      </c>
      <c r="BF940" s="24" t="str">
        <f t="shared" si="98"/>
        <v/>
      </c>
      <c r="BG940" s="24" t="str">
        <f t="shared" si="98"/>
        <v/>
      </c>
      <c r="BH940" s="24" t="str">
        <f t="shared" si="95"/>
        <v/>
      </c>
      <c r="BI940" s="24">
        <f t="shared" si="98"/>
        <v>1</v>
      </c>
      <c r="BJ940" s="24" t="str">
        <f t="shared" si="97"/>
        <v/>
      </c>
    </row>
    <row r="941" spans="1:62" ht="15" customHeight="1" x14ac:dyDescent="0.25">
      <c r="A941" t="str">
        <f>"1720018559"</f>
        <v>1720018559</v>
      </c>
      <c r="B941" t="str">
        <f>"02571906"</f>
        <v>02571906</v>
      </c>
      <c r="C941" t="s">
        <v>1607</v>
      </c>
      <c r="D941" t="s">
        <v>1608</v>
      </c>
      <c r="E941" t="s">
        <v>1609</v>
      </c>
      <c r="G941" t="s">
        <v>638</v>
      </c>
      <c r="H941" t="s">
        <v>645</v>
      </c>
      <c r="J941" t="s">
        <v>1610</v>
      </c>
      <c r="L941" t="s">
        <v>138</v>
      </c>
      <c r="M941" t="s">
        <v>139</v>
      </c>
      <c r="R941" t="s">
        <v>1611</v>
      </c>
      <c r="W941" t="s">
        <v>1611</v>
      </c>
      <c r="X941" t="s">
        <v>1612</v>
      </c>
      <c r="Y941" t="s">
        <v>293</v>
      </c>
      <c r="Z941" t="s">
        <v>111</v>
      </c>
      <c r="AA941" t="str">
        <f>"14850-1857"</f>
        <v>14850-1857</v>
      </c>
      <c r="AB941" t="s">
        <v>123</v>
      </c>
      <c r="AC941" t="s">
        <v>113</v>
      </c>
      <c r="AD941" t="s">
        <v>108</v>
      </c>
      <c r="AE941" t="s">
        <v>114</v>
      </c>
      <c r="AF941" t="s">
        <v>142</v>
      </c>
      <c r="AG941" t="s">
        <v>116</v>
      </c>
      <c r="AK941" t="str">
        <f t="shared" si="94"/>
        <v/>
      </c>
      <c r="AL941" t="s">
        <v>1608</v>
      </c>
      <c r="AM941">
        <v>0</v>
      </c>
      <c r="AN941">
        <v>0</v>
      </c>
      <c r="AO941">
        <v>0</v>
      </c>
      <c r="AP941">
        <v>0</v>
      </c>
      <c r="AQ941">
        <v>0</v>
      </c>
      <c r="AR941">
        <v>0</v>
      </c>
      <c r="AS941">
        <v>0</v>
      </c>
      <c r="AT941">
        <v>0</v>
      </c>
      <c r="AU941">
        <v>0</v>
      </c>
      <c r="AV941">
        <v>0</v>
      </c>
      <c r="AW941">
        <v>0</v>
      </c>
      <c r="AX941" s="24" t="str">
        <f t="shared" si="99"/>
        <v/>
      </c>
      <c r="AY941" s="24">
        <f t="shared" si="99"/>
        <v>1</v>
      </c>
      <c r="AZ941" s="24" t="str">
        <f t="shared" si="98"/>
        <v/>
      </c>
      <c r="BA941" s="24" t="str">
        <f t="shared" si="98"/>
        <v/>
      </c>
      <c r="BB941" s="24" t="str">
        <f t="shared" si="98"/>
        <v/>
      </c>
      <c r="BC941" s="24" t="str">
        <f t="shared" si="98"/>
        <v/>
      </c>
      <c r="BD941" s="24" t="str">
        <f t="shared" si="98"/>
        <v/>
      </c>
      <c r="BE941" s="24" t="str">
        <f t="shared" si="98"/>
        <v/>
      </c>
      <c r="BF941" s="24" t="str">
        <f t="shared" si="98"/>
        <v/>
      </c>
      <c r="BG941" s="24" t="str">
        <f t="shared" si="98"/>
        <v/>
      </c>
      <c r="BH941" s="24" t="str">
        <f t="shared" si="95"/>
        <v/>
      </c>
      <c r="BI941" s="24">
        <f t="shared" si="98"/>
        <v>1</v>
      </c>
      <c r="BJ941" s="24" t="str">
        <f t="shared" si="97"/>
        <v/>
      </c>
    </row>
    <row r="942" spans="1:62" ht="15" customHeight="1" x14ac:dyDescent="0.25">
      <c r="A942" t="str">
        <f>"1780935502"</f>
        <v>1780935502</v>
      </c>
      <c r="B942" t="str">
        <f>"03616704"</f>
        <v>03616704</v>
      </c>
      <c r="C942" t="s">
        <v>2401</v>
      </c>
      <c r="D942" t="s">
        <v>2402</v>
      </c>
      <c r="E942" t="s">
        <v>2401</v>
      </c>
      <c r="G942" t="s">
        <v>2403</v>
      </c>
      <c r="H942" t="s">
        <v>2404</v>
      </c>
      <c r="J942" t="s">
        <v>2405</v>
      </c>
      <c r="L942" t="s">
        <v>133</v>
      </c>
      <c r="M942" t="s">
        <v>108</v>
      </c>
      <c r="R942" t="s">
        <v>2406</v>
      </c>
      <c r="W942" t="s">
        <v>2401</v>
      </c>
      <c r="X942" t="s">
        <v>2407</v>
      </c>
      <c r="Y942" t="s">
        <v>2408</v>
      </c>
      <c r="Z942" t="s">
        <v>111</v>
      </c>
      <c r="AA942" t="str">
        <f>"14534-3818"</f>
        <v>14534-3818</v>
      </c>
      <c r="AB942" t="s">
        <v>165</v>
      </c>
      <c r="AC942" t="s">
        <v>113</v>
      </c>
      <c r="AD942" t="s">
        <v>108</v>
      </c>
      <c r="AE942" t="s">
        <v>114</v>
      </c>
      <c r="AF942" t="s">
        <v>115</v>
      </c>
      <c r="AG942" t="s">
        <v>116</v>
      </c>
      <c r="AK942" t="str">
        <f t="shared" si="94"/>
        <v/>
      </c>
      <c r="AL942" t="s">
        <v>2402</v>
      </c>
      <c r="AM942">
        <v>1</v>
      </c>
      <c r="AN942">
        <v>1</v>
      </c>
      <c r="AO942">
        <v>0</v>
      </c>
      <c r="AP942">
        <v>1</v>
      </c>
      <c r="AQ942">
        <v>1</v>
      </c>
      <c r="AR942">
        <v>0</v>
      </c>
      <c r="AS942">
        <v>0</v>
      </c>
      <c r="AT942">
        <v>0</v>
      </c>
      <c r="AU942">
        <v>0</v>
      </c>
      <c r="AV942">
        <v>0</v>
      </c>
      <c r="AW942">
        <v>0</v>
      </c>
      <c r="AX942" s="24" t="str">
        <f t="shared" si="99"/>
        <v/>
      </c>
      <c r="AY942" s="24" t="str">
        <f t="shared" si="99"/>
        <v/>
      </c>
      <c r="AZ942" s="24" t="str">
        <f t="shared" si="98"/>
        <v/>
      </c>
      <c r="BA942" s="24" t="str">
        <f t="shared" si="98"/>
        <v/>
      </c>
      <c r="BB942" s="24" t="str">
        <f t="shared" si="98"/>
        <v/>
      </c>
      <c r="BC942" s="24" t="str">
        <f t="shared" si="98"/>
        <v/>
      </c>
      <c r="BD942" s="24" t="str">
        <f t="shared" si="98"/>
        <v/>
      </c>
      <c r="BE942" s="24" t="str">
        <f t="shared" si="98"/>
        <v/>
      </c>
      <c r="BF942" s="24" t="str">
        <f t="shared" si="98"/>
        <v/>
      </c>
      <c r="BG942" s="24" t="str">
        <f t="shared" si="98"/>
        <v/>
      </c>
      <c r="BH942" s="24" t="str">
        <f t="shared" si="95"/>
        <v/>
      </c>
      <c r="BI942" s="24" t="str">
        <f t="shared" si="98"/>
        <v/>
      </c>
      <c r="BJ942" s="24">
        <f t="shared" si="97"/>
        <v>1</v>
      </c>
    </row>
    <row r="943" spans="1:62" ht="15" customHeight="1" x14ac:dyDescent="0.25">
      <c r="A943" t="str">
        <f>"1114084928"</f>
        <v>1114084928</v>
      </c>
      <c r="B943" t="str">
        <f>"02091876"</f>
        <v>02091876</v>
      </c>
      <c r="C943" t="s">
        <v>2909</v>
      </c>
      <c r="D943" t="s">
        <v>2910</v>
      </c>
      <c r="E943" t="s">
        <v>2911</v>
      </c>
      <c r="L943" t="s">
        <v>138</v>
      </c>
      <c r="M943" t="s">
        <v>108</v>
      </c>
      <c r="R943" t="s">
        <v>2909</v>
      </c>
      <c r="W943" t="s">
        <v>2911</v>
      </c>
      <c r="X943" t="s">
        <v>1237</v>
      </c>
      <c r="Y943" t="s">
        <v>129</v>
      </c>
      <c r="Z943" t="s">
        <v>111</v>
      </c>
      <c r="AA943" t="str">
        <f>"13790-2102"</f>
        <v>13790-2102</v>
      </c>
      <c r="AB943" t="s">
        <v>123</v>
      </c>
      <c r="AC943" t="s">
        <v>113</v>
      </c>
      <c r="AD943" t="s">
        <v>108</v>
      </c>
      <c r="AE943" t="s">
        <v>114</v>
      </c>
      <c r="AF943" t="s">
        <v>115</v>
      </c>
      <c r="AG943" t="s">
        <v>116</v>
      </c>
      <c r="AK943" t="str">
        <f t="shared" si="94"/>
        <v/>
      </c>
      <c r="AL943" t="s">
        <v>2910</v>
      </c>
      <c r="AM943">
        <v>1</v>
      </c>
      <c r="AN943">
        <v>1</v>
      </c>
      <c r="AO943">
        <v>0</v>
      </c>
      <c r="AP943">
        <v>1</v>
      </c>
      <c r="AQ943">
        <v>1</v>
      </c>
      <c r="AR943">
        <v>0</v>
      </c>
      <c r="AS943">
        <v>0</v>
      </c>
      <c r="AT943">
        <v>0</v>
      </c>
      <c r="AU943">
        <v>0</v>
      </c>
      <c r="AV943">
        <v>0</v>
      </c>
      <c r="AW943">
        <v>0</v>
      </c>
      <c r="AX943" s="24" t="str">
        <f t="shared" si="99"/>
        <v/>
      </c>
      <c r="AY943" s="24">
        <f t="shared" si="99"/>
        <v>1</v>
      </c>
      <c r="AZ943" s="24" t="str">
        <f t="shared" si="98"/>
        <v/>
      </c>
      <c r="BA943" s="24" t="str">
        <f t="shared" si="98"/>
        <v/>
      </c>
      <c r="BB943" s="24" t="str">
        <f t="shared" si="98"/>
        <v/>
      </c>
      <c r="BC943" s="24" t="str">
        <f t="shared" si="98"/>
        <v/>
      </c>
      <c r="BD943" s="24" t="str">
        <f t="shared" si="98"/>
        <v/>
      </c>
      <c r="BE943" s="24" t="str">
        <f t="shared" si="98"/>
        <v/>
      </c>
      <c r="BF943" s="24" t="str">
        <f t="shared" si="98"/>
        <v/>
      </c>
      <c r="BG943" s="24" t="str">
        <f t="shared" si="98"/>
        <v/>
      </c>
      <c r="BH943" s="24" t="str">
        <f t="shared" si="95"/>
        <v/>
      </c>
      <c r="BI943" s="24">
        <f t="shared" si="98"/>
        <v>1</v>
      </c>
      <c r="BJ943" s="24" t="str">
        <f t="shared" si="97"/>
        <v/>
      </c>
    </row>
    <row r="944" spans="1:62" ht="15" customHeight="1" x14ac:dyDescent="0.25">
      <c r="A944" t="str">
        <f>"1275533556"</f>
        <v>1275533556</v>
      </c>
      <c r="B944" t="str">
        <f>"02286015"</f>
        <v>02286015</v>
      </c>
      <c r="C944" t="s">
        <v>4120</v>
      </c>
      <c r="D944" t="s">
        <v>4121</v>
      </c>
      <c r="E944" t="s">
        <v>4122</v>
      </c>
      <c r="L944" t="s">
        <v>138</v>
      </c>
      <c r="M944" t="s">
        <v>108</v>
      </c>
      <c r="R944" t="s">
        <v>4120</v>
      </c>
      <c r="W944" t="s">
        <v>4122</v>
      </c>
      <c r="X944" t="s">
        <v>965</v>
      </c>
      <c r="Y944" t="s">
        <v>966</v>
      </c>
      <c r="Z944" t="s">
        <v>111</v>
      </c>
      <c r="AA944" t="str">
        <f>"13850-1559"</f>
        <v>13850-1559</v>
      </c>
      <c r="AB944" t="s">
        <v>123</v>
      </c>
      <c r="AC944" t="s">
        <v>113</v>
      </c>
      <c r="AD944" t="s">
        <v>108</v>
      </c>
      <c r="AE944" t="s">
        <v>114</v>
      </c>
      <c r="AF944" t="s">
        <v>115</v>
      </c>
      <c r="AG944" t="s">
        <v>116</v>
      </c>
      <c r="AK944" t="str">
        <f t="shared" si="94"/>
        <v/>
      </c>
      <c r="AL944" t="s">
        <v>4121</v>
      </c>
      <c r="AM944">
        <v>0</v>
      </c>
      <c r="AN944">
        <v>0</v>
      </c>
      <c r="AO944">
        <v>0</v>
      </c>
      <c r="AP944">
        <v>0</v>
      </c>
      <c r="AQ944">
        <v>0</v>
      </c>
      <c r="AR944">
        <v>0</v>
      </c>
      <c r="AS944">
        <v>0</v>
      </c>
      <c r="AT944">
        <v>0</v>
      </c>
      <c r="AU944">
        <v>0</v>
      </c>
      <c r="AV944">
        <v>0</v>
      </c>
      <c r="AW944">
        <v>0</v>
      </c>
      <c r="AX944" s="24" t="str">
        <f t="shared" si="99"/>
        <v/>
      </c>
      <c r="AY944" s="24">
        <f t="shared" si="99"/>
        <v>1</v>
      </c>
      <c r="AZ944" s="24" t="str">
        <f t="shared" si="98"/>
        <v/>
      </c>
      <c r="BA944" s="24" t="str">
        <f t="shared" si="98"/>
        <v/>
      </c>
      <c r="BB944" s="24" t="str">
        <f t="shared" si="98"/>
        <v/>
      </c>
      <c r="BC944" s="24" t="str">
        <f t="shared" si="98"/>
        <v/>
      </c>
      <c r="BD944" s="24" t="str">
        <f t="shared" si="98"/>
        <v/>
      </c>
      <c r="BE944" s="24" t="str">
        <f t="shared" si="98"/>
        <v/>
      </c>
      <c r="BF944" s="24" t="str">
        <f t="shared" si="98"/>
        <v/>
      </c>
      <c r="BG944" s="24" t="str">
        <f t="shared" si="98"/>
        <v/>
      </c>
      <c r="BH944" s="24" t="str">
        <f t="shared" si="95"/>
        <v/>
      </c>
      <c r="BI944" s="24">
        <f t="shared" si="98"/>
        <v>1</v>
      </c>
      <c r="BJ944" s="24" t="str">
        <f t="shared" si="97"/>
        <v/>
      </c>
    </row>
    <row r="945" spans="1:62" ht="15" customHeight="1" x14ac:dyDescent="0.25">
      <c r="A945" t="str">
        <f>"1114017811"</f>
        <v>1114017811</v>
      </c>
      <c r="B945" t="str">
        <f>"02676355"</f>
        <v>02676355</v>
      </c>
      <c r="C945" t="s">
        <v>392</v>
      </c>
      <c r="D945" t="s">
        <v>393</v>
      </c>
      <c r="E945" t="s">
        <v>394</v>
      </c>
      <c r="G945" t="s">
        <v>392</v>
      </c>
      <c r="H945" t="s">
        <v>395</v>
      </c>
      <c r="J945" t="s">
        <v>396</v>
      </c>
      <c r="L945" t="s">
        <v>120</v>
      </c>
      <c r="M945" t="s">
        <v>139</v>
      </c>
      <c r="R945" t="s">
        <v>397</v>
      </c>
      <c r="W945" t="s">
        <v>394</v>
      </c>
      <c r="X945" t="s">
        <v>398</v>
      </c>
      <c r="Y945" t="s">
        <v>399</v>
      </c>
      <c r="Z945" t="s">
        <v>111</v>
      </c>
      <c r="AA945" t="str">
        <f>"13619-0000"</f>
        <v>13619-0000</v>
      </c>
      <c r="AB945" t="s">
        <v>123</v>
      </c>
      <c r="AC945" t="s">
        <v>113</v>
      </c>
      <c r="AD945" t="s">
        <v>108</v>
      </c>
      <c r="AE945" t="s">
        <v>114</v>
      </c>
      <c r="AF945" t="s">
        <v>115</v>
      </c>
      <c r="AG945" t="s">
        <v>116</v>
      </c>
      <c r="AK945" t="str">
        <f t="shared" si="94"/>
        <v/>
      </c>
      <c r="AL945" t="s">
        <v>393</v>
      </c>
      <c r="AM945">
        <v>1</v>
      </c>
      <c r="AN945">
        <v>1</v>
      </c>
      <c r="AO945">
        <v>0</v>
      </c>
      <c r="AP945">
        <v>1</v>
      </c>
      <c r="AQ945">
        <v>1</v>
      </c>
      <c r="AR945">
        <v>0</v>
      </c>
      <c r="AS945">
        <v>0</v>
      </c>
      <c r="AT945">
        <v>0</v>
      </c>
      <c r="AU945">
        <v>1</v>
      </c>
      <c r="AV945">
        <v>0</v>
      </c>
      <c r="AW945">
        <v>0</v>
      </c>
      <c r="AX945" s="24">
        <f t="shared" si="99"/>
        <v>1</v>
      </c>
      <c r="AY945" s="24" t="str">
        <f t="shared" si="99"/>
        <v/>
      </c>
      <c r="AZ945" s="24" t="str">
        <f t="shared" si="98"/>
        <v/>
      </c>
      <c r="BA945" s="24" t="str">
        <f t="shared" si="98"/>
        <v/>
      </c>
      <c r="BB945" s="24" t="str">
        <f t="shared" si="98"/>
        <v/>
      </c>
      <c r="BC945" s="24" t="str">
        <f t="shared" si="98"/>
        <v/>
      </c>
      <c r="BD945" s="24" t="str">
        <f t="shared" si="98"/>
        <v/>
      </c>
      <c r="BE945" s="24" t="str">
        <f t="shared" si="98"/>
        <v/>
      </c>
      <c r="BF945" s="24" t="str">
        <f t="shared" si="98"/>
        <v/>
      </c>
      <c r="BG945" s="24" t="str">
        <f t="shared" si="98"/>
        <v/>
      </c>
      <c r="BH945" s="24" t="str">
        <f t="shared" si="95"/>
        <v/>
      </c>
      <c r="BI945" s="24">
        <f t="shared" si="98"/>
        <v>1</v>
      </c>
      <c r="BJ945" s="24" t="str">
        <f t="shared" si="97"/>
        <v/>
      </c>
    </row>
    <row r="946" spans="1:62" ht="15" customHeight="1" x14ac:dyDescent="0.25">
      <c r="C946" t="s">
        <v>4487</v>
      </c>
      <c r="G946" t="s">
        <v>4488</v>
      </c>
      <c r="H946" t="s">
        <v>4489</v>
      </c>
      <c r="J946" t="s">
        <v>4490</v>
      </c>
      <c r="K946" t="s">
        <v>780</v>
      </c>
      <c r="L946" t="s">
        <v>781</v>
      </c>
      <c r="M946" t="s">
        <v>108</v>
      </c>
      <c r="N946" t="s">
        <v>4491</v>
      </c>
      <c r="O946" t="s">
        <v>1096</v>
      </c>
      <c r="P946" t="s">
        <v>111</v>
      </c>
      <c r="Q946" t="str">
        <f>"13901"</f>
        <v>13901</v>
      </c>
      <c r="AC946" t="s">
        <v>113</v>
      </c>
      <c r="AD946" t="s">
        <v>108</v>
      </c>
      <c r="AE946" t="s">
        <v>784</v>
      </c>
      <c r="AF946" t="s">
        <v>115</v>
      </c>
      <c r="AG946" t="s">
        <v>116</v>
      </c>
      <c r="AK946" t="str">
        <f t="shared" si="94"/>
        <v/>
      </c>
      <c r="AL946" t="s">
        <v>4487</v>
      </c>
      <c r="AM946">
        <v>1</v>
      </c>
      <c r="AP946">
        <v>1</v>
      </c>
      <c r="AQ946">
        <v>1</v>
      </c>
      <c r="AV946">
        <v>1</v>
      </c>
      <c r="AW946" t="s">
        <v>108</v>
      </c>
      <c r="AX946" s="24" t="str">
        <f t="shared" si="99"/>
        <v/>
      </c>
      <c r="AY946" s="24" t="str">
        <f t="shared" si="99"/>
        <v/>
      </c>
      <c r="AZ946" s="24" t="str">
        <f t="shared" si="98"/>
        <v/>
      </c>
      <c r="BA946" s="24" t="str">
        <f t="shared" si="98"/>
        <v/>
      </c>
      <c r="BB946" s="24" t="str">
        <f t="shared" si="98"/>
        <v/>
      </c>
      <c r="BC946" s="24" t="str">
        <f t="shared" si="98"/>
        <v/>
      </c>
      <c r="BD946" s="24" t="str">
        <f t="shared" si="98"/>
        <v/>
      </c>
      <c r="BE946" s="24" t="str">
        <f t="shared" si="98"/>
        <v/>
      </c>
      <c r="BF946" s="24" t="str">
        <f t="shared" si="98"/>
        <v/>
      </c>
      <c r="BG946" s="24" t="str">
        <f t="shared" si="98"/>
        <v/>
      </c>
      <c r="BH946" s="24">
        <f t="shared" si="95"/>
        <v>1</v>
      </c>
      <c r="BI946" s="24" t="str">
        <f t="shared" si="98"/>
        <v/>
      </c>
      <c r="BJ946" s="24" t="str">
        <f t="shared" si="97"/>
        <v/>
      </c>
    </row>
    <row r="947" spans="1:62" ht="15" customHeight="1" x14ac:dyDescent="0.25">
      <c r="A947" t="str">
        <f>"1114086998"</f>
        <v>1114086998</v>
      </c>
      <c r="B947" t="str">
        <f>"02794705"</f>
        <v>02794705</v>
      </c>
      <c r="C947" t="s">
        <v>2912</v>
      </c>
      <c r="D947" t="s">
        <v>2913</v>
      </c>
      <c r="E947" t="s">
        <v>2914</v>
      </c>
      <c r="L947" t="s">
        <v>120</v>
      </c>
      <c r="M947" t="s">
        <v>108</v>
      </c>
      <c r="R947" t="s">
        <v>2912</v>
      </c>
      <c r="W947" t="s">
        <v>2914</v>
      </c>
      <c r="X947" t="s">
        <v>829</v>
      </c>
      <c r="Y947" t="s">
        <v>830</v>
      </c>
      <c r="Z947" t="s">
        <v>111</v>
      </c>
      <c r="AA947" t="str">
        <f>"13460-9723"</f>
        <v>13460-9723</v>
      </c>
      <c r="AB947" t="s">
        <v>123</v>
      </c>
      <c r="AC947" t="s">
        <v>113</v>
      </c>
      <c r="AD947" t="s">
        <v>108</v>
      </c>
      <c r="AE947" t="s">
        <v>114</v>
      </c>
      <c r="AF947" t="s">
        <v>124</v>
      </c>
      <c r="AG947" t="s">
        <v>116</v>
      </c>
      <c r="AK947" t="str">
        <f t="shared" si="94"/>
        <v/>
      </c>
      <c r="AL947" t="s">
        <v>2913</v>
      </c>
      <c r="AM947">
        <v>1</v>
      </c>
      <c r="AN947">
        <v>1</v>
      </c>
      <c r="AO947">
        <v>0</v>
      </c>
      <c r="AP947">
        <v>0</v>
      </c>
      <c r="AQ947">
        <v>0</v>
      </c>
      <c r="AR947">
        <v>0</v>
      </c>
      <c r="AS947">
        <v>0</v>
      </c>
      <c r="AT947">
        <v>0</v>
      </c>
      <c r="AU947">
        <v>0</v>
      </c>
      <c r="AV947">
        <v>0</v>
      </c>
      <c r="AW947">
        <v>0</v>
      </c>
      <c r="AX947" s="24">
        <f t="shared" si="99"/>
        <v>1</v>
      </c>
      <c r="AY947" s="24" t="str">
        <f t="shared" si="99"/>
        <v/>
      </c>
      <c r="AZ947" s="24" t="str">
        <f t="shared" si="98"/>
        <v/>
      </c>
      <c r="BA947" s="24" t="str">
        <f t="shared" si="98"/>
        <v/>
      </c>
      <c r="BB947" s="24" t="str">
        <f t="shared" si="98"/>
        <v/>
      </c>
      <c r="BC947" s="24" t="str">
        <f t="shared" si="98"/>
        <v/>
      </c>
      <c r="BD947" s="24" t="str">
        <f t="shared" si="98"/>
        <v/>
      </c>
      <c r="BE947" s="24" t="str">
        <f t="shared" si="98"/>
        <v/>
      </c>
      <c r="BF947" s="24" t="str">
        <f t="shared" si="98"/>
        <v/>
      </c>
      <c r="BG947" s="24" t="str">
        <f t="shared" si="98"/>
        <v/>
      </c>
      <c r="BH947" s="24" t="str">
        <f t="shared" si="95"/>
        <v/>
      </c>
      <c r="BI947" s="24">
        <f t="shared" si="98"/>
        <v>1</v>
      </c>
      <c r="BJ947" s="24" t="str">
        <f t="shared" si="97"/>
        <v/>
      </c>
    </row>
    <row r="948" spans="1:62" ht="15" customHeight="1" x14ac:dyDescent="0.25">
      <c r="A948" t="str">
        <f>"1437125895"</f>
        <v>1437125895</v>
      </c>
      <c r="B948" t="str">
        <f>"01944852"</f>
        <v>01944852</v>
      </c>
      <c r="C948" t="s">
        <v>2607</v>
      </c>
      <c r="D948" t="s">
        <v>2608</v>
      </c>
      <c r="E948" t="s">
        <v>2609</v>
      </c>
      <c r="G948" t="s">
        <v>2610</v>
      </c>
      <c r="H948" t="s">
        <v>2611</v>
      </c>
      <c r="J948" t="s">
        <v>2612</v>
      </c>
      <c r="L948" t="s">
        <v>6867</v>
      </c>
      <c r="M948" t="s">
        <v>108</v>
      </c>
      <c r="R948" t="s">
        <v>2613</v>
      </c>
      <c r="W948" t="s">
        <v>2609</v>
      </c>
      <c r="X948" t="s">
        <v>2614</v>
      </c>
      <c r="Y948" t="s">
        <v>293</v>
      </c>
      <c r="Z948" t="s">
        <v>111</v>
      </c>
      <c r="AA948" t="str">
        <f>"14850-1059"</f>
        <v>14850-1059</v>
      </c>
      <c r="AB948" t="s">
        <v>123</v>
      </c>
      <c r="AC948" t="s">
        <v>113</v>
      </c>
      <c r="AD948" t="s">
        <v>108</v>
      </c>
      <c r="AE948" t="s">
        <v>114</v>
      </c>
      <c r="AF948" t="s">
        <v>142</v>
      </c>
      <c r="AG948" t="s">
        <v>116</v>
      </c>
      <c r="AK948" t="str">
        <f t="shared" si="94"/>
        <v/>
      </c>
      <c r="AL948" t="s">
        <v>2608</v>
      </c>
      <c r="AM948">
        <v>1</v>
      </c>
      <c r="AN948">
        <v>1</v>
      </c>
      <c r="AO948">
        <v>0</v>
      </c>
      <c r="AP948">
        <v>0</v>
      </c>
      <c r="AQ948">
        <v>0</v>
      </c>
      <c r="AR948">
        <v>0</v>
      </c>
      <c r="AS948">
        <v>0</v>
      </c>
      <c r="AT948">
        <v>0</v>
      </c>
      <c r="AU948">
        <v>0</v>
      </c>
      <c r="AV948">
        <v>0</v>
      </c>
      <c r="AW948">
        <v>0</v>
      </c>
      <c r="AX948" s="24">
        <f t="shared" si="99"/>
        <v>1</v>
      </c>
      <c r="AY948" s="24">
        <f t="shared" si="99"/>
        <v>1</v>
      </c>
      <c r="AZ948" s="24" t="str">
        <f t="shared" si="98"/>
        <v/>
      </c>
      <c r="BA948" s="24" t="str">
        <f t="shared" si="98"/>
        <v/>
      </c>
      <c r="BB948" s="24" t="str">
        <f t="shared" si="98"/>
        <v/>
      </c>
      <c r="BC948" s="24" t="str">
        <f t="shared" si="98"/>
        <v/>
      </c>
      <c r="BD948" s="24" t="str">
        <f t="shared" si="98"/>
        <v/>
      </c>
      <c r="BE948" s="24" t="str">
        <f t="shared" si="98"/>
        <v/>
      </c>
      <c r="BF948" s="24" t="str">
        <f t="shared" si="98"/>
        <v/>
      </c>
      <c r="BG948" s="24" t="str">
        <f t="shared" si="98"/>
        <v/>
      </c>
      <c r="BH948" s="24" t="str">
        <f t="shared" si="95"/>
        <v/>
      </c>
      <c r="BI948" s="24">
        <f t="shared" si="98"/>
        <v>1</v>
      </c>
      <c r="BJ948" s="24" t="str">
        <f t="shared" si="97"/>
        <v/>
      </c>
    </row>
    <row r="949" spans="1:62" ht="15" customHeight="1" x14ac:dyDescent="0.25">
      <c r="A949" t="str">
        <f>"1710950910"</f>
        <v>1710950910</v>
      </c>
      <c r="B949" t="str">
        <f>"01368758"</f>
        <v>01368758</v>
      </c>
      <c r="C949" t="s">
        <v>1816</v>
      </c>
      <c r="D949" t="s">
        <v>1817</v>
      </c>
      <c r="E949" t="s">
        <v>1818</v>
      </c>
      <c r="G949" t="s">
        <v>815</v>
      </c>
      <c r="H949" t="s">
        <v>816</v>
      </c>
      <c r="J949" t="s">
        <v>817</v>
      </c>
      <c r="L949" t="s">
        <v>138</v>
      </c>
      <c r="M949" t="s">
        <v>108</v>
      </c>
      <c r="R949" t="s">
        <v>1816</v>
      </c>
      <c r="W949" t="s">
        <v>1818</v>
      </c>
      <c r="X949" t="s">
        <v>1819</v>
      </c>
      <c r="Y949" t="s">
        <v>110</v>
      </c>
      <c r="Z949" t="s">
        <v>111</v>
      </c>
      <c r="AA949" t="str">
        <f>"13905-4177"</f>
        <v>13905-4177</v>
      </c>
      <c r="AB949" t="s">
        <v>123</v>
      </c>
      <c r="AC949" t="s">
        <v>113</v>
      </c>
      <c r="AD949" t="s">
        <v>108</v>
      </c>
      <c r="AE949" t="s">
        <v>114</v>
      </c>
      <c r="AF949" t="s">
        <v>115</v>
      </c>
      <c r="AG949" t="s">
        <v>116</v>
      </c>
      <c r="AK949" t="str">
        <f t="shared" si="94"/>
        <v/>
      </c>
      <c r="AL949" t="s">
        <v>1817</v>
      </c>
      <c r="AM949">
        <v>1</v>
      </c>
      <c r="AN949">
        <v>1</v>
      </c>
      <c r="AO949">
        <v>0</v>
      </c>
      <c r="AP949">
        <v>1</v>
      </c>
      <c r="AQ949">
        <v>1</v>
      </c>
      <c r="AR949">
        <v>0</v>
      </c>
      <c r="AS949">
        <v>0</v>
      </c>
      <c r="AT949">
        <v>0</v>
      </c>
      <c r="AU949">
        <v>0</v>
      </c>
      <c r="AV949">
        <v>0</v>
      </c>
      <c r="AW949">
        <v>0</v>
      </c>
      <c r="AX949" s="24" t="str">
        <f t="shared" si="99"/>
        <v/>
      </c>
      <c r="AY949" s="24">
        <f t="shared" si="99"/>
        <v>1</v>
      </c>
      <c r="AZ949" s="24" t="str">
        <f t="shared" si="98"/>
        <v/>
      </c>
      <c r="BA949" s="24" t="str">
        <f t="shared" si="98"/>
        <v/>
      </c>
      <c r="BB949" s="24" t="str">
        <f t="shared" si="98"/>
        <v/>
      </c>
      <c r="BC949" s="24" t="str">
        <f t="shared" si="98"/>
        <v/>
      </c>
      <c r="BD949" s="24" t="str">
        <f t="shared" si="98"/>
        <v/>
      </c>
      <c r="BE949" s="24" t="str">
        <f t="shared" si="98"/>
        <v/>
      </c>
      <c r="BF949" s="24" t="str">
        <f t="shared" si="98"/>
        <v/>
      </c>
      <c r="BG949" s="24" t="str">
        <f t="shared" si="98"/>
        <v/>
      </c>
      <c r="BH949" s="24" t="str">
        <f t="shared" si="95"/>
        <v/>
      </c>
      <c r="BI949" s="24">
        <f t="shared" si="98"/>
        <v>1</v>
      </c>
      <c r="BJ949" s="24" t="str">
        <f t="shared" si="97"/>
        <v/>
      </c>
    </row>
    <row r="950" spans="1:62" ht="15" customHeight="1" x14ac:dyDescent="0.25">
      <c r="A950" t="str">
        <f>"1619155587"</f>
        <v>1619155587</v>
      </c>
      <c r="B950" t="str">
        <f>"03163962"</f>
        <v>03163962</v>
      </c>
      <c r="C950" t="s">
        <v>3339</v>
      </c>
      <c r="D950" t="s">
        <v>3340</v>
      </c>
      <c r="E950" t="s">
        <v>3341</v>
      </c>
      <c r="G950" t="s">
        <v>786</v>
      </c>
      <c r="H950" t="s">
        <v>787</v>
      </c>
      <c r="J950" t="s">
        <v>788</v>
      </c>
      <c r="L950" t="s">
        <v>247</v>
      </c>
      <c r="M950" t="s">
        <v>108</v>
      </c>
      <c r="R950" t="s">
        <v>3339</v>
      </c>
      <c r="W950" t="s">
        <v>3342</v>
      </c>
      <c r="X950" t="s">
        <v>3295</v>
      </c>
      <c r="Y950" t="s">
        <v>239</v>
      </c>
      <c r="Z950" t="s">
        <v>111</v>
      </c>
      <c r="AA950" t="str">
        <f>"13045-2014"</f>
        <v>13045-2014</v>
      </c>
      <c r="AB950" t="s">
        <v>1872</v>
      </c>
      <c r="AC950" t="s">
        <v>113</v>
      </c>
      <c r="AD950" t="s">
        <v>108</v>
      </c>
      <c r="AE950" t="s">
        <v>114</v>
      </c>
      <c r="AF950" t="s">
        <v>142</v>
      </c>
      <c r="AG950" t="s">
        <v>116</v>
      </c>
      <c r="AK950" t="str">
        <f t="shared" si="94"/>
        <v/>
      </c>
      <c r="AL950" t="s">
        <v>3340</v>
      </c>
      <c r="AM950">
        <v>0</v>
      </c>
      <c r="AN950">
        <v>0</v>
      </c>
      <c r="AO950">
        <v>0</v>
      </c>
      <c r="AP950">
        <v>0</v>
      </c>
      <c r="AQ950">
        <v>0</v>
      </c>
      <c r="AR950">
        <v>0</v>
      </c>
      <c r="AS950">
        <v>0</v>
      </c>
      <c r="AT950">
        <v>0</v>
      </c>
      <c r="AU950">
        <v>0</v>
      </c>
      <c r="AV950">
        <v>0</v>
      </c>
      <c r="AW950">
        <v>0</v>
      </c>
      <c r="AX950" s="24" t="str">
        <f t="shared" si="99"/>
        <v/>
      </c>
      <c r="AY950" s="24">
        <f t="shared" si="99"/>
        <v>1</v>
      </c>
      <c r="AZ950" s="24" t="str">
        <f t="shared" si="98"/>
        <v/>
      </c>
      <c r="BA950" s="24" t="str">
        <f t="shared" si="98"/>
        <v/>
      </c>
      <c r="BB950" s="24" t="str">
        <f t="shared" si="98"/>
        <v/>
      </c>
      <c r="BC950" s="24" t="str">
        <f t="shared" si="98"/>
        <v/>
      </c>
      <c r="BD950" s="24" t="str">
        <f t="shared" si="98"/>
        <v/>
      </c>
      <c r="BE950" s="24" t="str">
        <f t="shared" si="98"/>
        <v/>
      </c>
      <c r="BF950" s="24" t="str">
        <f t="shared" si="98"/>
        <v/>
      </c>
      <c r="BG950" s="24" t="str">
        <f t="shared" si="98"/>
        <v/>
      </c>
      <c r="BH950" s="24" t="str">
        <f t="shared" si="95"/>
        <v/>
      </c>
      <c r="BI950" s="24" t="str">
        <f t="shared" si="98"/>
        <v/>
      </c>
      <c r="BJ950" s="24" t="str">
        <f t="shared" si="97"/>
        <v/>
      </c>
    </row>
    <row r="951" spans="1:62" ht="15" customHeight="1" x14ac:dyDescent="0.25">
      <c r="A951" t="str">
        <f>"1023001245"</f>
        <v>1023001245</v>
      </c>
      <c r="B951" t="str">
        <f>"01657258"</f>
        <v>01657258</v>
      </c>
      <c r="C951" t="s">
        <v>6375</v>
      </c>
      <c r="D951" t="s">
        <v>6376</v>
      </c>
      <c r="E951" t="s">
        <v>6377</v>
      </c>
      <c r="G951" t="s">
        <v>6330</v>
      </c>
      <c r="H951" t="s">
        <v>6331</v>
      </c>
      <c r="J951" t="s">
        <v>6332</v>
      </c>
      <c r="L951" t="s">
        <v>120</v>
      </c>
      <c r="M951" t="s">
        <v>108</v>
      </c>
      <c r="R951" t="s">
        <v>6378</v>
      </c>
      <c r="W951" t="s">
        <v>6377</v>
      </c>
      <c r="Y951" t="s">
        <v>129</v>
      </c>
      <c r="Z951" t="s">
        <v>111</v>
      </c>
      <c r="AA951" t="str">
        <f>"13790-2597"</f>
        <v>13790-2597</v>
      </c>
      <c r="AB951" t="s">
        <v>123</v>
      </c>
      <c r="AC951" t="s">
        <v>113</v>
      </c>
      <c r="AD951" t="s">
        <v>108</v>
      </c>
      <c r="AE951" t="s">
        <v>114</v>
      </c>
      <c r="AF951" t="s">
        <v>115</v>
      </c>
      <c r="AG951" t="s">
        <v>116</v>
      </c>
      <c r="AK951" t="str">
        <f t="shared" si="94"/>
        <v>Mullen Gregory</v>
      </c>
      <c r="AL951" t="s">
        <v>6376</v>
      </c>
      <c r="AM951" t="s">
        <v>108</v>
      </c>
      <c r="AN951" t="s">
        <v>108</v>
      </c>
      <c r="AO951" t="s">
        <v>108</v>
      </c>
      <c r="AP951" t="s">
        <v>108</v>
      </c>
      <c r="AQ951" t="s">
        <v>108</v>
      </c>
      <c r="AR951" t="s">
        <v>108</v>
      </c>
      <c r="AS951" t="s">
        <v>108</v>
      </c>
      <c r="AT951" t="s">
        <v>108</v>
      </c>
      <c r="AU951" t="s">
        <v>108</v>
      </c>
      <c r="AV951" t="s">
        <v>108</v>
      </c>
      <c r="AW951" t="s">
        <v>108</v>
      </c>
      <c r="AX951" s="24">
        <f t="shared" si="99"/>
        <v>1</v>
      </c>
      <c r="AY951" s="24" t="str">
        <f t="shared" si="99"/>
        <v/>
      </c>
      <c r="AZ951" s="24" t="str">
        <f t="shared" si="98"/>
        <v/>
      </c>
      <c r="BA951" s="24" t="str">
        <f t="shared" si="98"/>
        <v/>
      </c>
      <c r="BB951" s="24" t="str">
        <f t="shared" si="98"/>
        <v/>
      </c>
      <c r="BC951" s="24" t="str">
        <f t="shared" si="98"/>
        <v/>
      </c>
      <c r="BD951" s="24" t="str">
        <f t="shared" si="98"/>
        <v/>
      </c>
      <c r="BE951" s="24" t="str">
        <f t="shared" si="98"/>
        <v/>
      </c>
      <c r="BF951" s="24" t="str">
        <f t="shared" si="98"/>
        <v/>
      </c>
      <c r="BG951" s="24" t="str">
        <f t="shared" si="98"/>
        <v/>
      </c>
      <c r="BH951" s="24" t="str">
        <f t="shared" si="95"/>
        <v/>
      </c>
      <c r="BI951" s="24">
        <f t="shared" si="98"/>
        <v>1</v>
      </c>
      <c r="BJ951" s="24" t="str">
        <f t="shared" si="97"/>
        <v/>
      </c>
    </row>
    <row r="952" spans="1:62" ht="15" customHeight="1" x14ac:dyDescent="0.25">
      <c r="A952" t="str">
        <f>"1447422670"</f>
        <v>1447422670</v>
      </c>
      <c r="B952" t="str">
        <f>"03132827"</f>
        <v>03132827</v>
      </c>
      <c r="C952" t="s">
        <v>5186</v>
      </c>
      <c r="D952" t="s">
        <v>5187</v>
      </c>
      <c r="E952" t="s">
        <v>5188</v>
      </c>
      <c r="L952" t="s">
        <v>247</v>
      </c>
      <c r="M952" t="s">
        <v>108</v>
      </c>
      <c r="R952" t="s">
        <v>5186</v>
      </c>
      <c r="W952" t="s">
        <v>5188</v>
      </c>
      <c r="X952" t="s">
        <v>881</v>
      </c>
      <c r="Y952" t="s">
        <v>321</v>
      </c>
      <c r="Z952" t="s">
        <v>111</v>
      </c>
      <c r="AA952" t="str">
        <f>"13760-5430"</f>
        <v>13760-5430</v>
      </c>
      <c r="AB952" t="s">
        <v>1000</v>
      </c>
      <c r="AC952" t="s">
        <v>113</v>
      </c>
      <c r="AD952" t="s">
        <v>108</v>
      </c>
      <c r="AE952" t="s">
        <v>114</v>
      </c>
      <c r="AF952" t="s">
        <v>115</v>
      </c>
      <c r="AG952" t="s">
        <v>116</v>
      </c>
      <c r="AK952" t="str">
        <f t="shared" si="94"/>
        <v>MURPHY MATTHEW</v>
      </c>
      <c r="AL952" t="s">
        <v>5187</v>
      </c>
      <c r="AM952" t="s">
        <v>108</v>
      </c>
      <c r="AN952" t="s">
        <v>108</v>
      </c>
      <c r="AO952" t="s">
        <v>108</v>
      </c>
      <c r="AP952" t="s">
        <v>108</v>
      </c>
      <c r="AQ952" t="s">
        <v>108</v>
      </c>
      <c r="AR952" t="s">
        <v>108</v>
      </c>
      <c r="AS952" t="s">
        <v>108</v>
      </c>
      <c r="AT952" t="s">
        <v>108</v>
      </c>
      <c r="AU952" t="s">
        <v>108</v>
      </c>
      <c r="AV952" t="s">
        <v>108</v>
      </c>
      <c r="AW952" t="s">
        <v>108</v>
      </c>
      <c r="AX952" s="24" t="str">
        <f t="shared" si="99"/>
        <v/>
      </c>
      <c r="AY952" s="24">
        <f t="shared" si="99"/>
        <v>1</v>
      </c>
      <c r="AZ952" s="24" t="str">
        <f t="shared" si="98"/>
        <v/>
      </c>
      <c r="BA952" s="24" t="str">
        <f t="shared" si="98"/>
        <v/>
      </c>
      <c r="BB952" s="24" t="str">
        <f t="shared" si="98"/>
        <v/>
      </c>
      <c r="BC952" s="24" t="str">
        <f t="shared" si="98"/>
        <v/>
      </c>
      <c r="BD952" s="24" t="str">
        <f t="shared" si="98"/>
        <v/>
      </c>
      <c r="BE952" s="24" t="str">
        <f t="shared" si="98"/>
        <v/>
      </c>
      <c r="BF952" s="24" t="str">
        <f t="shared" si="98"/>
        <v/>
      </c>
      <c r="BG952" s="24" t="str">
        <f t="shared" si="98"/>
        <v/>
      </c>
      <c r="BH952" s="24" t="str">
        <f t="shared" si="95"/>
        <v/>
      </c>
      <c r="BI952" s="24" t="str">
        <f t="shared" si="98"/>
        <v/>
      </c>
      <c r="BJ952" s="24" t="str">
        <f t="shared" si="97"/>
        <v/>
      </c>
    </row>
    <row r="953" spans="1:62" ht="15" customHeight="1" x14ac:dyDescent="0.25">
      <c r="A953" t="str">
        <f>"1518953082"</f>
        <v>1518953082</v>
      </c>
      <c r="B953" t="str">
        <f>"01387439"</f>
        <v>01387439</v>
      </c>
      <c r="C953" t="s">
        <v>835</v>
      </c>
      <c r="D953" t="s">
        <v>836</v>
      </c>
      <c r="E953" t="s">
        <v>837</v>
      </c>
      <c r="G953" t="s">
        <v>6330</v>
      </c>
      <c r="H953" t="s">
        <v>6331</v>
      </c>
      <c r="J953" t="s">
        <v>6332</v>
      </c>
      <c r="L953" t="s">
        <v>120</v>
      </c>
      <c r="M953" t="s">
        <v>108</v>
      </c>
      <c r="R953" t="s">
        <v>835</v>
      </c>
      <c r="W953" t="s">
        <v>837</v>
      </c>
      <c r="X953" t="s">
        <v>838</v>
      </c>
      <c r="Y953" t="s">
        <v>839</v>
      </c>
      <c r="Z953" t="s">
        <v>111</v>
      </c>
      <c r="AA953" t="str">
        <f>"13743"</f>
        <v>13743</v>
      </c>
      <c r="AB953" t="s">
        <v>123</v>
      </c>
      <c r="AC953" t="s">
        <v>113</v>
      </c>
      <c r="AD953" t="s">
        <v>108</v>
      </c>
      <c r="AE953" t="s">
        <v>114</v>
      </c>
      <c r="AF953" t="s">
        <v>115</v>
      </c>
      <c r="AG953" t="s">
        <v>116</v>
      </c>
      <c r="AK953" t="str">
        <f t="shared" si="94"/>
        <v/>
      </c>
      <c r="AL953" t="s">
        <v>836</v>
      </c>
      <c r="AM953">
        <v>1</v>
      </c>
      <c r="AN953">
        <v>1</v>
      </c>
      <c r="AO953">
        <v>0</v>
      </c>
      <c r="AP953">
        <v>1</v>
      </c>
      <c r="AQ953">
        <v>1</v>
      </c>
      <c r="AR953">
        <v>0</v>
      </c>
      <c r="AS953">
        <v>0</v>
      </c>
      <c r="AT953">
        <v>0</v>
      </c>
      <c r="AU953">
        <v>0</v>
      </c>
      <c r="AV953">
        <v>0</v>
      </c>
      <c r="AW953">
        <v>0</v>
      </c>
      <c r="AX953" s="24">
        <f t="shared" si="99"/>
        <v>1</v>
      </c>
      <c r="AY953" s="24" t="str">
        <f t="shared" si="99"/>
        <v/>
      </c>
      <c r="AZ953" s="24" t="str">
        <f t="shared" si="98"/>
        <v/>
      </c>
      <c r="BA953" s="24" t="str">
        <f t="shared" si="98"/>
        <v/>
      </c>
      <c r="BB953" s="24" t="str">
        <f t="shared" si="98"/>
        <v/>
      </c>
      <c r="BC953" s="24" t="str">
        <f t="shared" si="98"/>
        <v/>
      </c>
      <c r="BD953" s="24" t="str">
        <f t="shared" si="98"/>
        <v/>
      </c>
      <c r="BE953" s="24" t="str">
        <f t="shared" si="98"/>
        <v/>
      </c>
      <c r="BF953" s="24" t="str">
        <f t="shared" si="98"/>
        <v/>
      </c>
      <c r="BG953" s="24" t="str">
        <f t="shared" si="98"/>
        <v/>
      </c>
      <c r="BH953" s="24" t="str">
        <f t="shared" si="95"/>
        <v/>
      </c>
      <c r="BI953" s="24">
        <f t="shared" si="98"/>
        <v>1</v>
      </c>
      <c r="BJ953" s="24" t="str">
        <f t="shared" si="97"/>
        <v/>
      </c>
    </row>
    <row r="954" spans="1:62" ht="15" customHeight="1" x14ac:dyDescent="0.25">
      <c r="A954" t="str">
        <f>"1952546038"</f>
        <v>1952546038</v>
      </c>
      <c r="B954" t="str">
        <f>"03123544"</f>
        <v>03123544</v>
      </c>
      <c r="C954" t="s">
        <v>2483</v>
      </c>
      <c r="D954" t="s">
        <v>2484</v>
      </c>
      <c r="E954" t="s">
        <v>2485</v>
      </c>
      <c r="G954" t="s">
        <v>177</v>
      </c>
      <c r="H954" t="s">
        <v>178</v>
      </c>
      <c r="J954" t="s">
        <v>179</v>
      </c>
      <c r="L954" t="s">
        <v>138</v>
      </c>
      <c r="M954" t="s">
        <v>108</v>
      </c>
      <c r="R954" t="s">
        <v>2483</v>
      </c>
      <c r="W954" t="s">
        <v>2483</v>
      </c>
      <c r="X954" t="s">
        <v>196</v>
      </c>
      <c r="Y954" t="s">
        <v>181</v>
      </c>
      <c r="Z954" t="s">
        <v>182</v>
      </c>
      <c r="AA954" t="str">
        <f>"18840-1625"</f>
        <v>18840-1625</v>
      </c>
      <c r="AB954" t="s">
        <v>123</v>
      </c>
      <c r="AC954" t="s">
        <v>113</v>
      </c>
      <c r="AD954" t="s">
        <v>108</v>
      </c>
      <c r="AE954" t="s">
        <v>114</v>
      </c>
      <c r="AF954" t="s">
        <v>115</v>
      </c>
      <c r="AG954" t="s">
        <v>116</v>
      </c>
      <c r="AK954" t="str">
        <f t="shared" si="94"/>
        <v/>
      </c>
      <c r="AL954" t="s">
        <v>2484</v>
      </c>
      <c r="AM954">
        <v>0</v>
      </c>
      <c r="AN954">
        <v>0</v>
      </c>
      <c r="AO954">
        <v>0</v>
      </c>
      <c r="AP954">
        <v>0</v>
      </c>
      <c r="AQ954">
        <v>0</v>
      </c>
      <c r="AR954">
        <v>0</v>
      </c>
      <c r="AS954">
        <v>0</v>
      </c>
      <c r="AT954">
        <v>0</v>
      </c>
      <c r="AU954">
        <v>0</v>
      </c>
      <c r="AV954">
        <v>0</v>
      </c>
      <c r="AW954">
        <v>0</v>
      </c>
      <c r="AX954" s="24" t="str">
        <f t="shared" si="99"/>
        <v/>
      </c>
      <c r="AY954" s="24">
        <f t="shared" si="99"/>
        <v>1</v>
      </c>
      <c r="AZ954" s="24" t="str">
        <f t="shared" si="98"/>
        <v/>
      </c>
      <c r="BA954" s="24" t="str">
        <f t="shared" si="98"/>
        <v/>
      </c>
      <c r="BB954" s="24" t="str">
        <f t="shared" si="98"/>
        <v/>
      </c>
      <c r="BC954" s="24" t="str">
        <f t="shared" si="98"/>
        <v/>
      </c>
      <c r="BD954" s="24" t="str">
        <f t="shared" si="98"/>
        <v/>
      </c>
      <c r="BE954" s="24" t="str">
        <f t="shared" si="98"/>
        <v/>
      </c>
      <c r="BF954" s="24" t="str">
        <f t="shared" si="98"/>
        <v/>
      </c>
      <c r="BG954" s="24" t="str">
        <f t="shared" si="98"/>
        <v/>
      </c>
      <c r="BH954" s="24" t="str">
        <f t="shared" si="95"/>
        <v/>
      </c>
      <c r="BI954" s="24">
        <f t="shared" si="98"/>
        <v>1</v>
      </c>
      <c r="BJ954" s="24" t="str">
        <f t="shared" si="97"/>
        <v/>
      </c>
    </row>
    <row r="955" spans="1:62" ht="15" customHeight="1" x14ac:dyDescent="0.25">
      <c r="A955" t="str">
        <f>"1528054210"</f>
        <v>1528054210</v>
      </c>
      <c r="B955" t="str">
        <f>"02662013"</f>
        <v>02662013</v>
      </c>
      <c r="C955" t="s">
        <v>2098</v>
      </c>
      <c r="D955" t="s">
        <v>2099</v>
      </c>
      <c r="E955" t="s">
        <v>2100</v>
      </c>
      <c r="G955" t="s">
        <v>229</v>
      </c>
      <c r="H955" t="s">
        <v>230</v>
      </c>
      <c r="J955" t="s">
        <v>231</v>
      </c>
      <c r="L955" t="s">
        <v>247</v>
      </c>
      <c r="M955" t="s">
        <v>108</v>
      </c>
      <c r="R955" t="s">
        <v>2101</v>
      </c>
      <c r="W955" t="s">
        <v>2100</v>
      </c>
      <c r="X955" t="s">
        <v>2102</v>
      </c>
      <c r="Y955" t="s">
        <v>141</v>
      </c>
      <c r="Z955" t="s">
        <v>111</v>
      </c>
      <c r="AA955" t="str">
        <f>"13210-1853"</f>
        <v>13210-1853</v>
      </c>
      <c r="AB955" t="s">
        <v>123</v>
      </c>
      <c r="AC955" t="s">
        <v>113</v>
      </c>
      <c r="AD955" t="s">
        <v>108</v>
      </c>
      <c r="AE955" t="s">
        <v>114</v>
      </c>
      <c r="AF955" t="s">
        <v>142</v>
      </c>
      <c r="AG955" t="s">
        <v>116</v>
      </c>
      <c r="AK955" t="str">
        <f t="shared" si="94"/>
        <v/>
      </c>
      <c r="AL955" t="s">
        <v>2099</v>
      </c>
      <c r="AM955">
        <v>1</v>
      </c>
      <c r="AN955">
        <v>1</v>
      </c>
      <c r="AO955">
        <v>0</v>
      </c>
      <c r="AP955">
        <v>0</v>
      </c>
      <c r="AQ955">
        <v>1</v>
      </c>
      <c r="AR955">
        <v>0</v>
      </c>
      <c r="AS955">
        <v>0</v>
      </c>
      <c r="AT955">
        <v>0</v>
      </c>
      <c r="AU955">
        <v>0</v>
      </c>
      <c r="AV955">
        <v>0</v>
      </c>
      <c r="AW955">
        <v>0</v>
      </c>
      <c r="AX955" s="24" t="str">
        <f t="shared" si="99"/>
        <v/>
      </c>
      <c r="AY955" s="24">
        <f t="shared" si="99"/>
        <v>1</v>
      </c>
      <c r="AZ955" s="24" t="str">
        <f t="shared" si="98"/>
        <v/>
      </c>
      <c r="BA955" s="24" t="str">
        <f t="shared" si="98"/>
        <v/>
      </c>
      <c r="BB955" s="24" t="str">
        <f t="shared" si="98"/>
        <v/>
      </c>
      <c r="BC955" s="24" t="str">
        <f t="shared" si="98"/>
        <v/>
      </c>
      <c r="BD955" s="24" t="str">
        <f t="shared" si="98"/>
        <v/>
      </c>
      <c r="BE955" s="24" t="str">
        <f t="shared" si="98"/>
        <v/>
      </c>
      <c r="BF955" s="24" t="str">
        <f t="shared" si="98"/>
        <v/>
      </c>
      <c r="BG955" s="24" t="str">
        <f t="shared" si="98"/>
        <v/>
      </c>
      <c r="BH955" s="24" t="str">
        <f t="shared" si="95"/>
        <v/>
      </c>
      <c r="BI955" s="24" t="str">
        <f t="shared" si="98"/>
        <v/>
      </c>
      <c r="BJ955" s="24" t="str">
        <f t="shared" si="97"/>
        <v/>
      </c>
    </row>
    <row r="956" spans="1:62" ht="15" customHeight="1" x14ac:dyDescent="0.25">
      <c r="A956" t="str">
        <f>"1346598950"</f>
        <v>1346598950</v>
      </c>
      <c r="B956" t="str">
        <f>"03495058"</f>
        <v>03495058</v>
      </c>
      <c r="C956" t="s">
        <v>6223</v>
      </c>
      <c r="D956" t="s">
        <v>6224</v>
      </c>
      <c r="E956" t="s">
        <v>6225</v>
      </c>
      <c r="G956" t="s">
        <v>815</v>
      </c>
      <c r="H956" t="s">
        <v>816</v>
      </c>
      <c r="J956" t="s">
        <v>817</v>
      </c>
      <c r="L956" t="s">
        <v>120</v>
      </c>
      <c r="M956" t="s">
        <v>108</v>
      </c>
      <c r="R956" t="s">
        <v>6226</v>
      </c>
      <c r="W956" t="s">
        <v>6225</v>
      </c>
      <c r="X956" t="s">
        <v>2083</v>
      </c>
      <c r="Y956" t="s">
        <v>966</v>
      </c>
      <c r="Z956" t="s">
        <v>111</v>
      </c>
      <c r="AA956" t="str">
        <f>"13850-2640"</f>
        <v>13850-2640</v>
      </c>
      <c r="AB956" t="s">
        <v>123</v>
      </c>
      <c r="AC956" t="s">
        <v>113</v>
      </c>
      <c r="AD956" t="s">
        <v>108</v>
      </c>
      <c r="AE956" t="s">
        <v>114</v>
      </c>
      <c r="AF956" t="s">
        <v>115</v>
      </c>
      <c r="AG956" t="s">
        <v>116</v>
      </c>
      <c r="AK956" t="str">
        <f t="shared" si="94"/>
        <v>Nahid Borogerdi, PhD, FNP-C</v>
      </c>
      <c r="AL956" t="s">
        <v>6224</v>
      </c>
      <c r="AM956" t="s">
        <v>108</v>
      </c>
      <c r="AN956" t="s">
        <v>108</v>
      </c>
      <c r="AO956" t="s">
        <v>108</v>
      </c>
      <c r="AP956" t="s">
        <v>108</v>
      </c>
      <c r="AQ956" t="s">
        <v>108</v>
      </c>
      <c r="AR956" t="s">
        <v>108</v>
      </c>
      <c r="AS956" t="s">
        <v>108</v>
      </c>
      <c r="AT956" t="s">
        <v>108</v>
      </c>
      <c r="AU956" t="s">
        <v>108</v>
      </c>
      <c r="AV956" t="s">
        <v>108</v>
      </c>
      <c r="AW956" t="s">
        <v>108</v>
      </c>
      <c r="AX956" s="24">
        <f t="shared" si="99"/>
        <v>1</v>
      </c>
      <c r="AY956" s="24" t="str">
        <f t="shared" si="99"/>
        <v/>
      </c>
      <c r="AZ956" s="24" t="str">
        <f t="shared" si="98"/>
        <v/>
      </c>
      <c r="BA956" s="24" t="str">
        <f t="shared" si="98"/>
        <v/>
      </c>
      <c r="BB956" s="24" t="str">
        <f t="shared" si="98"/>
        <v/>
      </c>
      <c r="BC956" s="24" t="str">
        <f t="shared" si="98"/>
        <v/>
      </c>
      <c r="BD956" s="24" t="str">
        <f t="shared" si="98"/>
        <v/>
      </c>
      <c r="BE956" s="24" t="str">
        <f t="shared" si="98"/>
        <v/>
      </c>
      <c r="BF956" s="24" t="str">
        <f t="shared" si="98"/>
        <v/>
      </c>
      <c r="BG956" s="24" t="str">
        <f t="shared" si="98"/>
        <v/>
      </c>
      <c r="BH956" s="24" t="str">
        <f t="shared" si="95"/>
        <v/>
      </c>
      <c r="BI956" s="24">
        <f t="shared" si="98"/>
        <v>1</v>
      </c>
      <c r="BJ956" s="24" t="str">
        <f t="shared" si="97"/>
        <v/>
      </c>
    </row>
    <row r="957" spans="1:62" ht="15" customHeight="1" x14ac:dyDescent="0.25">
      <c r="A957" t="str">
        <f>"1306851035"</f>
        <v>1306851035</v>
      </c>
      <c r="B957" t="str">
        <f>"02752761"</f>
        <v>02752761</v>
      </c>
      <c r="C957" t="s">
        <v>5060</v>
      </c>
      <c r="D957" t="s">
        <v>5061</v>
      </c>
      <c r="E957" t="s">
        <v>5060</v>
      </c>
      <c r="G957" t="s">
        <v>699</v>
      </c>
      <c r="H957" t="s">
        <v>700</v>
      </c>
      <c r="J957" t="s">
        <v>701</v>
      </c>
      <c r="L957" t="s">
        <v>120</v>
      </c>
      <c r="M957" t="s">
        <v>108</v>
      </c>
      <c r="R957" t="s">
        <v>5062</v>
      </c>
      <c r="W957" t="s">
        <v>5062</v>
      </c>
      <c r="X957" t="s">
        <v>5063</v>
      </c>
      <c r="Y957" t="s">
        <v>5064</v>
      </c>
      <c r="Z957" t="s">
        <v>111</v>
      </c>
      <c r="AA957" t="str">
        <f>"11501-3893"</f>
        <v>11501-3893</v>
      </c>
      <c r="AB957" t="s">
        <v>123</v>
      </c>
      <c r="AC957" t="s">
        <v>113</v>
      </c>
      <c r="AD957" t="s">
        <v>108</v>
      </c>
      <c r="AE957" t="s">
        <v>114</v>
      </c>
      <c r="AF957" t="s">
        <v>142</v>
      </c>
      <c r="AG957" t="s">
        <v>116</v>
      </c>
      <c r="AK957" t="str">
        <f t="shared" si="94"/>
        <v/>
      </c>
      <c r="AL957" t="s">
        <v>5061</v>
      </c>
      <c r="AM957">
        <v>0</v>
      </c>
      <c r="AN957">
        <v>0</v>
      </c>
      <c r="AO957">
        <v>0</v>
      </c>
      <c r="AP957">
        <v>0</v>
      </c>
      <c r="AQ957">
        <v>0</v>
      </c>
      <c r="AR957">
        <v>0</v>
      </c>
      <c r="AS957">
        <v>0</v>
      </c>
      <c r="AT957">
        <v>0</v>
      </c>
      <c r="AU957">
        <v>0</v>
      </c>
      <c r="AV957">
        <v>0</v>
      </c>
      <c r="AW957">
        <v>0</v>
      </c>
      <c r="AX957" s="24">
        <f t="shared" si="99"/>
        <v>1</v>
      </c>
      <c r="AY957" s="24" t="str">
        <f t="shared" si="99"/>
        <v/>
      </c>
      <c r="AZ957" s="24" t="str">
        <f t="shared" si="98"/>
        <v/>
      </c>
      <c r="BA957" s="24" t="str">
        <f t="shared" ref="AZ957:BI982" si="100">IF(ISERROR(FIND(BA$1,$L957,1)),"",1)</f>
        <v/>
      </c>
      <c r="BB957" s="24" t="str">
        <f t="shared" si="100"/>
        <v/>
      </c>
      <c r="BC957" s="24" t="str">
        <f t="shared" si="100"/>
        <v/>
      </c>
      <c r="BD957" s="24" t="str">
        <f t="shared" si="100"/>
        <v/>
      </c>
      <c r="BE957" s="24" t="str">
        <f t="shared" si="100"/>
        <v/>
      </c>
      <c r="BF957" s="24" t="str">
        <f t="shared" si="100"/>
        <v/>
      </c>
      <c r="BG957" s="24" t="str">
        <f t="shared" si="100"/>
        <v/>
      </c>
      <c r="BH957" s="24" t="str">
        <f t="shared" si="95"/>
        <v/>
      </c>
      <c r="BI957" s="24">
        <f t="shared" si="100"/>
        <v>1</v>
      </c>
      <c r="BJ957" s="24" t="str">
        <f t="shared" si="97"/>
        <v/>
      </c>
    </row>
    <row r="958" spans="1:62" ht="15" customHeight="1" x14ac:dyDescent="0.25">
      <c r="A958" t="str">
        <f>"1952398513"</f>
        <v>1952398513</v>
      </c>
      <c r="B958" t="str">
        <f>"01005605"</f>
        <v>01005605</v>
      </c>
      <c r="C958" t="s">
        <v>4555</v>
      </c>
      <c r="D958" t="s">
        <v>4556</v>
      </c>
      <c r="E958" t="s">
        <v>4557</v>
      </c>
      <c r="L958" t="s">
        <v>247</v>
      </c>
      <c r="M958" t="s">
        <v>108</v>
      </c>
      <c r="R958" t="s">
        <v>4555</v>
      </c>
      <c r="W958" t="s">
        <v>4557</v>
      </c>
      <c r="X958" t="s">
        <v>425</v>
      </c>
      <c r="Y958" t="s">
        <v>110</v>
      </c>
      <c r="Z958" t="s">
        <v>111</v>
      </c>
      <c r="AA958" t="str">
        <f>"13903"</f>
        <v>13903</v>
      </c>
      <c r="AB958" t="s">
        <v>123</v>
      </c>
      <c r="AC958" t="s">
        <v>113</v>
      </c>
      <c r="AD958" t="s">
        <v>108</v>
      </c>
      <c r="AE958" t="s">
        <v>114</v>
      </c>
      <c r="AF958" t="s">
        <v>115</v>
      </c>
      <c r="AG958" t="s">
        <v>116</v>
      </c>
      <c r="AK958" t="str">
        <f t="shared" si="94"/>
        <v/>
      </c>
      <c r="AL958" t="s">
        <v>4556</v>
      </c>
      <c r="AM958">
        <v>0</v>
      </c>
      <c r="AN958">
        <v>0</v>
      </c>
      <c r="AO958">
        <v>0</v>
      </c>
      <c r="AP958">
        <v>0</v>
      </c>
      <c r="AQ958">
        <v>0</v>
      </c>
      <c r="AR958">
        <v>0</v>
      </c>
      <c r="AS958">
        <v>0</v>
      </c>
      <c r="AT958">
        <v>0</v>
      </c>
      <c r="AU958">
        <v>0</v>
      </c>
      <c r="AV958">
        <v>0</v>
      </c>
      <c r="AW958">
        <v>0</v>
      </c>
      <c r="AX958" s="24" t="str">
        <f t="shared" si="99"/>
        <v/>
      </c>
      <c r="AY958" s="24">
        <f t="shared" si="99"/>
        <v>1</v>
      </c>
      <c r="AZ958" s="24" t="str">
        <f t="shared" si="100"/>
        <v/>
      </c>
      <c r="BA958" s="24" t="str">
        <f t="shared" si="100"/>
        <v/>
      </c>
      <c r="BB958" s="24" t="str">
        <f t="shared" si="100"/>
        <v/>
      </c>
      <c r="BC958" s="24" t="str">
        <f t="shared" si="100"/>
        <v/>
      </c>
      <c r="BD958" s="24" t="str">
        <f t="shared" si="100"/>
        <v/>
      </c>
      <c r="BE958" s="24" t="str">
        <f t="shared" si="100"/>
        <v/>
      </c>
      <c r="BF958" s="24" t="str">
        <f t="shared" si="100"/>
        <v/>
      </c>
      <c r="BG958" s="24" t="str">
        <f t="shared" si="100"/>
        <v/>
      </c>
      <c r="BH958" s="24" t="str">
        <f t="shared" si="95"/>
        <v/>
      </c>
      <c r="BI958" s="24" t="str">
        <f t="shared" si="100"/>
        <v/>
      </c>
      <c r="BJ958" s="24" t="str">
        <f t="shared" si="97"/>
        <v/>
      </c>
    </row>
    <row r="959" spans="1:62" ht="15" customHeight="1" x14ac:dyDescent="0.25">
      <c r="A959" t="str">
        <f>"1720114838"</f>
        <v>1720114838</v>
      </c>
      <c r="B959" t="str">
        <f>"00900110"</f>
        <v>00900110</v>
      </c>
      <c r="C959" t="s">
        <v>2572</v>
      </c>
      <c r="D959" t="s">
        <v>2573</v>
      </c>
      <c r="E959" t="s">
        <v>2574</v>
      </c>
      <c r="G959" t="s">
        <v>579</v>
      </c>
      <c r="H959" t="s">
        <v>2575</v>
      </c>
      <c r="J959" t="s">
        <v>2576</v>
      </c>
      <c r="L959" t="s">
        <v>6868</v>
      </c>
      <c r="M959" t="s">
        <v>108</v>
      </c>
      <c r="R959" t="s">
        <v>2577</v>
      </c>
      <c r="W959" t="s">
        <v>2574</v>
      </c>
      <c r="X959" t="s">
        <v>1691</v>
      </c>
      <c r="Y959" t="s">
        <v>293</v>
      </c>
      <c r="Z959" t="s">
        <v>111</v>
      </c>
      <c r="AA959" t="str">
        <f>"14850-4219"</f>
        <v>14850-4219</v>
      </c>
      <c r="AB959" t="s">
        <v>123</v>
      </c>
      <c r="AC959" t="s">
        <v>113</v>
      </c>
      <c r="AD959" t="s">
        <v>108</v>
      </c>
      <c r="AE959" t="s">
        <v>114</v>
      </c>
      <c r="AF959" t="s">
        <v>142</v>
      </c>
      <c r="AG959" t="s">
        <v>116</v>
      </c>
      <c r="AK959" t="str">
        <f t="shared" si="94"/>
        <v/>
      </c>
      <c r="AL959" t="s">
        <v>2573</v>
      </c>
      <c r="AM959">
        <v>0</v>
      </c>
      <c r="AN959">
        <v>0</v>
      </c>
      <c r="AO959">
        <v>0</v>
      </c>
      <c r="AP959">
        <v>0</v>
      </c>
      <c r="AQ959">
        <v>0</v>
      </c>
      <c r="AR959">
        <v>0</v>
      </c>
      <c r="AS959">
        <v>0</v>
      </c>
      <c r="AT959">
        <v>0</v>
      </c>
      <c r="AU959">
        <v>0</v>
      </c>
      <c r="AV959">
        <v>0</v>
      </c>
      <c r="AW959">
        <v>0</v>
      </c>
      <c r="AX959" s="24">
        <f t="shared" si="99"/>
        <v>1</v>
      </c>
      <c r="AY959" s="24">
        <f t="shared" si="99"/>
        <v>1</v>
      </c>
      <c r="AZ959" s="24" t="str">
        <f t="shared" si="100"/>
        <v/>
      </c>
      <c r="BA959" s="24" t="str">
        <f t="shared" si="100"/>
        <v/>
      </c>
      <c r="BB959" s="24" t="str">
        <f t="shared" si="100"/>
        <v/>
      </c>
      <c r="BC959" s="24" t="str">
        <f t="shared" si="100"/>
        <v/>
      </c>
      <c r="BD959" s="24" t="str">
        <f t="shared" si="100"/>
        <v/>
      </c>
      <c r="BE959" s="24" t="str">
        <f t="shared" si="100"/>
        <v/>
      </c>
      <c r="BF959" s="24" t="str">
        <f t="shared" si="100"/>
        <v/>
      </c>
      <c r="BG959" s="24" t="str">
        <f t="shared" si="100"/>
        <v/>
      </c>
      <c r="BH959" s="24" t="str">
        <f t="shared" si="95"/>
        <v/>
      </c>
      <c r="BI959" s="24" t="str">
        <f t="shared" si="100"/>
        <v/>
      </c>
      <c r="BJ959" s="24" t="str">
        <f t="shared" si="97"/>
        <v/>
      </c>
    </row>
    <row r="960" spans="1:62" ht="15" customHeight="1" x14ac:dyDescent="0.25">
      <c r="A960" t="str">
        <f>"1255434619"</f>
        <v>1255434619</v>
      </c>
      <c r="B960" t="str">
        <f>"04181224"</f>
        <v>04181224</v>
      </c>
      <c r="C960" t="s">
        <v>6521</v>
      </c>
      <c r="D960" t="s">
        <v>6522</v>
      </c>
      <c r="E960" t="s">
        <v>6523</v>
      </c>
      <c r="G960" t="s">
        <v>6507</v>
      </c>
      <c r="H960" t="s">
        <v>6508</v>
      </c>
      <c r="J960" t="s">
        <v>6509</v>
      </c>
      <c r="L960" t="s">
        <v>120</v>
      </c>
      <c r="M960" t="s">
        <v>108</v>
      </c>
      <c r="R960" t="s">
        <v>6524</v>
      </c>
      <c r="W960" t="s">
        <v>6525</v>
      </c>
      <c r="X960" t="s">
        <v>156</v>
      </c>
      <c r="Y960" t="s">
        <v>157</v>
      </c>
      <c r="Z960" t="s">
        <v>111</v>
      </c>
      <c r="AA960" t="str">
        <f>"14830-2959"</f>
        <v>14830-2959</v>
      </c>
      <c r="AB960" t="s">
        <v>123</v>
      </c>
      <c r="AC960" t="s">
        <v>113</v>
      </c>
      <c r="AD960" t="s">
        <v>108</v>
      </c>
      <c r="AE960" t="s">
        <v>114</v>
      </c>
      <c r="AF960" t="s">
        <v>142</v>
      </c>
      <c r="AG960" t="s">
        <v>116</v>
      </c>
      <c r="AK960" t="str">
        <f t="shared" si="94"/>
        <v>Nanda Michelle</v>
      </c>
      <c r="AL960" t="s">
        <v>6522</v>
      </c>
      <c r="AM960" t="s">
        <v>108</v>
      </c>
      <c r="AN960" t="s">
        <v>108</v>
      </c>
      <c r="AO960" t="s">
        <v>108</v>
      </c>
      <c r="AP960" t="s">
        <v>108</v>
      </c>
      <c r="AQ960" t="s">
        <v>108</v>
      </c>
      <c r="AR960" t="s">
        <v>108</v>
      </c>
      <c r="AS960" t="s">
        <v>108</v>
      </c>
      <c r="AT960" t="s">
        <v>108</v>
      </c>
      <c r="AU960" t="s">
        <v>108</v>
      </c>
      <c r="AV960" t="s">
        <v>108</v>
      </c>
      <c r="AW960" t="s">
        <v>108</v>
      </c>
      <c r="AX960" s="24">
        <f t="shared" si="99"/>
        <v>1</v>
      </c>
      <c r="AY960" s="24" t="str">
        <f t="shared" si="99"/>
        <v/>
      </c>
      <c r="AZ960" s="24" t="str">
        <f t="shared" si="100"/>
        <v/>
      </c>
      <c r="BA960" s="24" t="str">
        <f t="shared" si="100"/>
        <v/>
      </c>
      <c r="BB960" s="24" t="str">
        <f t="shared" si="100"/>
        <v/>
      </c>
      <c r="BC960" s="24" t="str">
        <f t="shared" si="100"/>
        <v/>
      </c>
      <c r="BD960" s="24" t="str">
        <f t="shared" si="100"/>
        <v/>
      </c>
      <c r="BE960" s="24" t="str">
        <f t="shared" si="100"/>
        <v/>
      </c>
      <c r="BF960" s="24" t="str">
        <f t="shared" si="100"/>
        <v/>
      </c>
      <c r="BG960" s="24" t="str">
        <f t="shared" si="100"/>
        <v/>
      </c>
      <c r="BH960" s="24" t="str">
        <f t="shared" si="95"/>
        <v/>
      </c>
      <c r="BI960" s="24">
        <f t="shared" si="100"/>
        <v>1</v>
      </c>
      <c r="BJ960" s="24" t="str">
        <f t="shared" si="97"/>
        <v/>
      </c>
    </row>
    <row r="961" spans="1:62" ht="15" customHeight="1" x14ac:dyDescent="0.25">
      <c r="A961" t="str">
        <f>"1194021741"</f>
        <v>1194021741</v>
      </c>
      <c r="B961" t="str">
        <f>"04254573"</f>
        <v>04254573</v>
      </c>
      <c r="C961" t="s">
        <v>5979</v>
      </c>
      <c r="D961" t="s">
        <v>5980</v>
      </c>
      <c r="E961" t="s">
        <v>5981</v>
      </c>
      <c r="G961" t="s">
        <v>815</v>
      </c>
      <c r="H961" t="s">
        <v>816</v>
      </c>
      <c r="J961" t="s">
        <v>817</v>
      </c>
      <c r="L961" t="s">
        <v>247</v>
      </c>
      <c r="M961" t="s">
        <v>108</v>
      </c>
      <c r="R961" t="s">
        <v>5982</v>
      </c>
      <c r="W961" t="s">
        <v>5981</v>
      </c>
      <c r="X961" t="s">
        <v>204</v>
      </c>
      <c r="Y961" t="s">
        <v>110</v>
      </c>
      <c r="Z961" t="s">
        <v>111</v>
      </c>
      <c r="AA961" t="str">
        <f>"13905-4246"</f>
        <v>13905-4246</v>
      </c>
      <c r="AB961" t="s">
        <v>123</v>
      </c>
      <c r="AC961" t="s">
        <v>113</v>
      </c>
      <c r="AD961" t="s">
        <v>108</v>
      </c>
      <c r="AE961" t="s">
        <v>114</v>
      </c>
      <c r="AF961" t="s">
        <v>115</v>
      </c>
      <c r="AG961" t="s">
        <v>116</v>
      </c>
      <c r="AK961" t="str">
        <f t="shared" si="94"/>
        <v>Narinder K Sandhu, MD</v>
      </c>
      <c r="AL961" t="s">
        <v>5980</v>
      </c>
      <c r="AM961" t="s">
        <v>108</v>
      </c>
      <c r="AN961" t="s">
        <v>108</v>
      </c>
      <c r="AO961" t="s">
        <v>108</v>
      </c>
      <c r="AP961" t="s">
        <v>108</v>
      </c>
      <c r="AQ961" t="s">
        <v>108</v>
      </c>
      <c r="AR961" t="s">
        <v>108</v>
      </c>
      <c r="AS961" t="s">
        <v>108</v>
      </c>
      <c r="AT961" t="s">
        <v>108</v>
      </c>
      <c r="AU961" t="s">
        <v>108</v>
      </c>
      <c r="AV961" t="s">
        <v>108</v>
      </c>
      <c r="AW961" t="s">
        <v>108</v>
      </c>
      <c r="AX961" s="24" t="str">
        <f t="shared" si="99"/>
        <v/>
      </c>
      <c r="AY961" s="24">
        <f t="shared" si="99"/>
        <v>1</v>
      </c>
      <c r="AZ961" s="24" t="str">
        <f t="shared" si="100"/>
        <v/>
      </c>
      <c r="BA961" s="24" t="str">
        <f t="shared" si="100"/>
        <v/>
      </c>
      <c r="BB961" s="24" t="str">
        <f t="shared" si="100"/>
        <v/>
      </c>
      <c r="BC961" s="24" t="str">
        <f t="shared" si="100"/>
        <v/>
      </c>
      <c r="BD961" s="24" t="str">
        <f t="shared" si="100"/>
        <v/>
      </c>
      <c r="BE961" s="24" t="str">
        <f t="shared" si="100"/>
        <v/>
      </c>
      <c r="BF961" s="24" t="str">
        <f t="shared" si="100"/>
        <v/>
      </c>
      <c r="BG961" s="24" t="str">
        <f t="shared" si="100"/>
        <v/>
      </c>
      <c r="BH961" s="24" t="str">
        <f t="shared" si="95"/>
        <v/>
      </c>
      <c r="BI961" s="24" t="str">
        <f t="shared" si="100"/>
        <v/>
      </c>
      <c r="BJ961" s="24" t="str">
        <f t="shared" si="97"/>
        <v/>
      </c>
    </row>
    <row r="962" spans="1:62" ht="15" customHeight="1" x14ac:dyDescent="0.25">
      <c r="A962" t="str">
        <f>"1255643912"</f>
        <v>1255643912</v>
      </c>
      <c r="B962" t="str">
        <f>"04208022"</f>
        <v>04208022</v>
      </c>
      <c r="C962" t="s">
        <v>6535</v>
      </c>
      <c r="D962" t="s">
        <v>6536</v>
      </c>
      <c r="E962" t="s">
        <v>6537</v>
      </c>
      <c r="G962" t="s">
        <v>1352</v>
      </c>
      <c r="H962" t="s">
        <v>1683</v>
      </c>
      <c r="J962" t="s">
        <v>1354</v>
      </c>
      <c r="L962" t="s">
        <v>120</v>
      </c>
      <c r="M962" t="s">
        <v>108</v>
      </c>
      <c r="R962" t="s">
        <v>6538</v>
      </c>
      <c r="W962" t="s">
        <v>6537</v>
      </c>
      <c r="X962" t="s">
        <v>6539</v>
      </c>
      <c r="Y962" t="s">
        <v>239</v>
      </c>
      <c r="Z962" t="s">
        <v>111</v>
      </c>
      <c r="AA962" t="str">
        <f>"13045-1208"</f>
        <v>13045-1208</v>
      </c>
      <c r="AB962" t="s">
        <v>123</v>
      </c>
      <c r="AC962" t="s">
        <v>113</v>
      </c>
      <c r="AD962" t="s">
        <v>108</v>
      </c>
      <c r="AE962" t="s">
        <v>114</v>
      </c>
      <c r="AF962" t="s">
        <v>142</v>
      </c>
      <c r="AG962" t="s">
        <v>116</v>
      </c>
      <c r="AK962" t="str">
        <f t="shared" ref="AK962:AK1025" si="101">IF(AM962="No",C962,"")</f>
        <v>Narula Disha</v>
      </c>
      <c r="AL962" t="s">
        <v>6536</v>
      </c>
      <c r="AM962" t="s">
        <v>108</v>
      </c>
      <c r="AN962" t="s">
        <v>108</v>
      </c>
      <c r="AO962" t="s">
        <v>108</v>
      </c>
      <c r="AP962" t="s">
        <v>108</v>
      </c>
      <c r="AQ962" t="s">
        <v>108</v>
      </c>
      <c r="AR962" t="s">
        <v>108</v>
      </c>
      <c r="AS962" t="s">
        <v>108</v>
      </c>
      <c r="AT962" t="s">
        <v>108</v>
      </c>
      <c r="AU962" t="s">
        <v>108</v>
      </c>
      <c r="AV962" t="s">
        <v>108</v>
      </c>
      <c r="AW962" t="s">
        <v>108</v>
      </c>
      <c r="AX962" s="24">
        <f t="shared" si="99"/>
        <v>1</v>
      </c>
      <c r="AY962" s="24" t="str">
        <f t="shared" si="99"/>
        <v/>
      </c>
      <c r="AZ962" s="24" t="str">
        <f t="shared" si="100"/>
        <v/>
      </c>
      <c r="BA962" s="24" t="str">
        <f t="shared" si="100"/>
        <v/>
      </c>
      <c r="BB962" s="24" t="str">
        <f t="shared" si="100"/>
        <v/>
      </c>
      <c r="BC962" s="24" t="str">
        <f t="shared" si="100"/>
        <v/>
      </c>
      <c r="BD962" s="24" t="str">
        <f t="shared" si="100"/>
        <v/>
      </c>
      <c r="BE962" s="24" t="str">
        <f t="shared" si="100"/>
        <v/>
      </c>
      <c r="BF962" s="24" t="str">
        <f t="shared" si="100"/>
        <v/>
      </c>
      <c r="BG962" s="24" t="str">
        <f t="shared" si="100"/>
        <v/>
      </c>
      <c r="BH962" s="24" t="str">
        <f t="shared" si="95"/>
        <v/>
      </c>
      <c r="BI962" s="24">
        <f t="shared" si="100"/>
        <v>1</v>
      </c>
      <c r="BJ962" s="24" t="str">
        <f t="shared" si="97"/>
        <v/>
      </c>
    </row>
    <row r="963" spans="1:62" ht="15" customHeight="1" x14ac:dyDescent="0.25">
      <c r="A963" t="str">
        <f>"1467453415"</f>
        <v>1467453415</v>
      </c>
      <c r="B963" t="str">
        <f>"00710581"</f>
        <v>00710581</v>
      </c>
      <c r="C963" t="s">
        <v>475</v>
      </c>
      <c r="D963" t="s">
        <v>476</v>
      </c>
      <c r="E963" t="s">
        <v>477</v>
      </c>
      <c r="L963" t="s">
        <v>6867</v>
      </c>
      <c r="M963" t="s">
        <v>108</v>
      </c>
      <c r="R963" t="s">
        <v>475</v>
      </c>
      <c r="W963" t="s">
        <v>477</v>
      </c>
      <c r="X963" t="s">
        <v>478</v>
      </c>
      <c r="Y963" t="s">
        <v>110</v>
      </c>
      <c r="Z963" t="s">
        <v>111</v>
      </c>
      <c r="AA963" t="str">
        <f>"13902"</f>
        <v>13902</v>
      </c>
      <c r="AB963" t="s">
        <v>123</v>
      </c>
      <c r="AC963" t="s">
        <v>113</v>
      </c>
      <c r="AD963" t="s">
        <v>108</v>
      </c>
      <c r="AE963" t="s">
        <v>114</v>
      </c>
      <c r="AF963" t="s">
        <v>115</v>
      </c>
      <c r="AG963" t="s">
        <v>116</v>
      </c>
      <c r="AK963" t="str">
        <f t="shared" si="101"/>
        <v/>
      </c>
      <c r="AL963" t="s">
        <v>476</v>
      </c>
      <c r="AM963">
        <v>1</v>
      </c>
      <c r="AN963">
        <v>1</v>
      </c>
      <c r="AO963">
        <v>0</v>
      </c>
      <c r="AP963">
        <v>1</v>
      </c>
      <c r="AQ963">
        <v>1</v>
      </c>
      <c r="AR963">
        <v>0</v>
      </c>
      <c r="AS963">
        <v>0</v>
      </c>
      <c r="AT963">
        <v>0</v>
      </c>
      <c r="AU963">
        <v>0</v>
      </c>
      <c r="AV963">
        <v>0</v>
      </c>
      <c r="AW963">
        <v>0</v>
      </c>
      <c r="AX963" s="24">
        <f t="shared" si="99"/>
        <v>1</v>
      </c>
      <c r="AY963" s="24">
        <f t="shared" si="99"/>
        <v>1</v>
      </c>
      <c r="AZ963" s="24" t="str">
        <f t="shared" si="100"/>
        <v/>
      </c>
      <c r="BA963" s="24" t="str">
        <f t="shared" si="100"/>
        <v/>
      </c>
      <c r="BB963" s="24" t="str">
        <f t="shared" si="100"/>
        <v/>
      </c>
      <c r="BC963" s="24" t="str">
        <f t="shared" si="100"/>
        <v/>
      </c>
      <c r="BD963" s="24" t="str">
        <f t="shared" si="100"/>
        <v/>
      </c>
      <c r="BE963" s="24" t="str">
        <f t="shared" si="100"/>
        <v/>
      </c>
      <c r="BF963" s="24" t="str">
        <f t="shared" si="100"/>
        <v/>
      </c>
      <c r="BG963" s="24" t="str">
        <f t="shared" si="100"/>
        <v/>
      </c>
      <c r="BH963" s="24" t="str">
        <f t="shared" ref="BH963:BH1026" si="102">IF(ISERROR(FIND("CBO",$L963,1)),"",1)</f>
        <v/>
      </c>
      <c r="BI963" s="24">
        <f t="shared" si="100"/>
        <v>1</v>
      </c>
      <c r="BJ963" s="24" t="str">
        <f t="shared" si="97"/>
        <v/>
      </c>
    </row>
    <row r="964" spans="1:62" ht="15" customHeight="1" x14ac:dyDescent="0.25">
      <c r="A964" t="str">
        <f>"1689820631"</f>
        <v>1689820631</v>
      </c>
      <c r="B964" t="str">
        <f>"03517957"</f>
        <v>03517957</v>
      </c>
      <c r="C964" t="s">
        <v>2177</v>
      </c>
      <c r="D964" t="s">
        <v>2178</v>
      </c>
      <c r="E964" t="s">
        <v>2179</v>
      </c>
      <c r="G964" t="s">
        <v>2177</v>
      </c>
      <c r="H964" t="s">
        <v>440</v>
      </c>
      <c r="J964" t="s">
        <v>2180</v>
      </c>
      <c r="L964" t="s">
        <v>247</v>
      </c>
      <c r="M964" t="s">
        <v>108</v>
      </c>
      <c r="R964" t="s">
        <v>2179</v>
      </c>
      <c r="W964" t="s">
        <v>2179</v>
      </c>
      <c r="X964" t="s">
        <v>121</v>
      </c>
      <c r="Y964" t="s">
        <v>122</v>
      </c>
      <c r="Z964" t="s">
        <v>111</v>
      </c>
      <c r="AA964" t="str">
        <f>"13815-1019"</f>
        <v>13815-1019</v>
      </c>
      <c r="AB964" t="s">
        <v>123</v>
      </c>
      <c r="AC964" t="s">
        <v>113</v>
      </c>
      <c r="AD964" t="s">
        <v>108</v>
      </c>
      <c r="AE964" t="s">
        <v>114</v>
      </c>
      <c r="AF964" t="s">
        <v>124</v>
      </c>
      <c r="AG964" t="s">
        <v>116</v>
      </c>
      <c r="AK964" t="str">
        <f t="shared" si="101"/>
        <v/>
      </c>
      <c r="AL964" t="s">
        <v>2178</v>
      </c>
      <c r="AM964">
        <v>0</v>
      </c>
      <c r="AN964">
        <v>0</v>
      </c>
      <c r="AO964">
        <v>0</v>
      </c>
      <c r="AP964">
        <v>0</v>
      </c>
      <c r="AQ964">
        <v>0</v>
      </c>
      <c r="AR964">
        <v>0</v>
      </c>
      <c r="AS964">
        <v>0</v>
      </c>
      <c r="AT964">
        <v>0</v>
      </c>
      <c r="AU964">
        <v>0</v>
      </c>
      <c r="AV964">
        <v>0</v>
      </c>
      <c r="AW964">
        <v>0</v>
      </c>
      <c r="AX964" s="24" t="str">
        <f t="shared" si="99"/>
        <v/>
      </c>
      <c r="AY964" s="24">
        <f t="shared" si="99"/>
        <v>1</v>
      </c>
      <c r="AZ964" s="24" t="str">
        <f t="shared" si="100"/>
        <v/>
      </c>
      <c r="BA964" s="24" t="str">
        <f t="shared" si="100"/>
        <v/>
      </c>
      <c r="BB964" s="24" t="str">
        <f t="shared" si="100"/>
        <v/>
      </c>
      <c r="BC964" s="24" t="str">
        <f t="shared" si="100"/>
        <v/>
      </c>
      <c r="BD964" s="24" t="str">
        <f t="shared" si="100"/>
        <v/>
      </c>
      <c r="BE964" s="24" t="str">
        <f t="shared" si="100"/>
        <v/>
      </c>
      <c r="BF964" s="24" t="str">
        <f t="shared" si="100"/>
        <v/>
      </c>
      <c r="BG964" s="24" t="str">
        <f t="shared" si="100"/>
        <v/>
      </c>
      <c r="BH964" s="24" t="str">
        <f t="shared" si="102"/>
        <v/>
      </c>
      <c r="BI964" s="24" t="str">
        <f t="shared" si="100"/>
        <v/>
      </c>
      <c r="BJ964" s="24" t="str">
        <f t="shared" si="97"/>
        <v/>
      </c>
    </row>
    <row r="965" spans="1:62" ht="15" customHeight="1" x14ac:dyDescent="0.25">
      <c r="A965" t="str">
        <f>"1073622239"</f>
        <v>1073622239</v>
      </c>
      <c r="B965" t="str">
        <f>"03246146"</f>
        <v>03246146</v>
      </c>
      <c r="C965" t="s">
        <v>5988</v>
      </c>
      <c r="D965" t="s">
        <v>5989</v>
      </c>
      <c r="E965" t="s">
        <v>5990</v>
      </c>
      <c r="G965" t="s">
        <v>815</v>
      </c>
      <c r="H965" t="s">
        <v>816</v>
      </c>
      <c r="J965" t="s">
        <v>817</v>
      </c>
      <c r="L965" t="s">
        <v>138</v>
      </c>
      <c r="M965" t="s">
        <v>108</v>
      </c>
      <c r="R965" t="s">
        <v>5991</v>
      </c>
      <c r="W965" t="s">
        <v>5990</v>
      </c>
      <c r="X965" t="s">
        <v>196</v>
      </c>
      <c r="Y965" t="s">
        <v>181</v>
      </c>
      <c r="Z965" t="s">
        <v>182</v>
      </c>
      <c r="AA965" t="str">
        <f>"18840-1625"</f>
        <v>18840-1625</v>
      </c>
      <c r="AB965" t="s">
        <v>123</v>
      </c>
      <c r="AC965" t="s">
        <v>113</v>
      </c>
      <c r="AD965" t="s">
        <v>108</v>
      </c>
      <c r="AE965" t="s">
        <v>114</v>
      </c>
      <c r="AF965" t="s">
        <v>115</v>
      </c>
      <c r="AG965" t="s">
        <v>116</v>
      </c>
      <c r="AK965" t="str">
        <f t="shared" si="101"/>
        <v>Natalie M. Roney, MD</v>
      </c>
      <c r="AL965" t="s">
        <v>5989</v>
      </c>
      <c r="AM965" t="s">
        <v>108</v>
      </c>
      <c r="AN965" t="s">
        <v>108</v>
      </c>
      <c r="AO965" t="s">
        <v>108</v>
      </c>
      <c r="AP965" t="s">
        <v>108</v>
      </c>
      <c r="AQ965" t="s">
        <v>108</v>
      </c>
      <c r="AR965" t="s">
        <v>108</v>
      </c>
      <c r="AS965" t="s">
        <v>108</v>
      </c>
      <c r="AT965" t="s">
        <v>108</v>
      </c>
      <c r="AU965" t="s">
        <v>108</v>
      </c>
      <c r="AV965" t="s">
        <v>108</v>
      </c>
      <c r="AW965" t="s">
        <v>108</v>
      </c>
      <c r="AX965" s="24" t="str">
        <f t="shared" si="99"/>
        <v/>
      </c>
      <c r="AY965" s="24">
        <f t="shared" si="99"/>
        <v>1</v>
      </c>
      <c r="AZ965" s="24" t="str">
        <f t="shared" si="100"/>
        <v/>
      </c>
      <c r="BA965" s="24" t="str">
        <f t="shared" si="100"/>
        <v/>
      </c>
      <c r="BB965" s="24" t="str">
        <f t="shared" si="100"/>
        <v/>
      </c>
      <c r="BC965" s="24" t="str">
        <f t="shared" si="100"/>
        <v/>
      </c>
      <c r="BD965" s="24" t="str">
        <f t="shared" si="100"/>
        <v/>
      </c>
      <c r="BE965" s="24" t="str">
        <f t="shared" si="100"/>
        <v/>
      </c>
      <c r="BF965" s="24" t="str">
        <f t="shared" si="100"/>
        <v/>
      </c>
      <c r="BG965" s="24" t="str">
        <f t="shared" si="100"/>
        <v/>
      </c>
      <c r="BH965" s="24" t="str">
        <f t="shared" si="102"/>
        <v/>
      </c>
      <c r="BI965" s="24">
        <f t="shared" si="100"/>
        <v>1</v>
      </c>
      <c r="BJ965" s="24" t="str">
        <f t="shared" si="97"/>
        <v/>
      </c>
    </row>
    <row r="966" spans="1:62" ht="15" customHeight="1" x14ac:dyDescent="0.25">
      <c r="A966" t="str">
        <f>"1922114966"</f>
        <v>1922114966</v>
      </c>
      <c r="B966" t="str">
        <f>"03097990"</f>
        <v>03097990</v>
      </c>
      <c r="C966" t="s">
        <v>2356</v>
      </c>
      <c r="D966" t="s">
        <v>2357</v>
      </c>
      <c r="E966" t="s">
        <v>2358</v>
      </c>
      <c r="G966" t="s">
        <v>2356</v>
      </c>
      <c r="H966" t="s">
        <v>440</v>
      </c>
      <c r="J966" t="s">
        <v>2359</v>
      </c>
      <c r="L966" t="s">
        <v>6867</v>
      </c>
      <c r="M966" t="s">
        <v>108</v>
      </c>
      <c r="R966" t="s">
        <v>2358</v>
      </c>
      <c r="W966" t="s">
        <v>2358</v>
      </c>
      <c r="X966" t="s">
        <v>2097</v>
      </c>
      <c r="Y966" t="s">
        <v>927</v>
      </c>
      <c r="Z966" t="s">
        <v>111</v>
      </c>
      <c r="AA966" t="str">
        <f>"14905-1629"</f>
        <v>14905-1629</v>
      </c>
      <c r="AB966" t="s">
        <v>123</v>
      </c>
      <c r="AC966" t="s">
        <v>113</v>
      </c>
      <c r="AD966" t="s">
        <v>108</v>
      </c>
      <c r="AE966" t="s">
        <v>114</v>
      </c>
      <c r="AF966" t="s">
        <v>149</v>
      </c>
      <c r="AG966" t="s">
        <v>116</v>
      </c>
      <c r="AK966" t="str">
        <f t="shared" si="101"/>
        <v/>
      </c>
      <c r="AL966" t="s">
        <v>2357</v>
      </c>
      <c r="AM966">
        <v>0</v>
      </c>
      <c r="AN966">
        <v>0</v>
      </c>
      <c r="AO966">
        <v>0</v>
      </c>
      <c r="AP966">
        <v>0</v>
      </c>
      <c r="AQ966">
        <v>0</v>
      </c>
      <c r="AR966">
        <v>0</v>
      </c>
      <c r="AS966">
        <v>0</v>
      </c>
      <c r="AT966">
        <v>0</v>
      </c>
      <c r="AU966">
        <v>0</v>
      </c>
      <c r="AV966">
        <v>0</v>
      </c>
      <c r="AW966">
        <v>0</v>
      </c>
      <c r="AX966" s="24">
        <f t="shared" si="99"/>
        <v>1</v>
      </c>
      <c r="AY966" s="24">
        <f t="shared" si="99"/>
        <v>1</v>
      </c>
      <c r="AZ966" s="24" t="str">
        <f t="shared" si="100"/>
        <v/>
      </c>
      <c r="BA966" s="24" t="str">
        <f t="shared" si="100"/>
        <v/>
      </c>
      <c r="BB966" s="24" t="str">
        <f t="shared" si="100"/>
        <v/>
      </c>
      <c r="BC966" s="24" t="str">
        <f t="shared" si="100"/>
        <v/>
      </c>
      <c r="BD966" s="24" t="str">
        <f t="shared" si="100"/>
        <v/>
      </c>
      <c r="BE966" s="24" t="str">
        <f t="shared" si="100"/>
        <v/>
      </c>
      <c r="BF966" s="24" t="str">
        <f t="shared" si="100"/>
        <v/>
      </c>
      <c r="BG966" s="24" t="str">
        <f t="shared" si="100"/>
        <v/>
      </c>
      <c r="BH966" s="24" t="str">
        <f t="shared" si="102"/>
        <v/>
      </c>
      <c r="BI966" s="24">
        <f t="shared" si="100"/>
        <v>1</v>
      </c>
      <c r="BJ966" s="24" t="str">
        <f t="shared" si="97"/>
        <v/>
      </c>
    </row>
    <row r="967" spans="1:62" ht="15" customHeight="1" x14ac:dyDescent="0.25">
      <c r="A967" t="str">
        <f>"1396782470"</f>
        <v>1396782470</v>
      </c>
      <c r="B967" t="str">
        <f>"02328027"</f>
        <v>02328027</v>
      </c>
      <c r="C967" t="s">
        <v>5141</v>
      </c>
      <c r="D967" t="s">
        <v>5142</v>
      </c>
      <c r="E967" t="s">
        <v>5143</v>
      </c>
      <c r="L967" t="s">
        <v>6867</v>
      </c>
      <c r="M967" t="s">
        <v>108</v>
      </c>
      <c r="R967" t="s">
        <v>5141</v>
      </c>
      <c r="W967" t="s">
        <v>5143</v>
      </c>
      <c r="X967" t="s">
        <v>838</v>
      </c>
      <c r="Y967" t="s">
        <v>839</v>
      </c>
      <c r="Z967" t="s">
        <v>111</v>
      </c>
      <c r="AA967" t="str">
        <f>"13743-0001"</f>
        <v>13743-0001</v>
      </c>
      <c r="AB967" t="s">
        <v>123</v>
      </c>
      <c r="AC967" t="s">
        <v>113</v>
      </c>
      <c r="AD967" t="s">
        <v>108</v>
      </c>
      <c r="AE967" t="s">
        <v>114</v>
      </c>
      <c r="AF967" t="s">
        <v>115</v>
      </c>
      <c r="AG967" t="s">
        <v>116</v>
      </c>
      <c r="AK967" t="str">
        <f t="shared" si="101"/>
        <v/>
      </c>
      <c r="AL967" t="s">
        <v>5142</v>
      </c>
      <c r="AM967">
        <v>0</v>
      </c>
      <c r="AN967">
        <v>0</v>
      </c>
      <c r="AO967">
        <v>0</v>
      </c>
      <c r="AP967">
        <v>0</v>
      </c>
      <c r="AQ967">
        <v>0</v>
      </c>
      <c r="AR967">
        <v>0</v>
      </c>
      <c r="AS967">
        <v>0</v>
      </c>
      <c r="AT967">
        <v>0</v>
      </c>
      <c r="AU967">
        <v>0</v>
      </c>
      <c r="AV967">
        <v>0</v>
      </c>
      <c r="AW967">
        <v>0</v>
      </c>
      <c r="AX967" s="24">
        <f t="shared" si="99"/>
        <v>1</v>
      </c>
      <c r="AY967" s="24">
        <f t="shared" si="99"/>
        <v>1</v>
      </c>
      <c r="AZ967" s="24" t="str">
        <f t="shared" si="100"/>
        <v/>
      </c>
      <c r="BA967" s="24" t="str">
        <f t="shared" si="100"/>
        <v/>
      </c>
      <c r="BB967" s="24" t="str">
        <f t="shared" si="100"/>
        <v/>
      </c>
      <c r="BC967" s="24" t="str">
        <f t="shared" si="100"/>
        <v/>
      </c>
      <c r="BD967" s="24" t="str">
        <f t="shared" si="100"/>
        <v/>
      </c>
      <c r="BE967" s="24" t="str">
        <f t="shared" si="100"/>
        <v/>
      </c>
      <c r="BF967" s="24" t="str">
        <f t="shared" si="100"/>
        <v/>
      </c>
      <c r="BG967" s="24" t="str">
        <f t="shared" si="100"/>
        <v/>
      </c>
      <c r="BH967" s="24" t="str">
        <f t="shared" si="102"/>
        <v/>
      </c>
      <c r="BI967" s="24">
        <f t="shared" si="100"/>
        <v>1</v>
      </c>
      <c r="BJ967" s="24" t="str">
        <f t="shared" si="97"/>
        <v/>
      </c>
    </row>
    <row r="968" spans="1:62" ht="15" customHeight="1" x14ac:dyDescent="0.25">
      <c r="A968" t="str">
        <f>"1649210592"</f>
        <v>1649210592</v>
      </c>
      <c r="B968" t="str">
        <f>"01492777"</f>
        <v>01492777</v>
      </c>
      <c r="C968" t="s">
        <v>1197</v>
      </c>
      <c r="D968" t="s">
        <v>1198</v>
      </c>
      <c r="E968" t="s">
        <v>1199</v>
      </c>
      <c r="G968" t="s">
        <v>1200</v>
      </c>
      <c r="H968" t="s">
        <v>1201</v>
      </c>
      <c r="L968" t="s">
        <v>120</v>
      </c>
      <c r="M968" t="s">
        <v>108</v>
      </c>
      <c r="R968" t="s">
        <v>1197</v>
      </c>
      <c r="W968" t="s">
        <v>1199</v>
      </c>
      <c r="X968" t="s">
        <v>1202</v>
      </c>
      <c r="Y968" t="s">
        <v>1203</v>
      </c>
      <c r="Z968" t="s">
        <v>111</v>
      </c>
      <c r="AA968" t="str">
        <f>"14891-1529"</f>
        <v>14891-1529</v>
      </c>
      <c r="AB968" t="s">
        <v>123</v>
      </c>
      <c r="AC968" t="s">
        <v>113</v>
      </c>
      <c r="AD968" t="s">
        <v>108</v>
      </c>
      <c r="AE968" t="s">
        <v>114</v>
      </c>
      <c r="AF968" t="s">
        <v>142</v>
      </c>
      <c r="AG968" t="s">
        <v>116</v>
      </c>
      <c r="AK968" t="str">
        <f t="shared" si="101"/>
        <v/>
      </c>
      <c r="AL968" t="s">
        <v>1198</v>
      </c>
      <c r="AM968">
        <v>1</v>
      </c>
      <c r="AN968">
        <v>1</v>
      </c>
      <c r="AO968">
        <v>0</v>
      </c>
      <c r="AP968">
        <v>0</v>
      </c>
      <c r="AQ968">
        <v>0</v>
      </c>
      <c r="AR968">
        <v>0</v>
      </c>
      <c r="AS968">
        <v>0</v>
      </c>
      <c r="AT968">
        <v>0</v>
      </c>
      <c r="AU968">
        <v>0</v>
      </c>
      <c r="AV968">
        <v>0</v>
      </c>
      <c r="AW968">
        <v>0</v>
      </c>
      <c r="AX968" s="24">
        <f t="shared" si="99"/>
        <v>1</v>
      </c>
      <c r="AY968" s="24" t="str">
        <f t="shared" si="99"/>
        <v/>
      </c>
      <c r="AZ968" s="24" t="str">
        <f t="shared" si="100"/>
        <v/>
      </c>
      <c r="BA968" s="24" t="str">
        <f t="shared" si="100"/>
        <v/>
      </c>
      <c r="BB968" s="24" t="str">
        <f t="shared" si="100"/>
        <v/>
      </c>
      <c r="BC968" s="24" t="str">
        <f t="shared" si="100"/>
        <v/>
      </c>
      <c r="BD968" s="24" t="str">
        <f t="shared" si="100"/>
        <v/>
      </c>
      <c r="BE968" s="24" t="str">
        <f t="shared" si="100"/>
        <v/>
      </c>
      <c r="BF968" s="24" t="str">
        <f t="shared" si="100"/>
        <v/>
      </c>
      <c r="BG968" s="24" t="str">
        <f t="shared" si="100"/>
        <v/>
      </c>
      <c r="BH968" s="24" t="str">
        <f t="shared" si="102"/>
        <v/>
      </c>
      <c r="BI968" s="24">
        <f t="shared" si="100"/>
        <v>1</v>
      </c>
      <c r="BJ968" s="24" t="str">
        <f t="shared" si="97"/>
        <v/>
      </c>
    </row>
    <row r="969" spans="1:62" ht="15" customHeight="1" x14ac:dyDescent="0.25">
      <c r="A969" t="str">
        <f>"1033378674"</f>
        <v>1033378674</v>
      </c>
      <c r="B969" t="str">
        <f>"03117379"</f>
        <v>03117379</v>
      </c>
      <c r="C969" t="s">
        <v>1539</v>
      </c>
      <c r="D969" t="s">
        <v>1540</v>
      </c>
      <c r="E969" t="s">
        <v>1541</v>
      </c>
      <c r="G969" t="s">
        <v>1539</v>
      </c>
      <c r="H969" t="s">
        <v>440</v>
      </c>
      <c r="J969" t="s">
        <v>1542</v>
      </c>
      <c r="L969" t="s">
        <v>120</v>
      </c>
      <c r="M969" t="s">
        <v>108</v>
      </c>
      <c r="R969" t="s">
        <v>1543</v>
      </c>
      <c r="W969" t="s">
        <v>1541</v>
      </c>
      <c r="X969" t="s">
        <v>406</v>
      </c>
      <c r="Y969" t="s">
        <v>129</v>
      </c>
      <c r="Z969" t="s">
        <v>111</v>
      </c>
      <c r="AA969" t="str">
        <f>"13790-2107"</f>
        <v>13790-2107</v>
      </c>
      <c r="AB969" t="s">
        <v>123</v>
      </c>
      <c r="AC969" t="s">
        <v>113</v>
      </c>
      <c r="AD969" t="s">
        <v>108</v>
      </c>
      <c r="AE969" t="s">
        <v>114</v>
      </c>
      <c r="AF969" t="s">
        <v>115</v>
      </c>
      <c r="AG969" t="s">
        <v>116</v>
      </c>
      <c r="AK969" t="str">
        <f t="shared" si="101"/>
        <v/>
      </c>
      <c r="AL969" t="s">
        <v>1540</v>
      </c>
      <c r="AM969">
        <v>1</v>
      </c>
      <c r="AN969">
        <v>1</v>
      </c>
      <c r="AO969">
        <v>0</v>
      </c>
      <c r="AP969">
        <v>1</v>
      </c>
      <c r="AQ969">
        <v>1</v>
      </c>
      <c r="AR969">
        <v>0</v>
      </c>
      <c r="AS969">
        <v>0</v>
      </c>
      <c r="AT969">
        <v>0</v>
      </c>
      <c r="AU969">
        <v>0</v>
      </c>
      <c r="AV969">
        <v>0</v>
      </c>
      <c r="AW969">
        <v>0</v>
      </c>
      <c r="AX969" s="24">
        <f t="shared" si="99"/>
        <v>1</v>
      </c>
      <c r="AY969" s="24" t="str">
        <f t="shared" si="99"/>
        <v/>
      </c>
      <c r="AZ969" s="24" t="str">
        <f t="shared" si="100"/>
        <v/>
      </c>
      <c r="BA969" s="24" t="str">
        <f t="shared" si="100"/>
        <v/>
      </c>
      <c r="BB969" s="24" t="str">
        <f t="shared" si="100"/>
        <v/>
      </c>
      <c r="BC969" s="24" t="str">
        <f t="shared" si="100"/>
        <v/>
      </c>
      <c r="BD969" s="24" t="str">
        <f t="shared" si="100"/>
        <v/>
      </c>
      <c r="BE969" s="24" t="str">
        <f t="shared" si="100"/>
        <v/>
      </c>
      <c r="BF969" s="24" t="str">
        <f t="shared" si="100"/>
        <v/>
      </c>
      <c r="BG969" s="24" t="str">
        <f t="shared" si="100"/>
        <v/>
      </c>
      <c r="BH969" s="24" t="str">
        <f t="shared" si="102"/>
        <v/>
      </c>
      <c r="BI969" s="24">
        <f t="shared" si="100"/>
        <v>1</v>
      </c>
      <c r="BJ969" s="24" t="str">
        <f t="shared" si="97"/>
        <v/>
      </c>
    </row>
    <row r="970" spans="1:62" ht="15" customHeight="1" x14ac:dyDescent="0.25">
      <c r="A970" t="str">
        <f>"1568494755"</f>
        <v>1568494755</v>
      </c>
      <c r="B970" t="str">
        <f>"00705660"</f>
        <v>00705660</v>
      </c>
      <c r="C970" t="s">
        <v>4505</v>
      </c>
      <c r="D970" t="s">
        <v>4506</v>
      </c>
      <c r="E970" t="s">
        <v>4507</v>
      </c>
      <c r="G970" t="s">
        <v>4304</v>
      </c>
      <c r="H970" t="s">
        <v>4305</v>
      </c>
      <c r="J970" t="s">
        <v>4508</v>
      </c>
      <c r="L970" t="s">
        <v>120</v>
      </c>
      <c r="M970" t="s">
        <v>108</v>
      </c>
      <c r="R970" t="s">
        <v>4509</v>
      </c>
      <c r="W970" t="s">
        <v>4510</v>
      </c>
      <c r="X970" t="s">
        <v>4308</v>
      </c>
      <c r="Y970" t="s">
        <v>293</v>
      </c>
      <c r="Z970" t="s">
        <v>111</v>
      </c>
      <c r="AA970" t="str">
        <f>"14850-5429"</f>
        <v>14850-5429</v>
      </c>
      <c r="AB970" t="s">
        <v>123</v>
      </c>
      <c r="AC970" t="s">
        <v>113</v>
      </c>
      <c r="AD970" t="s">
        <v>108</v>
      </c>
      <c r="AE970" t="s">
        <v>114</v>
      </c>
      <c r="AF970" t="s">
        <v>142</v>
      </c>
      <c r="AG970" t="s">
        <v>116</v>
      </c>
      <c r="AK970" t="str">
        <f t="shared" si="101"/>
        <v/>
      </c>
      <c r="AL970" t="s">
        <v>4506</v>
      </c>
      <c r="AM970">
        <v>1</v>
      </c>
      <c r="AN970">
        <v>1</v>
      </c>
      <c r="AO970">
        <v>0</v>
      </c>
      <c r="AP970">
        <v>0</v>
      </c>
      <c r="AQ970">
        <v>0</v>
      </c>
      <c r="AR970">
        <v>0</v>
      </c>
      <c r="AS970">
        <v>0</v>
      </c>
      <c r="AT970">
        <v>0</v>
      </c>
      <c r="AU970">
        <v>0</v>
      </c>
      <c r="AV970">
        <v>0</v>
      </c>
      <c r="AW970">
        <v>0</v>
      </c>
      <c r="AX970" s="24">
        <f t="shared" si="99"/>
        <v>1</v>
      </c>
      <c r="AY970" s="24" t="str">
        <f t="shared" si="99"/>
        <v/>
      </c>
      <c r="AZ970" s="24" t="str">
        <f t="shared" si="100"/>
        <v/>
      </c>
      <c r="BA970" s="24" t="str">
        <f t="shared" si="100"/>
        <v/>
      </c>
      <c r="BB970" s="24" t="str">
        <f t="shared" si="100"/>
        <v/>
      </c>
      <c r="BC970" s="24" t="str">
        <f t="shared" si="100"/>
        <v/>
      </c>
      <c r="BD970" s="24" t="str">
        <f t="shared" si="100"/>
        <v/>
      </c>
      <c r="BE970" s="24" t="str">
        <f t="shared" si="100"/>
        <v/>
      </c>
      <c r="BF970" s="24" t="str">
        <f t="shared" si="100"/>
        <v/>
      </c>
      <c r="BG970" s="24" t="str">
        <f t="shared" si="100"/>
        <v/>
      </c>
      <c r="BH970" s="24" t="str">
        <f t="shared" si="102"/>
        <v/>
      </c>
      <c r="BI970" s="24">
        <f t="shared" si="100"/>
        <v>1</v>
      </c>
      <c r="BJ970" s="24" t="str">
        <f t="shared" si="97"/>
        <v/>
      </c>
    </row>
    <row r="971" spans="1:62" ht="15" customHeight="1" x14ac:dyDescent="0.25">
      <c r="A971" t="str">
        <f>"1558461814"</f>
        <v>1558461814</v>
      </c>
      <c r="B971" t="str">
        <f>"02109382"</f>
        <v>02109382</v>
      </c>
      <c r="C971" t="s">
        <v>1302</v>
      </c>
      <c r="D971" t="s">
        <v>1303</v>
      </c>
      <c r="E971" t="s">
        <v>1304</v>
      </c>
      <c r="G971" t="s">
        <v>1300</v>
      </c>
      <c r="H971" t="s">
        <v>1301</v>
      </c>
      <c r="L971" t="s">
        <v>247</v>
      </c>
      <c r="M971" t="s">
        <v>108</v>
      </c>
      <c r="R971" t="s">
        <v>1302</v>
      </c>
      <c r="W971" t="s">
        <v>1304</v>
      </c>
      <c r="X971" t="s">
        <v>1305</v>
      </c>
      <c r="Y971" t="s">
        <v>239</v>
      </c>
      <c r="Z971" t="s">
        <v>111</v>
      </c>
      <c r="AA971" t="str">
        <f>"13045-1206"</f>
        <v>13045-1206</v>
      </c>
      <c r="AB971" t="s">
        <v>123</v>
      </c>
      <c r="AC971" t="s">
        <v>113</v>
      </c>
      <c r="AD971" t="s">
        <v>108</v>
      </c>
      <c r="AE971" t="s">
        <v>114</v>
      </c>
      <c r="AF971" t="s">
        <v>142</v>
      </c>
      <c r="AG971" t="s">
        <v>116</v>
      </c>
      <c r="AK971" t="str">
        <f t="shared" si="101"/>
        <v/>
      </c>
      <c r="AL971" t="s">
        <v>1303</v>
      </c>
      <c r="AM971">
        <v>1</v>
      </c>
      <c r="AN971">
        <v>1</v>
      </c>
      <c r="AO971">
        <v>0</v>
      </c>
      <c r="AP971">
        <v>0</v>
      </c>
      <c r="AQ971">
        <v>1</v>
      </c>
      <c r="AR971">
        <v>0</v>
      </c>
      <c r="AS971">
        <v>0</v>
      </c>
      <c r="AT971">
        <v>0</v>
      </c>
      <c r="AU971">
        <v>0</v>
      </c>
      <c r="AV971">
        <v>0</v>
      </c>
      <c r="AW971">
        <v>0</v>
      </c>
      <c r="AX971" s="24" t="str">
        <f t="shared" si="99"/>
        <v/>
      </c>
      <c r="AY971" s="24">
        <f t="shared" si="99"/>
        <v>1</v>
      </c>
      <c r="AZ971" s="24" t="str">
        <f t="shared" si="100"/>
        <v/>
      </c>
      <c r="BA971" s="24" t="str">
        <f t="shared" si="100"/>
        <v/>
      </c>
      <c r="BB971" s="24" t="str">
        <f t="shared" si="100"/>
        <v/>
      </c>
      <c r="BC971" s="24" t="str">
        <f t="shared" si="100"/>
        <v/>
      </c>
      <c r="BD971" s="24" t="str">
        <f t="shared" si="100"/>
        <v/>
      </c>
      <c r="BE971" s="24" t="str">
        <f t="shared" si="100"/>
        <v/>
      </c>
      <c r="BF971" s="24" t="str">
        <f t="shared" si="100"/>
        <v/>
      </c>
      <c r="BG971" s="24" t="str">
        <f t="shared" si="100"/>
        <v/>
      </c>
      <c r="BH971" s="24" t="str">
        <f t="shared" si="102"/>
        <v/>
      </c>
      <c r="BI971" s="24" t="str">
        <f t="shared" si="100"/>
        <v/>
      </c>
      <c r="BJ971" s="24" t="str">
        <f t="shared" si="97"/>
        <v/>
      </c>
    </row>
    <row r="972" spans="1:62" ht="15" customHeight="1" x14ac:dyDescent="0.25">
      <c r="A972" t="str">
        <f>"1861564742"</f>
        <v>1861564742</v>
      </c>
      <c r="B972" t="str">
        <f>"02269785"</f>
        <v>02269785</v>
      </c>
      <c r="C972" t="s">
        <v>6760</v>
      </c>
      <c r="D972" t="s">
        <v>7029</v>
      </c>
      <c r="E972" t="s">
        <v>6883</v>
      </c>
      <c r="G972" t="s">
        <v>815</v>
      </c>
      <c r="H972" t="s">
        <v>816</v>
      </c>
      <c r="J972" t="s">
        <v>817</v>
      </c>
      <c r="L972" t="s">
        <v>120</v>
      </c>
      <c r="M972" t="s">
        <v>108</v>
      </c>
      <c r="R972" t="s">
        <v>6760</v>
      </c>
      <c r="W972" t="s">
        <v>6883</v>
      </c>
      <c r="X972" t="s">
        <v>6884</v>
      </c>
      <c r="Y972" t="s">
        <v>281</v>
      </c>
      <c r="Z972" t="s">
        <v>111</v>
      </c>
      <c r="AA972" t="str">
        <f>"13827-1620"</f>
        <v>13827-1620</v>
      </c>
      <c r="AB972" t="s">
        <v>123</v>
      </c>
      <c r="AC972" t="s">
        <v>113</v>
      </c>
      <c r="AD972" t="s">
        <v>108</v>
      </c>
      <c r="AE972" t="s">
        <v>114</v>
      </c>
      <c r="AF972" t="s">
        <v>115</v>
      </c>
      <c r="AG972" t="s">
        <v>116</v>
      </c>
      <c r="AK972" t="str">
        <f t="shared" si="101"/>
        <v>NEWMAN LISA DR.</v>
      </c>
      <c r="AL972" t="s">
        <v>7029</v>
      </c>
      <c r="AM972" t="s">
        <v>108</v>
      </c>
      <c r="AN972" t="s">
        <v>108</v>
      </c>
      <c r="AO972" t="s">
        <v>108</v>
      </c>
      <c r="AP972" t="s">
        <v>108</v>
      </c>
      <c r="AQ972" t="s">
        <v>108</v>
      </c>
      <c r="AR972" t="s">
        <v>108</v>
      </c>
      <c r="AS972" t="s">
        <v>108</v>
      </c>
      <c r="AT972" t="s">
        <v>108</v>
      </c>
      <c r="AU972" t="s">
        <v>108</v>
      </c>
      <c r="AV972" t="s">
        <v>108</v>
      </c>
      <c r="AW972" t="s">
        <v>108</v>
      </c>
      <c r="AX972" s="24">
        <f t="shared" si="99"/>
        <v>1</v>
      </c>
      <c r="AY972" s="24" t="str">
        <f t="shared" si="99"/>
        <v/>
      </c>
      <c r="AZ972" s="24" t="str">
        <f t="shared" si="100"/>
        <v/>
      </c>
      <c r="BA972" s="24" t="str">
        <f t="shared" si="100"/>
        <v/>
      </c>
      <c r="BB972" s="24" t="str">
        <f t="shared" si="100"/>
        <v/>
      </c>
      <c r="BC972" s="24" t="str">
        <f t="shared" si="100"/>
        <v/>
      </c>
      <c r="BD972" s="24" t="str">
        <f t="shared" si="100"/>
        <v/>
      </c>
      <c r="BE972" s="24" t="str">
        <f t="shared" si="100"/>
        <v/>
      </c>
      <c r="BF972" s="24" t="str">
        <f t="shared" si="100"/>
        <v/>
      </c>
      <c r="BG972" s="24" t="str">
        <f t="shared" si="100"/>
        <v/>
      </c>
      <c r="BH972" s="24" t="str">
        <f t="shared" si="102"/>
        <v/>
      </c>
      <c r="BI972" s="24">
        <f t="shared" si="100"/>
        <v>1</v>
      </c>
      <c r="BJ972" s="24" t="str">
        <f t="shared" si="97"/>
        <v/>
      </c>
    </row>
    <row r="973" spans="1:62" ht="15" customHeight="1" x14ac:dyDescent="0.25">
      <c r="A973" t="str">
        <f>"1972815462"</f>
        <v>1972815462</v>
      </c>
      <c r="B973" t="str">
        <f>"03240475"</f>
        <v>03240475</v>
      </c>
      <c r="C973" t="s">
        <v>407</v>
      </c>
      <c r="D973" t="s">
        <v>408</v>
      </c>
      <c r="E973" t="s">
        <v>409</v>
      </c>
      <c r="G973" t="s">
        <v>407</v>
      </c>
      <c r="H973" t="s">
        <v>403</v>
      </c>
      <c r="J973" t="s">
        <v>410</v>
      </c>
      <c r="L973" t="s">
        <v>6867</v>
      </c>
      <c r="M973" t="s">
        <v>108</v>
      </c>
      <c r="R973" t="s">
        <v>411</v>
      </c>
      <c r="W973" t="s">
        <v>409</v>
      </c>
      <c r="X973" t="s">
        <v>412</v>
      </c>
      <c r="Y973" t="s">
        <v>110</v>
      </c>
      <c r="Z973" t="s">
        <v>111</v>
      </c>
      <c r="AA973" t="str">
        <f>"13903-1651"</f>
        <v>13903-1651</v>
      </c>
      <c r="AB973" t="s">
        <v>123</v>
      </c>
      <c r="AC973" t="s">
        <v>113</v>
      </c>
      <c r="AD973" t="s">
        <v>108</v>
      </c>
      <c r="AE973" t="s">
        <v>114</v>
      </c>
      <c r="AF973" t="s">
        <v>115</v>
      </c>
      <c r="AG973" t="s">
        <v>116</v>
      </c>
      <c r="AK973" t="str">
        <f t="shared" si="101"/>
        <v/>
      </c>
      <c r="AL973" t="s">
        <v>408</v>
      </c>
      <c r="AM973">
        <v>0</v>
      </c>
      <c r="AN973">
        <v>0</v>
      </c>
      <c r="AO973">
        <v>0</v>
      </c>
      <c r="AP973">
        <v>0</v>
      </c>
      <c r="AQ973">
        <v>0</v>
      </c>
      <c r="AR973">
        <v>0</v>
      </c>
      <c r="AS973">
        <v>0</v>
      </c>
      <c r="AT973">
        <v>0</v>
      </c>
      <c r="AU973">
        <v>0</v>
      </c>
      <c r="AV973">
        <v>0</v>
      </c>
      <c r="AW973">
        <v>0</v>
      </c>
      <c r="AX973" s="24">
        <f t="shared" si="99"/>
        <v>1</v>
      </c>
      <c r="AY973" s="24">
        <f t="shared" si="99"/>
        <v>1</v>
      </c>
      <c r="AZ973" s="24" t="str">
        <f t="shared" si="100"/>
        <v/>
      </c>
      <c r="BA973" s="24" t="str">
        <f t="shared" si="100"/>
        <v/>
      </c>
      <c r="BB973" s="24" t="str">
        <f t="shared" si="100"/>
        <v/>
      </c>
      <c r="BC973" s="24" t="str">
        <f t="shared" si="100"/>
        <v/>
      </c>
      <c r="BD973" s="24" t="str">
        <f t="shared" si="100"/>
        <v/>
      </c>
      <c r="BE973" s="24" t="str">
        <f t="shared" si="100"/>
        <v/>
      </c>
      <c r="BF973" s="24" t="str">
        <f t="shared" si="100"/>
        <v/>
      </c>
      <c r="BG973" s="24" t="str">
        <f t="shared" si="100"/>
        <v/>
      </c>
      <c r="BH973" s="24" t="str">
        <f t="shared" si="102"/>
        <v/>
      </c>
      <c r="BI973" s="24">
        <f t="shared" si="100"/>
        <v>1</v>
      </c>
      <c r="BJ973" s="24" t="str">
        <f t="shared" si="97"/>
        <v/>
      </c>
    </row>
    <row r="974" spans="1:62" ht="15" customHeight="1" x14ac:dyDescent="0.25">
      <c r="A974" t="str">
        <f>"1104179530"</f>
        <v>1104179530</v>
      </c>
      <c r="B974" t="str">
        <f>"03521386"</f>
        <v>03521386</v>
      </c>
      <c r="C974" t="s">
        <v>5388</v>
      </c>
      <c r="D974" t="s">
        <v>5389</v>
      </c>
      <c r="E974" t="s">
        <v>5390</v>
      </c>
      <c r="G974" t="s">
        <v>5388</v>
      </c>
      <c r="H974" t="s">
        <v>3687</v>
      </c>
      <c r="J974" t="s">
        <v>5391</v>
      </c>
      <c r="L974" t="s">
        <v>138</v>
      </c>
      <c r="M974" t="s">
        <v>108</v>
      </c>
      <c r="R974" t="s">
        <v>5392</v>
      </c>
      <c r="W974" t="s">
        <v>5390</v>
      </c>
      <c r="X974" t="s">
        <v>881</v>
      </c>
      <c r="Y974" t="s">
        <v>321</v>
      </c>
      <c r="Z974" t="s">
        <v>111</v>
      </c>
      <c r="AA974" t="str">
        <f>"13760-5430"</f>
        <v>13760-5430</v>
      </c>
      <c r="AB974" t="s">
        <v>123</v>
      </c>
      <c r="AC974" t="s">
        <v>113</v>
      </c>
      <c r="AD974" t="s">
        <v>108</v>
      </c>
      <c r="AE974" t="s">
        <v>114</v>
      </c>
      <c r="AF974" t="s">
        <v>115</v>
      </c>
      <c r="AG974" t="s">
        <v>116</v>
      </c>
      <c r="AK974" t="str">
        <f t="shared" si="101"/>
        <v/>
      </c>
      <c r="AL974" t="s">
        <v>5389</v>
      </c>
      <c r="AM974">
        <v>0</v>
      </c>
      <c r="AN974">
        <v>0</v>
      </c>
      <c r="AO974">
        <v>0</v>
      </c>
      <c r="AP974">
        <v>0</v>
      </c>
      <c r="AQ974">
        <v>0</v>
      </c>
      <c r="AR974">
        <v>0</v>
      </c>
      <c r="AS974">
        <v>0</v>
      </c>
      <c r="AT974">
        <v>0</v>
      </c>
      <c r="AU974">
        <v>0</v>
      </c>
      <c r="AV974">
        <v>0</v>
      </c>
      <c r="AW974">
        <v>0</v>
      </c>
      <c r="AX974" s="24" t="str">
        <f t="shared" si="99"/>
        <v/>
      </c>
      <c r="AY974" s="24">
        <f t="shared" si="99"/>
        <v>1</v>
      </c>
      <c r="AZ974" s="24" t="str">
        <f t="shared" si="100"/>
        <v/>
      </c>
      <c r="BA974" s="24" t="str">
        <f t="shared" si="100"/>
        <v/>
      </c>
      <c r="BB974" s="24" t="str">
        <f t="shared" si="100"/>
        <v/>
      </c>
      <c r="BC974" s="24" t="str">
        <f t="shared" si="100"/>
        <v/>
      </c>
      <c r="BD974" s="24" t="str">
        <f t="shared" si="100"/>
        <v/>
      </c>
      <c r="BE974" s="24" t="str">
        <f t="shared" si="100"/>
        <v/>
      </c>
      <c r="BF974" s="24" t="str">
        <f t="shared" si="100"/>
        <v/>
      </c>
      <c r="BG974" s="24" t="str">
        <f t="shared" si="100"/>
        <v/>
      </c>
      <c r="BH974" s="24" t="str">
        <f t="shared" si="102"/>
        <v/>
      </c>
      <c r="BI974" s="24">
        <f t="shared" si="100"/>
        <v>1</v>
      </c>
      <c r="BJ974" s="24" t="str">
        <f t="shared" si="97"/>
        <v/>
      </c>
    </row>
    <row r="975" spans="1:62" ht="15" customHeight="1" x14ac:dyDescent="0.25">
      <c r="A975" t="str">
        <f>"1548265747"</f>
        <v>1548265747</v>
      </c>
      <c r="B975" t="str">
        <f>"00966867"</f>
        <v>00966867</v>
      </c>
      <c r="C975" t="s">
        <v>3369</v>
      </c>
      <c r="D975" t="s">
        <v>3370</v>
      </c>
      <c r="E975" t="s">
        <v>3371</v>
      </c>
      <c r="G975" t="s">
        <v>3369</v>
      </c>
      <c r="H975" t="s">
        <v>331</v>
      </c>
      <c r="J975" t="s">
        <v>3372</v>
      </c>
      <c r="L975" t="s">
        <v>120</v>
      </c>
      <c r="M975" t="s">
        <v>139</v>
      </c>
      <c r="R975" t="s">
        <v>3373</v>
      </c>
      <c r="W975" t="s">
        <v>3371</v>
      </c>
      <c r="X975" t="s">
        <v>3374</v>
      </c>
      <c r="Y975" t="s">
        <v>335</v>
      </c>
      <c r="Z975" t="s">
        <v>111</v>
      </c>
      <c r="AA975" t="str">
        <f>"13820-1817"</f>
        <v>13820-1817</v>
      </c>
      <c r="AB975" t="s">
        <v>123</v>
      </c>
      <c r="AC975" t="s">
        <v>113</v>
      </c>
      <c r="AD975" t="s">
        <v>108</v>
      </c>
      <c r="AE975" t="s">
        <v>114</v>
      </c>
      <c r="AF975" t="s">
        <v>124</v>
      </c>
      <c r="AG975" t="s">
        <v>116</v>
      </c>
      <c r="AK975" t="str">
        <f t="shared" si="101"/>
        <v/>
      </c>
      <c r="AL975" t="s">
        <v>3370</v>
      </c>
      <c r="AM975">
        <v>1</v>
      </c>
      <c r="AN975">
        <v>1</v>
      </c>
      <c r="AO975">
        <v>0</v>
      </c>
      <c r="AP975">
        <v>1</v>
      </c>
      <c r="AQ975">
        <v>1</v>
      </c>
      <c r="AR975">
        <v>0</v>
      </c>
      <c r="AS975">
        <v>0</v>
      </c>
      <c r="AT975">
        <v>0</v>
      </c>
      <c r="AU975">
        <v>0</v>
      </c>
      <c r="AV975">
        <v>0</v>
      </c>
      <c r="AW975">
        <v>0</v>
      </c>
      <c r="AX975" s="24">
        <f t="shared" si="99"/>
        <v>1</v>
      </c>
      <c r="AY975" s="24" t="str">
        <f t="shared" si="99"/>
        <v/>
      </c>
      <c r="AZ975" s="24" t="str">
        <f t="shared" si="100"/>
        <v/>
      </c>
      <c r="BA975" s="24" t="str">
        <f t="shared" si="100"/>
        <v/>
      </c>
      <c r="BB975" s="24" t="str">
        <f t="shared" si="100"/>
        <v/>
      </c>
      <c r="BC975" s="24" t="str">
        <f t="shared" si="100"/>
        <v/>
      </c>
      <c r="BD975" s="24" t="str">
        <f t="shared" si="100"/>
        <v/>
      </c>
      <c r="BE975" s="24" t="str">
        <f t="shared" si="100"/>
        <v/>
      </c>
      <c r="BF975" s="24" t="str">
        <f t="shared" si="100"/>
        <v/>
      </c>
      <c r="BG975" s="24" t="str">
        <f t="shared" si="100"/>
        <v/>
      </c>
      <c r="BH975" s="24" t="str">
        <f t="shared" si="102"/>
        <v/>
      </c>
      <c r="BI975" s="24">
        <f t="shared" si="100"/>
        <v>1</v>
      </c>
      <c r="BJ975" s="24" t="str">
        <f t="shared" si="97"/>
        <v/>
      </c>
    </row>
    <row r="976" spans="1:62" ht="15" customHeight="1" x14ac:dyDescent="0.25">
      <c r="A976" t="str">
        <f>"1154323194"</f>
        <v>1154323194</v>
      </c>
      <c r="B976" t="str">
        <f>"01901880"</f>
        <v>01901880</v>
      </c>
      <c r="C976" t="s">
        <v>4045</v>
      </c>
      <c r="D976" t="s">
        <v>4046</v>
      </c>
      <c r="E976" t="s">
        <v>4047</v>
      </c>
      <c r="L976" t="s">
        <v>138</v>
      </c>
      <c r="M976" t="s">
        <v>108</v>
      </c>
      <c r="R976" t="s">
        <v>4045</v>
      </c>
      <c r="W976" t="s">
        <v>4047</v>
      </c>
      <c r="X976" t="s">
        <v>4044</v>
      </c>
      <c r="Y976" t="s">
        <v>110</v>
      </c>
      <c r="Z976" t="s">
        <v>111</v>
      </c>
      <c r="AA976" t="str">
        <f>"13903-1651"</f>
        <v>13903-1651</v>
      </c>
      <c r="AB976" t="s">
        <v>609</v>
      </c>
      <c r="AC976" t="s">
        <v>113</v>
      </c>
      <c r="AD976" t="s">
        <v>108</v>
      </c>
      <c r="AE976" t="s">
        <v>114</v>
      </c>
      <c r="AF976" t="s">
        <v>115</v>
      </c>
      <c r="AG976" t="s">
        <v>116</v>
      </c>
      <c r="AK976" t="str">
        <f t="shared" si="101"/>
        <v/>
      </c>
      <c r="AL976" t="s">
        <v>4046</v>
      </c>
      <c r="AM976">
        <v>1</v>
      </c>
      <c r="AN976">
        <v>1</v>
      </c>
      <c r="AO976">
        <v>0</v>
      </c>
      <c r="AP976">
        <v>1</v>
      </c>
      <c r="AQ976">
        <v>1</v>
      </c>
      <c r="AR976">
        <v>0</v>
      </c>
      <c r="AS976">
        <v>0</v>
      </c>
      <c r="AT976">
        <v>0</v>
      </c>
      <c r="AU976">
        <v>0</v>
      </c>
      <c r="AV976">
        <v>0</v>
      </c>
      <c r="AW976">
        <v>0</v>
      </c>
      <c r="AX976" s="24" t="str">
        <f t="shared" si="99"/>
        <v/>
      </c>
      <c r="AY976" s="24">
        <f t="shared" si="99"/>
        <v>1</v>
      </c>
      <c r="AZ976" s="24" t="str">
        <f t="shared" si="100"/>
        <v/>
      </c>
      <c r="BA976" s="24" t="str">
        <f t="shared" si="100"/>
        <v/>
      </c>
      <c r="BB976" s="24" t="str">
        <f t="shared" si="100"/>
        <v/>
      </c>
      <c r="BC976" s="24" t="str">
        <f t="shared" si="100"/>
        <v/>
      </c>
      <c r="BD976" s="24" t="str">
        <f t="shared" si="100"/>
        <v/>
      </c>
      <c r="BE976" s="24" t="str">
        <f t="shared" si="100"/>
        <v/>
      </c>
      <c r="BF976" s="24" t="str">
        <f t="shared" si="100"/>
        <v/>
      </c>
      <c r="BG976" s="24" t="str">
        <f t="shared" si="100"/>
        <v/>
      </c>
      <c r="BH976" s="24" t="str">
        <f t="shared" si="102"/>
        <v/>
      </c>
      <c r="BI976" s="24">
        <f t="shared" si="100"/>
        <v>1</v>
      </c>
      <c r="BJ976" s="24" t="str">
        <f t="shared" si="97"/>
        <v/>
      </c>
    </row>
    <row r="977" spans="1:62" ht="15" customHeight="1" x14ac:dyDescent="0.25">
      <c r="A977" t="str">
        <f>"1659719409"</f>
        <v>1659719409</v>
      </c>
      <c r="B977" t="str">
        <f>"03784585"</f>
        <v>03784585</v>
      </c>
      <c r="C977" t="s">
        <v>6174</v>
      </c>
      <c r="D977" t="s">
        <v>6175</v>
      </c>
      <c r="E977" t="s">
        <v>6176</v>
      </c>
      <c r="G977" t="s">
        <v>815</v>
      </c>
      <c r="H977" t="s">
        <v>816</v>
      </c>
      <c r="J977" t="s">
        <v>817</v>
      </c>
      <c r="L977" t="s">
        <v>247</v>
      </c>
      <c r="M977" t="s">
        <v>108</v>
      </c>
      <c r="R977" t="s">
        <v>6176</v>
      </c>
      <c r="W977" t="s">
        <v>6177</v>
      </c>
      <c r="X977" t="s">
        <v>6178</v>
      </c>
      <c r="Y977" t="s">
        <v>110</v>
      </c>
      <c r="Z977" t="s">
        <v>111</v>
      </c>
      <c r="AA977" t="str">
        <f>"13905-4178"</f>
        <v>13905-4178</v>
      </c>
      <c r="AB977" t="s">
        <v>123</v>
      </c>
      <c r="AC977" t="s">
        <v>113</v>
      </c>
      <c r="AD977" t="s">
        <v>108</v>
      </c>
      <c r="AE977" t="s">
        <v>114</v>
      </c>
      <c r="AF977" t="s">
        <v>115</v>
      </c>
      <c r="AG977" t="s">
        <v>116</v>
      </c>
      <c r="AK977" t="str">
        <f t="shared" si="101"/>
        <v>Nina C. Gaube, FNP</v>
      </c>
      <c r="AL977" t="s">
        <v>6175</v>
      </c>
      <c r="AM977" t="s">
        <v>108</v>
      </c>
      <c r="AN977" t="s">
        <v>108</v>
      </c>
      <c r="AO977" t="s">
        <v>108</v>
      </c>
      <c r="AP977" t="s">
        <v>108</v>
      </c>
      <c r="AQ977" t="s">
        <v>108</v>
      </c>
      <c r="AR977" t="s">
        <v>108</v>
      </c>
      <c r="AS977" t="s">
        <v>108</v>
      </c>
      <c r="AT977" t="s">
        <v>108</v>
      </c>
      <c r="AU977" t="s">
        <v>108</v>
      </c>
      <c r="AV977" t="s">
        <v>108</v>
      </c>
      <c r="AW977" t="s">
        <v>108</v>
      </c>
      <c r="AX977" s="24" t="str">
        <f t="shared" si="99"/>
        <v/>
      </c>
      <c r="AY977" s="24">
        <f t="shared" si="99"/>
        <v>1</v>
      </c>
      <c r="AZ977" s="24" t="str">
        <f t="shared" si="100"/>
        <v/>
      </c>
      <c r="BA977" s="24" t="str">
        <f t="shared" si="100"/>
        <v/>
      </c>
      <c r="BB977" s="24" t="str">
        <f t="shared" si="100"/>
        <v/>
      </c>
      <c r="BC977" s="24" t="str">
        <f t="shared" si="100"/>
        <v/>
      </c>
      <c r="BD977" s="24" t="str">
        <f t="shared" si="100"/>
        <v/>
      </c>
      <c r="BE977" s="24" t="str">
        <f t="shared" si="100"/>
        <v/>
      </c>
      <c r="BF977" s="24" t="str">
        <f t="shared" si="100"/>
        <v/>
      </c>
      <c r="BG977" s="24" t="str">
        <f t="shared" si="100"/>
        <v/>
      </c>
      <c r="BH977" s="24" t="str">
        <f t="shared" si="102"/>
        <v/>
      </c>
      <c r="BI977" s="24" t="str">
        <f t="shared" si="100"/>
        <v/>
      </c>
      <c r="BJ977" s="24" t="str">
        <f t="shared" si="97"/>
        <v/>
      </c>
    </row>
    <row r="978" spans="1:62" ht="15" customHeight="1" x14ac:dyDescent="0.25">
      <c r="A978" t="str">
        <f>"1548527344"</f>
        <v>1548527344</v>
      </c>
      <c r="B978" t="str">
        <f>"03808977"</f>
        <v>03808977</v>
      </c>
      <c r="C978" t="s">
        <v>6577</v>
      </c>
      <c r="D978" t="s">
        <v>6578</v>
      </c>
      <c r="E978" t="s">
        <v>6579</v>
      </c>
      <c r="G978" t="s">
        <v>6302</v>
      </c>
      <c r="H978" t="s">
        <v>3155</v>
      </c>
      <c r="J978" t="s">
        <v>6303</v>
      </c>
      <c r="L978" t="s">
        <v>442</v>
      </c>
      <c r="M978" t="s">
        <v>108</v>
      </c>
      <c r="R978" t="s">
        <v>6580</v>
      </c>
      <c r="W978" t="s">
        <v>6579</v>
      </c>
      <c r="X978" t="s">
        <v>3158</v>
      </c>
      <c r="Y978" t="s">
        <v>293</v>
      </c>
      <c r="Z978" t="s">
        <v>111</v>
      </c>
      <c r="AA978" t="str">
        <f>"14850-1055"</f>
        <v>14850-1055</v>
      </c>
      <c r="AB978" t="s">
        <v>123</v>
      </c>
      <c r="AC978" t="s">
        <v>113</v>
      </c>
      <c r="AD978" t="s">
        <v>108</v>
      </c>
      <c r="AE978" t="s">
        <v>114</v>
      </c>
      <c r="AF978" t="s">
        <v>142</v>
      </c>
      <c r="AG978" t="s">
        <v>116</v>
      </c>
      <c r="AK978" t="str">
        <f t="shared" si="101"/>
        <v>Nina Pegram</v>
      </c>
      <c r="AL978" t="s">
        <v>6578</v>
      </c>
      <c r="AM978" t="s">
        <v>108</v>
      </c>
      <c r="AN978" t="s">
        <v>108</v>
      </c>
      <c r="AO978" t="s">
        <v>108</v>
      </c>
      <c r="AP978" t="s">
        <v>108</v>
      </c>
      <c r="AQ978" t="s">
        <v>108</v>
      </c>
      <c r="AR978" t="s">
        <v>108</v>
      </c>
      <c r="AS978" t="s">
        <v>108</v>
      </c>
      <c r="AT978" t="s">
        <v>108</v>
      </c>
      <c r="AU978" t="s">
        <v>108</v>
      </c>
      <c r="AV978" t="s">
        <v>108</v>
      </c>
      <c r="AW978" t="s">
        <v>108</v>
      </c>
      <c r="AX978" s="24">
        <f t="shared" si="99"/>
        <v>1</v>
      </c>
      <c r="AY978" s="24" t="str">
        <f t="shared" si="99"/>
        <v/>
      </c>
      <c r="AZ978" s="24" t="str">
        <f t="shared" si="100"/>
        <v/>
      </c>
      <c r="BA978" s="24" t="str">
        <f t="shared" si="100"/>
        <v/>
      </c>
      <c r="BB978" s="24" t="str">
        <f t="shared" si="100"/>
        <v/>
      </c>
      <c r="BC978" s="24" t="str">
        <f t="shared" si="100"/>
        <v/>
      </c>
      <c r="BD978" s="24" t="str">
        <f t="shared" si="100"/>
        <v/>
      </c>
      <c r="BE978" s="24" t="str">
        <f t="shared" si="100"/>
        <v/>
      </c>
      <c r="BF978" s="24" t="str">
        <f t="shared" si="100"/>
        <v/>
      </c>
      <c r="BG978" s="24" t="str">
        <f t="shared" si="100"/>
        <v/>
      </c>
      <c r="BH978" s="24" t="str">
        <f t="shared" si="102"/>
        <v/>
      </c>
      <c r="BI978" s="24" t="str">
        <f t="shared" si="100"/>
        <v/>
      </c>
      <c r="BJ978" s="24" t="str">
        <f t="shared" ref="BJ978:BJ1041" si="103">IF(ISERROR(FIND(BJ$1,$L978,1)),"",1)</f>
        <v/>
      </c>
    </row>
    <row r="979" spans="1:62" ht="15" customHeight="1" x14ac:dyDescent="0.25">
      <c r="A979" t="str">
        <f>"1124124565"</f>
        <v>1124124565</v>
      </c>
      <c r="B979" t="str">
        <f>"02618606"</f>
        <v>02618606</v>
      </c>
      <c r="C979" t="s">
        <v>5291</v>
      </c>
      <c r="D979" t="s">
        <v>5292</v>
      </c>
      <c r="E979" t="s">
        <v>5293</v>
      </c>
      <c r="G979" t="s">
        <v>5294</v>
      </c>
      <c r="H979" t="s">
        <v>2626</v>
      </c>
      <c r="J979" t="s">
        <v>5295</v>
      </c>
      <c r="L979" t="s">
        <v>6868</v>
      </c>
      <c r="M979" t="s">
        <v>108</v>
      </c>
      <c r="R979" t="s">
        <v>5296</v>
      </c>
      <c r="W979" t="s">
        <v>5293</v>
      </c>
      <c r="Y979" t="s">
        <v>110</v>
      </c>
      <c r="Z979" t="s">
        <v>111</v>
      </c>
      <c r="AA979" t="str">
        <f>"13905-4198"</f>
        <v>13905-4198</v>
      </c>
      <c r="AB979" t="s">
        <v>123</v>
      </c>
      <c r="AC979" t="s">
        <v>113</v>
      </c>
      <c r="AD979" t="s">
        <v>108</v>
      </c>
      <c r="AE979" t="s">
        <v>114</v>
      </c>
      <c r="AF979" t="s">
        <v>115</v>
      </c>
      <c r="AG979" t="s">
        <v>116</v>
      </c>
      <c r="AK979" t="str">
        <f t="shared" si="101"/>
        <v/>
      </c>
      <c r="AL979" t="s">
        <v>5292</v>
      </c>
      <c r="AM979">
        <v>0</v>
      </c>
      <c r="AN979">
        <v>0</v>
      </c>
      <c r="AO979">
        <v>0</v>
      </c>
      <c r="AP979">
        <v>0</v>
      </c>
      <c r="AQ979">
        <v>0</v>
      </c>
      <c r="AR979">
        <v>0</v>
      </c>
      <c r="AS979">
        <v>0</v>
      </c>
      <c r="AT979">
        <v>0</v>
      </c>
      <c r="AU979">
        <v>0</v>
      </c>
      <c r="AV979">
        <v>0</v>
      </c>
      <c r="AW979">
        <v>0</v>
      </c>
      <c r="AX979" s="24">
        <f t="shared" si="99"/>
        <v>1</v>
      </c>
      <c r="AY979" s="24">
        <f t="shared" si="99"/>
        <v>1</v>
      </c>
      <c r="AZ979" s="24" t="str">
        <f t="shared" si="100"/>
        <v/>
      </c>
      <c r="BA979" s="24" t="str">
        <f t="shared" si="100"/>
        <v/>
      </c>
      <c r="BB979" s="24" t="str">
        <f t="shared" si="100"/>
        <v/>
      </c>
      <c r="BC979" s="24" t="str">
        <f t="shared" si="100"/>
        <v/>
      </c>
      <c r="BD979" s="24" t="str">
        <f t="shared" si="100"/>
        <v/>
      </c>
      <c r="BE979" s="24" t="str">
        <f t="shared" si="100"/>
        <v/>
      </c>
      <c r="BF979" s="24" t="str">
        <f t="shared" si="100"/>
        <v/>
      </c>
      <c r="BG979" s="24" t="str">
        <f t="shared" si="100"/>
        <v/>
      </c>
      <c r="BH979" s="24" t="str">
        <f t="shared" si="102"/>
        <v/>
      </c>
      <c r="BI979" s="24" t="str">
        <f t="shared" si="100"/>
        <v/>
      </c>
      <c r="BJ979" s="24" t="str">
        <f t="shared" si="103"/>
        <v/>
      </c>
    </row>
    <row r="980" spans="1:62" ht="15" customHeight="1" x14ac:dyDescent="0.25">
      <c r="A980" t="str">
        <f>"1497194930"</f>
        <v>1497194930</v>
      </c>
      <c r="B980" t="str">
        <f>"03630119"</f>
        <v>03630119</v>
      </c>
      <c r="C980" t="s">
        <v>6780</v>
      </c>
      <c r="D980" t="s">
        <v>7054</v>
      </c>
      <c r="E980" t="s">
        <v>6909</v>
      </c>
      <c r="G980" t="s">
        <v>6330</v>
      </c>
      <c r="H980" t="s">
        <v>6331</v>
      </c>
      <c r="J980" t="s">
        <v>6332</v>
      </c>
      <c r="L980" t="s">
        <v>247</v>
      </c>
      <c r="M980" t="s">
        <v>108</v>
      </c>
      <c r="R980" t="s">
        <v>6780</v>
      </c>
      <c r="W980" t="s">
        <v>6909</v>
      </c>
      <c r="X980" t="s">
        <v>4040</v>
      </c>
      <c r="Y980" t="s">
        <v>966</v>
      </c>
      <c r="Z980" t="s">
        <v>111</v>
      </c>
      <c r="AA980" t="str">
        <f>"13850-3556"</f>
        <v>13850-3556</v>
      </c>
      <c r="AB980" t="s">
        <v>123</v>
      </c>
      <c r="AC980" t="s">
        <v>113</v>
      </c>
      <c r="AD980" t="s">
        <v>108</v>
      </c>
      <c r="AE980" t="s">
        <v>114</v>
      </c>
      <c r="AF980" t="s">
        <v>115</v>
      </c>
      <c r="AG980" t="s">
        <v>116</v>
      </c>
      <c r="AK980" t="str">
        <f t="shared" si="101"/>
        <v>NIXON ENID</v>
      </c>
      <c r="AL980" t="s">
        <v>7054</v>
      </c>
      <c r="AM980" t="s">
        <v>108</v>
      </c>
      <c r="AN980" t="s">
        <v>108</v>
      </c>
      <c r="AO980" t="s">
        <v>108</v>
      </c>
      <c r="AP980" t="s">
        <v>108</v>
      </c>
      <c r="AQ980" t="s">
        <v>108</v>
      </c>
      <c r="AR980" t="s">
        <v>108</v>
      </c>
      <c r="AS980" t="s">
        <v>108</v>
      </c>
      <c r="AT980" t="s">
        <v>108</v>
      </c>
      <c r="AU980" t="s">
        <v>108</v>
      </c>
      <c r="AV980" t="s">
        <v>108</v>
      </c>
      <c r="AW980" t="s">
        <v>108</v>
      </c>
      <c r="AX980" s="24" t="str">
        <f t="shared" si="99"/>
        <v/>
      </c>
      <c r="AY980" s="24">
        <f t="shared" si="99"/>
        <v>1</v>
      </c>
      <c r="AZ980" s="24" t="str">
        <f t="shared" si="100"/>
        <v/>
      </c>
      <c r="BA980" s="24" t="str">
        <f t="shared" si="100"/>
        <v/>
      </c>
      <c r="BB980" s="24" t="str">
        <f t="shared" si="100"/>
        <v/>
      </c>
      <c r="BC980" s="24" t="str">
        <f t="shared" si="100"/>
        <v/>
      </c>
      <c r="BD980" s="24" t="str">
        <f t="shared" si="100"/>
        <v/>
      </c>
      <c r="BE980" s="24" t="str">
        <f t="shared" si="100"/>
        <v/>
      </c>
      <c r="BF980" s="24" t="str">
        <f t="shared" si="100"/>
        <v/>
      </c>
      <c r="BG980" s="24" t="str">
        <f t="shared" si="100"/>
        <v/>
      </c>
      <c r="BH980" s="24" t="str">
        <f t="shared" si="102"/>
        <v/>
      </c>
      <c r="BI980" s="24" t="str">
        <f t="shared" si="100"/>
        <v/>
      </c>
      <c r="BJ980" s="24" t="str">
        <f t="shared" si="103"/>
        <v/>
      </c>
    </row>
    <row r="981" spans="1:62" ht="15" customHeight="1" x14ac:dyDescent="0.25">
      <c r="A981" t="str">
        <f>"1700033123"</f>
        <v>1700033123</v>
      </c>
      <c r="B981" t="str">
        <f>"03381495"</f>
        <v>03381495</v>
      </c>
      <c r="C981" t="s">
        <v>5362</v>
      </c>
      <c r="D981" t="s">
        <v>5363</v>
      </c>
      <c r="E981" t="s">
        <v>5364</v>
      </c>
      <c r="G981" t="s">
        <v>2412</v>
      </c>
      <c r="H981" t="s">
        <v>2413</v>
      </c>
      <c r="I981">
        <v>2359</v>
      </c>
      <c r="J981" t="s">
        <v>5365</v>
      </c>
      <c r="L981" t="s">
        <v>247</v>
      </c>
      <c r="M981" t="s">
        <v>108</v>
      </c>
      <c r="R981" t="s">
        <v>5366</v>
      </c>
      <c r="W981" t="s">
        <v>5367</v>
      </c>
      <c r="X981" t="s">
        <v>3783</v>
      </c>
      <c r="Y981" t="s">
        <v>1655</v>
      </c>
      <c r="Z981" t="s">
        <v>111</v>
      </c>
      <c r="AA981" t="str">
        <f>"14865-9648"</f>
        <v>14865-9648</v>
      </c>
      <c r="AB981" t="s">
        <v>123</v>
      </c>
      <c r="AC981" t="s">
        <v>113</v>
      </c>
      <c r="AD981" t="s">
        <v>108</v>
      </c>
      <c r="AE981" t="s">
        <v>114</v>
      </c>
      <c r="AF981" t="s">
        <v>142</v>
      </c>
      <c r="AG981" t="s">
        <v>116</v>
      </c>
      <c r="AK981" t="str">
        <f t="shared" si="101"/>
        <v/>
      </c>
      <c r="AL981" t="s">
        <v>5363</v>
      </c>
      <c r="AM981">
        <v>1</v>
      </c>
      <c r="AN981">
        <v>1</v>
      </c>
      <c r="AO981">
        <v>0</v>
      </c>
      <c r="AP981">
        <v>0</v>
      </c>
      <c r="AQ981">
        <v>0</v>
      </c>
      <c r="AR981">
        <v>0</v>
      </c>
      <c r="AS981">
        <v>0</v>
      </c>
      <c r="AT981">
        <v>0</v>
      </c>
      <c r="AU981">
        <v>0</v>
      </c>
      <c r="AV981">
        <v>0</v>
      </c>
      <c r="AW981">
        <v>0</v>
      </c>
      <c r="AX981" s="24" t="str">
        <f t="shared" si="99"/>
        <v/>
      </c>
      <c r="AY981" s="24">
        <f t="shared" si="99"/>
        <v>1</v>
      </c>
      <c r="AZ981" s="24" t="str">
        <f t="shared" si="100"/>
        <v/>
      </c>
      <c r="BA981" s="24" t="str">
        <f t="shared" si="100"/>
        <v/>
      </c>
      <c r="BB981" s="24" t="str">
        <f t="shared" si="100"/>
        <v/>
      </c>
      <c r="BC981" s="24" t="str">
        <f t="shared" si="100"/>
        <v/>
      </c>
      <c r="BD981" s="24" t="str">
        <f t="shared" si="100"/>
        <v/>
      </c>
      <c r="BE981" s="24" t="str">
        <f t="shared" si="100"/>
        <v/>
      </c>
      <c r="BF981" s="24" t="str">
        <f t="shared" si="100"/>
        <v/>
      </c>
      <c r="BG981" s="24" t="str">
        <f t="shared" si="100"/>
        <v/>
      </c>
      <c r="BH981" s="24" t="str">
        <f t="shared" si="102"/>
        <v/>
      </c>
      <c r="BI981" s="24" t="str">
        <f t="shared" si="100"/>
        <v/>
      </c>
      <c r="BJ981" s="24" t="str">
        <f t="shared" si="103"/>
        <v/>
      </c>
    </row>
    <row r="982" spans="1:62" ht="15" customHeight="1" x14ac:dyDescent="0.25">
      <c r="A982" t="str">
        <f>"1669802500"</f>
        <v>1669802500</v>
      </c>
      <c r="B982" t="str">
        <f>"03751571"</f>
        <v>03751571</v>
      </c>
      <c r="C982" t="s">
        <v>1340</v>
      </c>
      <c r="D982" t="s">
        <v>1341</v>
      </c>
      <c r="E982" t="s">
        <v>1342</v>
      </c>
      <c r="G982" t="s">
        <v>1340</v>
      </c>
      <c r="H982" t="s">
        <v>331</v>
      </c>
      <c r="J982" t="s">
        <v>1343</v>
      </c>
      <c r="L982" t="s">
        <v>120</v>
      </c>
      <c r="M982" t="s">
        <v>108</v>
      </c>
      <c r="R982" t="s">
        <v>1342</v>
      </c>
      <c r="W982" t="s">
        <v>1342</v>
      </c>
      <c r="X982" t="s">
        <v>342</v>
      </c>
      <c r="Y982" t="s">
        <v>335</v>
      </c>
      <c r="Z982" t="s">
        <v>111</v>
      </c>
      <c r="AA982" t="str">
        <f>"13820-2239"</f>
        <v>13820-2239</v>
      </c>
      <c r="AB982" t="s">
        <v>123</v>
      </c>
      <c r="AC982" t="s">
        <v>113</v>
      </c>
      <c r="AD982" t="s">
        <v>108</v>
      </c>
      <c r="AE982" t="s">
        <v>114</v>
      </c>
      <c r="AF982" t="s">
        <v>124</v>
      </c>
      <c r="AG982" t="s">
        <v>116</v>
      </c>
      <c r="AK982" t="str">
        <f t="shared" si="101"/>
        <v/>
      </c>
      <c r="AL982" t="s">
        <v>1341</v>
      </c>
      <c r="AM982">
        <v>0</v>
      </c>
      <c r="AN982">
        <v>0</v>
      </c>
      <c r="AO982">
        <v>0</v>
      </c>
      <c r="AP982">
        <v>0</v>
      </c>
      <c r="AQ982">
        <v>0</v>
      </c>
      <c r="AR982">
        <v>0</v>
      </c>
      <c r="AS982">
        <v>0</v>
      </c>
      <c r="AT982">
        <v>0</v>
      </c>
      <c r="AU982">
        <v>0</v>
      </c>
      <c r="AV982">
        <v>0</v>
      </c>
      <c r="AW982">
        <v>0</v>
      </c>
      <c r="AX982" s="24">
        <f t="shared" si="99"/>
        <v>1</v>
      </c>
      <c r="AY982" s="24" t="str">
        <f t="shared" si="99"/>
        <v/>
      </c>
      <c r="AZ982" s="24" t="str">
        <f t="shared" si="100"/>
        <v/>
      </c>
      <c r="BA982" s="24" t="str">
        <f t="shared" si="100"/>
        <v/>
      </c>
      <c r="BB982" s="24" t="str">
        <f t="shared" si="100"/>
        <v/>
      </c>
      <c r="BC982" s="24" t="str">
        <f t="shared" si="100"/>
        <v/>
      </c>
      <c r="BD982" s="24" t="str">
        <f t="shared" si="100"/>
        <v/>
      </c>
      <c r="BE982" s="24" t="str">
        <f t="shared" si="100"/>
        <v/>
      </c>
      <c r="BF982" s="24" t="str">
        <f t="shared" ref="AZ982:BI1008" si="104">IF(ISERROR(FIND(BF$1,$L982,1)),"",1)</f>
        <v/>
      </c>
      <c r="BG982" s="24" t="str">
        <f t="shared" si="104"/>
        <v/>
      </c>
      <c r="BH982" s="24" t="str">
        <f t="shared" si="102"/>
        <v/>
      </c>
      <c r="BI982" s="24">
        <f t="shared" si="104"/>
        <v>1</v>
      </c>
      <c r="BJ982" s="24" t="str">
        <f t="shared" si="103"/>
        <v/>
      </c>
    </row>
    <row r="983" spans="1:62" ht="15" customHeight="1" x14ac:dyDescent="0.25">
      <c r="A983" t="str">
        <f>"1487841391"</f>
        <v>1487841391</v>
      </c>
      <c r="B983" t="str">
        <f>"00784730"</f>
        <v>00784730</v>
      </c>
      <c r="C983" t="s">
        <v>2838</v>
      </c>
      <c r="D983" t="s">
        <v>2841</v>
      </c>
      <c r="E983" t="s">
        <v>2842</v>
      </c>
      <c r="G983" t="s">
        <v>2835</v>
      </c>
      <c r="H983" t="s">
        <v>2836</v>
      </c>
      <c r="J983" t="s">
        <v>2837</v>
      </c>
      <c r="L983" t="s">
        <v>133</v>
      </c>
      <c r="M983" t="s">
        <v>139</v>
      </c>
      <c r="R983" t="s">
        <v>2838</v>
      </c>
      <c r="W983" t="s">
        <v>2842</v>
      </c>
      <c r="X983" t="s">
        <v>2843</v>
      </c>
      <c r="Y983" t="s">
        <v>2840</v>
      </c>
      <c r="Z983" t="s">
        <v>111</v>
      </c>
      <c r="AA983" t="str">
        <f>"12304-1623"</f>
        <v>12304-1623</v>
      </c>
      <c r="AB983" t="s">
        <v>2844</v>
      </c>
      <c r="AC983" t="s">
        <v>113</v>
      </c>
      <c r="AD983" t="s">
        <v>108</v>
      </c>
      <c r="AE983" t="s">
        <v>114</v>
      </c>
      <c r="AF983" t="s">
        <v>115</v>
      </c>
      <c r="AG983" t="s">
        <v>116</v>
      </c>
      <c r="AK983" t="str">
        <f t="shared" si="101"/>
        <v>NORTHEAST PARENT AND CHILD SOCIETY, INC.</v>
      </c>
      <c r="AL983" t="s">
        <v>2841</v>
      </c>
      <c r="AM983" t="s">
        <v>108</v>
      </c>
      <c r="AN983" t="s">
        <v>108</v>
      </c>
      <c r="AO983" t="s">
        <v>108</v>
      </c>
      <c r="AP983" t="s">
        <v>108</v>
      </c>
      <c r="AQ983" t="s">
        <v>108</v>
      </c>
      <c r="AR983" t="s">
        <v>108</v>
      </c>
      <c r="AS983" t="s">
        <v>108</v>
      </c>
      <c r="AT983" t="s">
        <v>108</v>
      </c>
      <c r="AU983" t="s">
        <v>108</v>
      </c>
      <c r="AV983" t="s">
        <v>108</v>
      </c>
      <c r="AW983" t="s">
        <v>108</v>
      </c>
      <c r="AX983" s="24" t="str">
        <f t="shared" si="99"/>
        <v/>
      </c>
      <c r="AY983" s="24" t="str">
        <f t="shared" si="99"/>
        <v/>
      </c>
      <c r="AZ983" s="24" t="str">
        <f t="shared" si="104"/>
        <v/>
      </c>
      <c r="BA983" s="24" t="str">
        <f t="shared" si="104"/>
        <v/>
      </c>
      <c r="BB983" s="24" t="str">
        <f t="shared" si="104"/>
        <v/>
      </c>
      <c r="BC983" s="24" t="str">
        <f t="shared" si="104"/>
        <v/>
      </c>
      <c r="BD983" s="24" t="str">
        <f t="shared" si="104"/>
        <v/>
      </c>
      <c r="BE983" s="24" t="str">
        <f t="shared" si="104"/>
        <v/>
      </c>
      <c r="BF983" s="24" t="str">
        <f t="shared" si="104"/>
        <v/>
      </c>
      <c r="BG983" s="24" t="str">
        <f t="shared" si="104"/>
        <v/>
      </c>
      <c r="BH983" s="24" t="str">
        <f t="shared" si="102"/>
        <v/>
      </c>
      <c r="BI983" s="24" t="str">
        <f t="shared" si="104"/>
        <v/>
      </c>
      <c r="BJ983" s="24">
        <f t="shared" si="103"/>
        <v>1</v>
      </c>
    </row>
    <row r="984" spans="1:62" ht="15" customHeight="1" x14ac:dyDescent="0.25">
      <c r="A984" t="str">
        <f>"1003901695"</f>
        <v>1003901695</v>
      </c>
      <c r="B984" t="str">
        <f>"02664359"</f>
        <v>02664359</v>
      </c>
      <c r="C984" t="s">
        <v>2832</v>
      </c>
      <c r="D984" t="s">
        <v>2833</v>
      </c>
      <c r="E984" t="s">
        <v>2834</v>
      </c>
      <c r="G984" t="s">
        <v>2835</v>
      </c>
      <c r="H984" t="s">
        <v>2836</v>
      </c>
      <c r="J984" t="s">
        <v>2837</v>
      </c>
      <c r="L984" t="s">
        <v>278</v>
      </c>
      <c r="M984" t="s">
        <v>139</v>
      </c>
      <c r="R984" t="s">
        <v>2838</v>
      </c>
      <c r="W984" t="s">
        <v>2834</v>
      </c>
      <c r="X984" t="s">
        <v>2839</v>
      </c>
      <c r="Y984" t="s">
        <v>2840</v>
      </c>
      <c r="Z984" t="s">
        <v>111</v>
      </c>
      <c r="AA984" t="str">
        <f>"12305-2011"</f>
        <v>12305-2011</v>
      </c>
      <c r="AB984" t="s">
        <v>282</v>
      </c>
      <c r="AC984" t="s">
        <v>113</v>
      </c>
      <c r="AD984" t="s">
        <v>108</v>
      </c>
      <c r="AE984" t="s">
        <v>114</v>
      </c>
      <c r="AF984" t="s">
        <v>115</v>
      </c>
      <c r="AG984" t="s">
        <v>116</v>
      </c>
      <c r="AK984" t="str">
        <f t="shared" si="101"/>
        <v/>
      </c>
      <c r="AL984" t="s">
        <v>2833</v>
      </c>
      <c r="AM984">
        <v>0</v>
      </c>
      <c r="AN984">
        <v>0</v>
      </c>
      <c r="AO984">
        <v>0</v>
      </c>
      <c r="AP984">
        <v>0</v>
      </c>
      <c r="AQ984">
        <v>0</v>
      </c>
      <c r="AR984">
        <v>0</v>
      </c>
      <c r="AS984">
        <v>0</v>
      </c>
      <c r="AT984">
        <v>0</v>
      </c>
      <c r="AU984">
        <v>0</v>
      </c>
      <c r="AV984">
        <v>0</v>
      </c>
      <c r="AW984">
        <v>0</v>
      </c>
      <c r="AX984" s="24" t="str">
        <f t="shared" si="99"/>
        <v/>
      </c>
      <c r="AY984" s="24" t="str">
        <f t="shared" si="99"/>
        <v/>
      </c>
      <c r="AZ984" s="24" t="str">
        <f t="shared" si="104"/>
        <v/>
      </c>
      <c r="BA984" s="24" t="str">
        <f t="shared" si="104"/>
        <v/>
      </c>
      <c r="BB984" s="24" t="str">
        <f t="shared" si="104"/>
        <v/>
      </c>
      <c r="BC984" s="24">
        <f t="shared" si="104"/>
        <v>1</v>
      </c>
      <c r="BD984" s="24" t="str">
        <f t="shared" si="104"/>
        <v/>
      </c>
      <c r="BE984" s="24" t="str">
        <f t="shared" si="104"/>
        <v/>
      </c>
      <c r="BF984" s="24" t="str">
        <f t="shared" si="104"/>
        <v/>
      </c>
      <c r="BG984" s="24" t="str">
        <f t="shared" si="104"/>
        <v/>
      </c>
      <c r="BH984" s="24" t="str">
        <f t="shared" si="102"/>
        <v/>
      </c>
      <c r="BI984" s="24">
        <f t="shared" si="104"/>
        <v>1</v>
      </c>
      <c r="BJ984" s="24" t="str">
        <f t="shared" si="103"/>
        <v/>
      </c>
    </row>
    <row r="985" spans="1:62" ht="15" customHeight="1" x14ac:dyDescent="0.25">
      <c r="A985" t="str">
        <f>"1184724189"</f>
        <v>1184724189</v>
      </c>
      <c r="B985" t="str">
        <f>"01797699"</f>
        <v>01797699</v>
      </c>
      <c r="C985" t="s">
        <v>6299</v>
      </c>
      <c r="D985" t="s">
        <v>6300</v>
      </c>
      <c r="E985" t="s">
        <v>6301</v>
      </c>
      <c r="G985" t="s">
        <v>6302</v>
      </c>
      <c r="H985" t="s">
        <v>3155</v>
      </c>
      <c r="J985" t="s">
        <v>6303</v>
      </c>
      <c r="L985" t="s">
        <v>68</v>
      </c>
      <c r="M985" t="s">
        <v>108</v>
      </c>
      <c r="R985" t="s">
        <v>6299</v>
      </c>
      <c r="W985" t="s">
        <v>6304</v>
      </c>
      <c r="X985" t="s">
        <v>3158</v>
      </c>
      <c r="Y985" t="s">
        <v>293</v>
      </c>
      <c r="Z985" t="s">
        <v>111</v>
      </c>
      <c r="AA985" t="str">
        <f>"14850-1055"</f>
        <v>14850-1055</v>
      </c>
      <c r="AB985" t="s">
        <v>112</v>
      </c>
      <c r="AC985" t="s">
        <v>113</v>
      </c>
      <c r="AD985" t="s">
        <v>108</v>
      </c>
      <c r="AE985" t="s">
        <v>114</v>
      </c>
      <c r="AF985" t="s">
        <v>142</v>
      </c>
      <c r="AG985" t="s">
        <v>116</v>
      </c>
      <c r="AK985" t="str">
        <f t="shared" si="101"/>
        <v>NORTHEAST PEDIATRICS &amp; ADOLESCENT MEDICINE, LLP</v>
      </c>
      <c r="AL985" t="s">
        <v>6300</v>
      </c>
      <c r="AM985" t="s">
        <v>108</v>
      </c>
      <c r="AN985" t="s">
        <v>108</v>
      </c>
      <c r="AO985" t="s">
        <v>108</v>
      </c>
      <c r="AP985" t="s">
        <v>108</v>
      </c>
      <c r="AQ985" t="s">
        <v>108</v>
      </c>
      <c r="AR985" t="s">
        <v>108</v>
      </c>
      <c r="AS985" t="s">
        <v>108</v>
      </c>
      <c r="AT985" t="s">
        <v>108</v>
      </c>
      <c r="AU985" t="s">
        <v>108</v>
      </c>
      <c r="AV985" t="s">
        <v>108</v>
      </c>
      <c r="AW985" t="s">
        <v>108</v>
      </c>
      <c r="AX985" s="24" t="str">
        <f t="shared" si="99"/>
        <v/>
      </c>
      <c r="AY985" s="24" t="str">
        <f t="shared" si="99"/>
        <v/>
      </c>
      <c r="AZ985" s="24" t="str">
        <f t="shared" si="104"/>
        <v/>
      </c>
      <c r="BA985" s="24" t="str">
        <f t="shared" si="104"/>
        <v/>
      </c>
      <c r="BB985" s="24" t="str">
        <f t="shared" si="104"/>
        <v/>
      </c>
      <c r="BC985" s="24" t="str">
        <f t="shared" si="104"/>
        <v/>
      </c>
      <c r="BD985" s="24" t="str">
        <f t="shared" si="104"/>
        <v/>
      </c>
      <c r="BE985" s="24" t="str">
        <f t="shared" si="104"/>
        <v/>
      </c>
      <c r="BF985" s="24" t="str">
        <f t="shared" si="104"/>
        <v/>
      </c>
      <c r="BG985" s="24" t="str">
        <f t="shared" si="104"/>
        <v/>
      </c>
      <c r="BH985" s="24" t="str">
        <f t="shared" si="102"/>
        <v/>
      </c>
      <c r="BI985" s="24">
        <f t="shared" si="104"/>
        <v>1</v>
      </c>
      <c r="BJ985" s="24" t="str">
        <f t="shared" si="103"/>
        <v/>
      </c>
    </row>
    <row r="986" spans="1:62" ht="15" customHeight="1" x14ac:dyDescent="0.25">
      <c r="A986" t="str">
        <f>"1952373920"</f>
        <v>1952373920</v>
      </c>
      <c r="B986" t="str">
        <f>"02724087"</f>
        <v>02724087</v>
      </c>
      <c r="C986" t="s">
        <v>2486</v>
      </c>
      <c r="D986" t="s">
        <v>2487</v>
      </c>
      <c r="E986" t="s">
        <v>2488</v>
      </c>
      <c r="G986" t="s">
        <v>177</v>
      </c>
      <c r="H986" t="s">
        <v>178</v>
      </c>
      <c r="J986" t="s">
        <v>179</v>
      </c>
      <c r="L986" t="s">
        <v>247</v>
      </c>
      <c r="M986" t="s">
        <v>108</v>
      </c>
      <c r="R986" t="s">
        <v>2486</v>
      </c>
      <c r="W986" t="s">
        <v>2489</v>
      </c>
      <c r="X986" t="s">
        <v>196</v>
      </c>
      <c r="Y986" t="s">
        <v>181</v>
      </c>
      <c r="Z986" t="s">
        <v>182</v>
      </c>
      <c r="AA986" t="str">
        <f>"18840-1625"</f>
        <v>18840-1625</v>
      </c>
      <c r="AB986" t="s">
        <v>123</v>
      </c>
      <c r="AC986" t="s">
        <v>113</v>
      </c>
      <c r="AD986" t="s">
        <v>108</v>
      </c>
      <c r="AE986" t="s">
        <v>114</v>
      </c>
      <c r="AF986" t="s">
        <v>115</v>
      </c>
      <c r="AG986" t="s">
        <v>116</v>
      </c>
      <c r="AK986" t="str">
        <f t="shared" si="101"/>
        <v/>
      </c>
      <c r="AL986" t="s">
        <v>2487</v>
      </c>
      <c r="AM986">
        <v>1</v>
      </c>
      <c r="AN986">
        <v>1</v>
      </c>
      <c r="AO986">
        <v>0</v>
      </c>
      <c r="AP986">
        <v>0</v>
      </c>
      <c r="AQ986">
        <v>0</v>
      </c>
      <c r="AR986">
        <v>0</v>
      </c>
      <c r="AS986">
        <v>0</v>
      </c>
      <c r="AT986">
        <v>0</v>
      </c>
      <c r="AU986">
        <v>0</v>
      </c>
      <c r="AV986">
        <v>1</v>
      </c>
      <c r="AW986">
        <v>0</v>
      </c>
      <c r="AX986" s="24" t="str">
        <f t="shared" si="99"/>
        <v/>
      </c>
      <c r="AY986" s="24">
        <f t="shared" si="99"/>
        <v>1</v>
      </c>
      <c r="AZ986" s="24" t="str">
        <f t="shared" si="104"/>
        <v/>
      </c>
      <c r="BA986" s="24" t="str">
        <f t="shared" si="104"/>
        <v/>
      </c>
      <c r="BB986" s="24" t="str">
        <f t="shared" si="104"/>
        <v/>
      </c>
      <c r="BC986" s="24" t="str">
        <f t="shared" si="104"/>
        <v/>
      </c>
      <c r="BD986" s="24" t="str">
        <f t="shared" si="104"/>
        <v/>
      </c>
      <c r="BE986" s="24" t="str">
        <f t="shared" si="104"/>
        <v/>
      </c>
      <c r="BF986" s="24" t="str">
        <f t="shared" si="104"/>
        <v/>
      </c>
      <c r="BG986" s="24" t="str">
        <f t="shared" si="104"/>
        <v/>
      </c>
      <c r="BH986" s="24" t="str">
        <f t="shared" si="102"/>
        <v/>
      </c>
      <c r="BI986" s="24" t="str">
        <f t="shared" si="104"/>
        <v/>
      </c>
      <c r="BJ986" s="24" t="str">
        <f t="shared" si="103"/>
        <v/>
      </c>
    </row>
    <row r="987" spans="1:62" ht="15" customHeight="1" x14ac:dyDescent="0.25">
      <c r="A987" t="str">
        <f>"1871775122"</f>
        <v>1871775122</v>
      </c>
      <c r="B987" t="str">
        <f>"02985266"</f>
        <v>02985266</v>
      </c>
      <c r="C987" t="s">
        <v>2731</v>
      </c>
      <c r="D987" t="s">
        <v>2732</v>
      </c>
      <c r="E987" t="s">
        <v>2733</v>
      </c>
      <c r="G987" t="s">
        <v>177</v>
      </c>
      <c r="H987" t="s">
        <v>178</v>
      </c>
      <c r="J987" t="s">
        <v>179</v>
      </c>
      <c r="L987" t="s">
        <v>138</v>
      </c>
      <c r="M987" t="s">
        <v>108</v>
      </c>
      <c r="R987" t="s">
        <v>2731</v>
      </c>
      <c r="W987" t="s">
        <v>2734</v>
      </c>
      <c r="X987" t="s">
        <v>196</v>
      </c>
      <c r="Y987" t="s">
        <v>181</v>
      </c>
      <c r="Z987" t="s">
        <v>182</v>
      </c>
      <c r="AA987" t="str">
        <f>"18840-1625"</f>
        <v>18840-1625</v>
      </c>
      <c r="AB987" t="s">
        <v>123</v>
      </c>
      <c r="AC987" t="s">
        <v>113</v>
      </c>
      <c r="AD987" t="s">
        <v>108</v>
      </c>
      <c r="AE987" t="s">
        <v>114</v>
      </c>
      <c r="AF987" t="s">
        <v>115</v>
      </c>
      <c r="AG987" t="s">
        <v>116</v>
      </c>
      <c r="AK987" t="str">
        <f t="shared" si="101"/>
        <v/>
      </c>
      <c r="AL987" t="s">
        <v>2732</v>
      </c>
      <c r="AM987">
        <v>1</v>
      </c>
      <c r="AN987">
        <v>1</v>
      </c>
      <c r="AO987">
        <v>0</v>
      </c>
      <c r="AP987">
        <v>0</v>
      </c>
      <c r="AQ987">
        <v>0</v>
      </c>
      <c r="AR987">
        <v>0</v>
      </c>
      <c r="AS987">
        <v>0</v>
      </c>
      <c r="AT987">
        <v>0</v>
      </c>
      <c r="AU987">
        <v>0</v>
      </c>
      <c r="AV987">
        <v>1</v>
      </c>
      <c r="AW987">
        <v>0</v>
      </c>
      <c r="AX987" s="24" t="str">
        <f t="shared" si="99"/>
        <v/>
      </c>
      <c r="AY987" s="24">
        <f t="shared" si="99"/>
        <v>1</v>
      </c>
      <c r="AZ987" s="24" t="str">
        <f t="shared" si="104"/>
        <v/>
      </c>
      <c r="BA987" s="24" t="str">
        <f t="shared" si="104"/>
        <v/>
      </c>
      <c r="BB987" s="24" t="str">
        <f t="shared" si="104"/>
        <v/>
      </c>
      <c r="BC987" s="24" t="str">
        <f t="shared" si="104"/>
        <v/>
      </c>
      <c r="BD987" s="24" t="str">
        <f t="shared" si="104"/>
        <v/>
      </c>
      <c r="BE987" s="24" t="str">
        <f t="shared" si="104"/>
        <v/>
      </c>
      <c r="BF987" s="24" t="str">
        <f t="shared" si="104"/>
        <v/>
      </c>
      <c r="BG987" s="24" t="str">
        <f t="shared" si="104"/>
        <v/>
      </c>
      <c r="BH987" s="24" t="str">
        <f t="shared" si="102"/>
        <v/>
      </c>
      <c r="BI987" s="24">
        <f t="shared" si="104"/>
        <v>1</v>
      </c>
      <c r="BJ987" s="24" t="str">
        <f t="shared" si="103"/>
        <v/>
      </c>
    </row>
    <row r="988" spans="1:62" ht="15" customHeight="1" x14ac:dyDescent="0.25">
      <c r="A988" t="str">
        <f>"1306837810"</f>
        <v>1306837810</v>
      </c>
      <c r="B988" t="str">
        <f>"01790367"</f>
        <v>01790367</v>
      </c>
      <c r="C988" t="s">
        <v>4891</v>
      </c>
      <c r="D988" t="s">
        <v>4892</v>
      </c>
      <c r="E988" t="s">
        <v>4893</v>
      </c>
      <c r="L988" t="s">
        <v>120</v>
      </c>
      <c r="M988" t="s">
        <v>139</v>
      </c>
      <c r="R988" t="s">
        <v>4891</v>
      </c>
      <c r="W988" t="s">
        <v>4893</v>
      </c>
      <c r="X988" t="s">
        <v>798</v>
      </c>
      <c r="Y988" t="s">
        <v>110</v>
      </c>
      <c r="Z988" t="s">
        <v>111</v>
      </c>
      <c r="AA988" t="str">
        <f>"13901-1293"</f>
        <v>13901-1293</v>
      </c>
      <c r="AB988" t="s">
        <v>123</v>
      </c>
      <c r="AC988" t="s">
        <v>113</v>
      </c>
      <c r="AD988" t="s">
        <v>108</v>
      </c>
      <c r="AE988" t="s">
        <v>114</v>
      </c>
      <c r="AF988" t="s">
        <v>115</v>
      </c>
      <c r="AG988" t="s">
        <v>116</v>
      </c>
      <c r="AK988" t="str">
        <f t="shared" si="101"/>
        <v/>
      </c>
      <c r="AL988" t="s">
        <v>4892</v>
      </c>
      <c r="AM988">
        <v>0</v>
      </c>
      <c r="AN988">
        <v>0</v>
      </c>
      <c r="AO988">
        <v>0</v>
      </c>
      <c r="AP988">
        <v>0</v>
      </c>
      <c r="AQ988">
        <v>0</v>
      </c>
      <c r="AR988">
        <v>0</v>
      </c>
      <c r="AS988">
        <v>0</v>
      </c>
      <c r="AT988">
        <v>0</v>
      </c>
      <c r="AU988">
        <v>0</v>
      </c>
      <c r="AV988">
        <v>0</v>
      </c>
      <c r="AW988">
        <v>0</v>
      </c>
      <c r="AX988" s="24">
        <f t="shared" si="99"/>
        <v>1</v>
      </c>
      <c r="AY988" s="24" t="str">
        <f t="shared" si="99"/>
        <v/>
      </c>
      <c r="AZ988" s="24" t="str">
        <f t="shared" si="104"/>
        <v/>
      </c>
      <c r="BA988" s="24" t="str">
        <f t="shared" si="104"/>
        <v/>
      </c>
      <c r="BB988" s="24" t="str">
        <f t="shared" si="104"/>
        <v/>
      </c>
      <c r="BC988" s="24" t="str">
        <f t="shared" si="104"/>
        <v/>
      </c>
      <c r="BD988" s="24" t="str">
        <f t="shared" si="104"/>
        <v/>
      </c>
      <c r="BE988" s="24" t="str">
        <f t="shared" si="104"/>
        <v/>
      </c>
      <c r="BF988" s="24" t="str">
        <f t="shared" si="104"/>
        <v/>
      </c>
      <c r="BG988" s="24" t="str">
        <f t="shared" si="104"/>
        <v/>
      </c>
      <c r="BH988" s="24" t="str">
        <f t="shared" si="102"/>
        <v/>
      </c>
      <c r="BI988" s="24">
        <f t="shared" si="104"/>
        <v>1</v>
      </c>
      <c r="BJ988" s="24" t="str">
        <f t="shared" si="103"/>
        <v/>
      </c>
    </row>
    <row r="989" spans="1:62" ht="15" customHeight="1" x14ac:dyDescent="0.25">
      <c r="C989" t="s">
        <v>1587</v>
      </c>
      <c r="G989" t="s">
        <v>1588</v>
      </c>
      <c r="H989" t="s">
        <v>1589</v>
      </c>
      <c r="K989" t="s">
        <v>1590</v>
      </c>
      <c r="L989" t="s">
        <v>781</v>
      </c>
      <c r="M989" t="s">
        <v>108</v>
      </c>
      <c r="N989" t="s">
        <v>1591</v>
      </c>
      <c r="O989" t="s">
        <v>1592</v>
      </c>
      <c r="P989" t="s">
        <v>111</v>
      </c>
      <c r="Q989" t="str">
        <f>"13212"</f>
        <v>13212</v>
      </c>
      <c r="AC989" t="s">
        <v>113</v>
      </c>
      <c r="AD989" t="s">
        <v>108</v>
      </c>
      <c r="AE989" t="s">
        <v>784</v>
      </c>
      <c r="AF989" t="s">
        <v>115</v>
      </c>
      <c r="AG989" t="s">
        <v>116</v>
      </c>
      <c r="AK989" t="str">
        <f t="shared" si="101"/>
        <v>NYS Office for People with Development Disabilities</v>
      </c>
      <c r="AM989" t="s">
        <v>108</v>
      </c>
      <c r="AN989" t="s">
        <v>108</v>
      </c>
      <c r="AO989" t="s">
        <v>108</v>
      </c>
      <c r="AP989" t="s">
        <v>108</v>
      </c>
      <c r="AQ989" t="s">
        <v>108</v>
      </c>
      <c r="AR989" t="s">
        <v>108</v>
      </c>
      <c r="AS989" t="s">
        <v>108</v>
      </c>
      <c r="AT989" t="s">
        <v>108</v>
      </c>
      <c r="AU989" t="s">
        <v>108</v>
      </c>
      <c r="AV989" t="s">
        <v>108</v>
      </c>
      <c r="AW989" t="s">
        <v>108</v>
      </c>
      <c r="AX989" s="24" t="str">
        <f t="shared" si="99"/>
        <v/>
      </c>
      <c r="AY989" s="24" t="str">
        <f t="shared" si="99"/>
        <v/>
      </c>
      <c r="AZ989" s="24" t="str">
        <f t="shared" si="104"/>
        <v/>
      </c>
      <c r="BA989" s="24" t="str">
        <f t="shared" si="104"/>
        <v/>
      </c>
      <c r="BB989" s="24" t="str">
        <f t="shared" si="104"/>
        <v/>
      </c>
      <c r="BC989" s="24" t="str">
        <f t="shared" si="104"/>
        <v/>
      </c>
      <c r="BD989" s="24" t="str">
        <f t="shared" si="104"/>
        <v/>
      </c>
      <c r="BE989" s="24" t="str">
        <f t="shared" si="104"/>
        <v/>
      </c>
      <c r="BF989" s="24" t="str">
        <f t="shared" si="104"/>
        <v/>
      </c>
      <c r="BG989" s="24" t="str">
        <f t="shared" si="104"/>
        <v/>
      </c>
      <c r="BH989" s="24">
        <f t="shared" si="102"/>
        <v>1</v>
      </c>
      <c r="BI989" s="24" t="str">
        <f t="shared" si="104"/>
        <v/>
      </c>
      <c r="BJ989" s="24" t="str">
        <f t="shared" si="103"/>
        <v/>
      </c>
    </row>
    <row r="990" spans="1:62" ht="15" customHeight="1" x14ac:dyDescent="0.25">
      <c r="A990" t="str">
        <f>"1306901608"</f>
        <v>1306901608</v>
      </c>
      <c r="B990" t="str">
        <f>"02857183"</f>
        <v>02857183</v>
      </c>
      <c r="C990" t="s">
        <v>1580</v>
      </c>
      <c r="D990" t="s">
        <v>1581</v>
      </c>
      <c r="E990" t="s">
        <v>1580</v>
      </c>
      <c r="F990">
        <v>160795709</v>
      </c>
      <c r="G990" t="s">
        <v>1582</v>
      </c>
      <c r="H990" t="s">
        <v>1583</v>
      </c>
      <c r="J990" t="s">
        <v>1584</v>
      </c>
      <c r="L990" t="s">
        <v>278</v>
      </c>
      <c r="M990" t="s">
        <v>139</v>
      </c>
      <c r="R990" t="s">
        <v>1585</v>
      </c>
      <c r="W990" t="s">
        <v>1580</v>
      </c>
      <c r="X990" t="s">
        <v>1586</v>
      </c>
      <c r="Y990" t="s">
        <v>927</v>
      </c>
      <c r="Z990" t="s">
        <v>111</v>
      </c>
      <c r="AA990" t="str">
        <f>"14901-2322"</f>
        <v>14901-2322</v>
      </c>
      <c r="AB990" t="s">
        <v>282</v>
      </c>
      <c r="AC990" t="s">
        <v>113</v>
      </c>
      <c r="AD990" t="s">
        <v>108</v>
      </c>
      <c r="AE990" t="s">
        <v>114</v>
      </c>
      <c r="AF990" t="s">
        <v>149</v>
      </c>
      <c r="AG990" t="s">
        <v>116</v>
      </c>
      <c r="AK990" t="str">
        <f t="shared" si="101"/>
        <v>NYSARC INC CHEMUNG CO CHPTER</v>
      </c>
      <c r="AL990" t="s">
        <v>1581</v>
      </c>
      <c r="AM990" t="s">
        <v>108</v>
      </c>
      <c r="AN990" t="s">
        <v>108</v>
      </c>
      <c r="AO990" t="s">
        <v>108</v>
      </c>
      <c r="AP990" t="s">
        <v>108</v>
      </c>
      <c r="AQ990" t="s">
        <v>108</v>
      </c>
      <c r="AR990" t="s">
        <v>108</v>
      </c>
      <c r="AS990" t="s">
        <v>108</v>
      </c>
      <c r="AT990" t="s">
        <v>108</v>
      </c>
      <c r="AU990" t="s">
        <v>108</v>
      </c>
      <c r="AV990" t="s">
        <v>108</v>
      </c>
      <c r="AW990" t="s">
        <v>108</v>
      </c>
      <c r="AX990" s="24" t="str">
        <f t="shared" si="99"/>
        <v/>
      </c>
      <c r="AY990" s="24" t="str">
        <f t="shared" si="99"/>
        <v/>
      </c>
      <c r="AZ990" s="24" t="str">
        <f t="shared" si="104"/>
        <v/>
      </c>
      <c r="BA990" s="24" t="str">
        <f t="shared" si="104"/>
        <v/>
      </c>
      <c r="BB990" s="24" t="str">
        <f t="shared" si="104"/>
        <v/>
      </c>
      <c r="BC990" s="24">
        <f t="shared" si="104"/>
        <v>1</v>
      </c>
      <c r="BD990" s="24" t="str">
        <f t="shared" si="104"/>
        <v/>
      </c>
      <c r="BE990" s="24" t="str">
        <f t="shared" si="104"/>
        <v/>
      </c>
      <c r="BF990" s="24" t="str">
        <f t="shared" si="104"/>
        <v/>
      </c>
      <c r="BG990" s="24" t="str">
        <f t="shared" si="104"/>
        <v/>
      </c>
      <c r="BH990" s="24" t="str">
        <f t="shared" si="102"/>
        <v/>
      </c>
      <c r="BI990" s="24">
        <f t="shared" si="104"/>
        <v>1</v>
      </c>
      <c r="BJ990" s="24" t="str">
        <f t="shared" si="103"/>
        <v/>
      </c>
    </row>
    <row r="991" spans="1:62" ht="15" customHeight="1" x14ac:dyDescent="0.25">
      <c r="C991" t="s">
        <v>1285</v>
      </c>
      <c r="G991" t="s">
        <v>1286</v>
      </c>
      <c r="H991" t="s">
        <v>1287</v>
      </c>
      <c r="J991" t="s">
        <v>1288</v>
      </c>
      <c r="K991" t="s">
        <v>1289</v>
      </c>
      <c r="L991" t="s">
        <v>781</v>
      </c>
      <c r="M991" t="s">
        <v>108</v>
      </c>
      <c r="N991" t="s">
        <v>1290</v>
      </c>
      <c r="O991" t="s">
        <v>1096</v>
      </c>
      <c r="P991" t="s">
        <v>111</v>
      </c>
      <c r="Q991" t="str">
        <f>"13905"</f>
        <v>13905</v>
      </c>
      <c r="AC991" t="s">
        <v>113</v>
      </c>
      <c r="AD991" t="s">
        <v>108</v>
      </c>
      <c r="AE991" t="s">
        <v>784</v>
      </c>
      <c r="AF991" t="s">
        <v>115</v>
      </c>
      <c r="AG991" t="s">
        <v>116</v>
      </c>
      <c r="AK991" t="str">
        <f t="shared" si="101"/>
        <v>NYSARC, Inc., Broome, Tioga County Chapter (dba ACHIEVE)</v>
      </c>
      <c r="AM991" t="s">
        <v>108</v>
      </c>
      <c r="AN991" t="s">
        <v>108</v>
      </c>
      <c r="AO991" t="s">
        <v>108</v>
      </c>
      <c r="AP991" t="s">
        <v>108</v>
      </c>
      <c r="AQ991" t="s">
        <v>108</v>
      </c>
      <c r="AR991" t="s">
        <v>108</v>
      </c>
      <c r="AS991" t="s">
        <v>108</v>
      </c>
      <c r="AT991" t="s">
        <v>108</v>
      </c>
      <c r="AU991" t="s">
        <v>108</v>
      </c>
      <c r="AV991" t="s">
        <v>108</v>
      </c>
      <c r="AW991" t="s">
        <v>108</v>
      </c>
      <c r="AX991" s="24" t="str">
        <f t="shared" si="99"/>
        <v/>
      </c>
      <c r="AY991" s="24" t="str">
        <f t="shared" si="99"/>
        <v/>
      </c>
      <c r="AZ991" s="24" t="str">
        <f t="shared" si="104"/>
        <v/>
      </c>
      <c r="BA991" s="24" t="str">
        <f t="shared" si="104"/>
        <v/>
      </c>
      <c r="BB991" s="24" t="str">
        <f t="shared" si="104"/>
        <v/>
      </c>
      <c r="BC991" s="24" t="str">
        <f t="shared" si="104"/>
        <v/>
      </c>
      <c r="BD991" s="24" t="str">
        <f t="shared" si="104"/>
        <v/>
      </c>
      <c r="BE991" s="24" t="str">
        <f t="shared" si="104"/>
        <v/>
      </c>
      <c r="BF991" s="24" t="str">
        <f t="shared" si="104"/>
        <v/>
      </c>
      <c r="BG991" s="24" t="str">
        <f t="shared" si="104"/>
        <v/>
      </c>
      <c r="BH991" s="24">
        <f t="shared" si="102"/>
        <v>1</v>
      </c>
      <c r="BI991" s="24" t="str">
        <f t="shared" si="104"/>
        <v/>
      </c>
      <c r="BJ991" s="24" t="str">
        <f t="shared" si="103"/>
        <v/>
      </c>
    </row>
    <row r="992" spans="1:62" ht="15" customHeight="1" x14ac:dyDescent="0.25">
      <c r="A992" t="str">
        <f>"1326233511"</f>
        <v>1326233511</v>
      </c>
      <c r="B992" t="str">
        <f>"01525084"</f>
        <v>01525084</v>
      </c>
      <c r="C992" t="s">
        <v>5098</v>
      </c>
      <c r="D992" t="s">
        <v>5099</v>
      </c>
      <c r="E992" t="s">
        <v>5100</v>
      </c>
      <c r="L992" t="s">
        <v>247</v>
      </c>
      <c r="M992" t="s">
        <v>108</v>
      </c>
      <c r="R992" t="s">
        <v>5098</v>
      </c>
      <c r="W992" t="s">
        <v>5100</v>
      </c>
      <c r="X992" t="s">
        <v>121</v>
      </c>
      <c r="Y992" t="s">
        <v>122</v>
      </c>
      <c r="Z992" t="s">
        <v>111</v>
      </c>
      <c r="AA992" t="str">
        <f>"13815-1019"</f>
        <v>13815-1019</v>
      </c>
      <c r="AB992" t="s">
        <v>123</v>
      </c>
      <c r="AC992" t="s">
        <v>113</v>
      </c>
      <c r="AD992" t="s">
        <v>108</v>
      </c>
      <c r="AE992" t="s">
        <v>114</v>
      </c>
      <c r="AF992" t="s">
        <v>124</v>
      </c>
      <c r="AG992" t="s">
        <v>116</v>
      </c>
      <c r="AK992" t="str">
        <f t="shared" si="101"/>
        <v/>
      </c>
      <c r="AL992" t="s">
        <v>5099</v>
      </c>
      <c r="AM992">
        <v>1</v>
      </c>
      <c r="AN992">
        <v>1</v>
      </c>
      <c r="AO992">
        <v>0</v>
      </c>
      <c r="AP992">
        <v>1</v>
      </c>
      <c r="AQ992">
        <v>1</v>
      </c>
      <c r="AR992">
        <v>0</v>
      </c>
      <c r="AS992">
        <v>0</v>
      </c>
      <c r="AT992">
        <v>0</v>
      </c>
      <c r="AU992">
        <v>0</v>
      </c>
      <c r="AV992">
        <v>0</v>
      </c>
      <c r="AW992">
        <v>0</v>
      </c>
      <c r="AX992" s="24" t="str">
        <f t="shared" si="99"/>
        <v/>
      </c>
      <c r="AY992" s="24">
        <f t="shared" si="99"/>
        <v>1</v>
      </c>
      <c r="AZ992" s="24" t="str">
        <f t="shared" si="104"/>
        <v/>
      </c>
      <c r="BA992" s="24" t="str">
        <f t="shared" si="104"/>
        <v/>
      </c>
      <c r="BB992" s="24" t="str">
        <f t="shared" si="104"/>
        <v/>
      </c>
      <c r="BC992" s="24" t="str">
        <f t="shared" si="104"/>
        <v/>
      </c>
      <c r="BD992" s="24" t="str">
        <f t="shared" si="104"/>
        <v/>
      </c>
      <c r="BE992" s="24" t="str">
        <f t="shared" si="104"/>
        <v/>
      </c>
      <c r="BF992" s="24" t="str">
        <f t="shared" si="104"/>
        <v/>
      </c>
      <c r="BG992" s="24" t="str">
        <f t="shared" si="104"/>
        <v/>
      </c>
      <c r="BH992" s="24" t="str">
        <f t="shared" si="102"/>
        <v/>
      </c>
      <c r="BI992" s="24" t="str">
        <f t="shared" si="104"/>
        <v/>
      </c>
      <c r="BJ992" s="24" t="str">
        <f t="shared" si="103"/>
        <v/>
      </c>
    </row>
    <row r="993" spans="1:62" ht="15" customHeight="1" x14ac:dyDescent="0.25">
      <c r="A993" t="str">
        <f>"1679787154"</f>
        <v>1679787154</v>
      </c>
      <c r="B993" t="str">
        <f>"03144694"</f>
        <v>03144694</v>
      </c>
      <c r="C993" t="s">
        <v>5065</v>
      </c>
      <c r="D993" t="s">
        <v>5066</v>
      </c>
      <c r="E993" t="s">
        <v>5065</v>
      </c>
      <c r="G993" t="s">
        <v>699</v>
      </c>
      <c r="H993" t="s">
        <v>700</v>
      </c>
      <c r="J993" t="s">
        <v>701</v>
      </c>
      <c r="L993" t="s">
        <v>120</v>
      </c>
      <c r="M993" t="s">
        <v>139</v>
      </c>
      <c r="R993" t="s">
        <v>5067</v>
      </c>
      <c r="W993" t="s">
        <v>5065</v>
      </c>
      <c r="X993" t="s">
        <v>747</v>
      </c>
      <c r="Y993" t="s">
        <v>157</v>
      </c>
      <c r="Z993" t="s">
        <v>111</v>
      </c>
      <c r="AA993" t="str">
        <f>"14830-2255"</f>
        <v>14830-2255</v>
      </c>
      <c r="AB993" t="s">
        <v>123</v>
      </c>
      <c r="AC993" t="s">
        <v>113</v>
      </c>
      <c r="AD993" t="s">
        <v>108</v>
      </c>
      <c r="AE993" t="s">
        <v>114</v>
      </c>
      <c r="AF993" t="s">
        <v>149</v>
      </c>
      <c r="AG993" t="s">
        <v>116</v>
      </c>
      <c r="AK993" t="str">
        <f t="shared" si="101"/>
        <v/>
      </c>
      <c r="AL993" t="s">
        <v>5066</v>
      </c>
      <c r="AM993">
        <v>1</v>
      </c>
      <c r="AN993">
        <v>1</v>
      </c>
      <c r="AO993">
        <v>0</v>
      </c>
      <c r="AP993">
        <v>0</v>
      </c>
      <c r="AQ993">
        <v>0</v>
      </c>
      <c r="AR993">
        <v>0</v>
      </c>
      <c r="AS993">
        <v>0</v>
      </c>
      <c r="AT993">
        <v>1</v>
      </c>
      <c r="AU993">
        <v>1</v>
      </c>
      <c r="AV993">
        <v>1</v>
      </c>
      <c r="AW993">
        <v>0</v>
      </c>
      <c r="AX993" s="24">
        <f t="shared" si="99"/>
        <v>1</v>
      </c>
      <c r="AY993" s="24" t="str">
        <f t="shared" si="99"/>
        <v/>
      </c>
      <c r="AZ993" s="24" t="str">
        <f t="shared" si="104"/>
        <v/>
      </c>
      <c r="BA993" s="24" t="str">
        <f t="shared" si="104"/>
        <v/>
      </c>
      <c r="BB993" s="24" t="str">
        <f t="shared" si="104"/>
        <v/>
      </c>
      <c r="BC993" s="24" t="str">
        <f t="shared" si="104"/>
        <v/>
      </c>
      <c r="BD993" s="24" t="str">
        <f t="shared" si="104"/>
        <v/>
      </c>
      <c r="BE993" s="24" t="str">
        <f t="shared" si="104"/>
        <v/>
      </c>
      <c r="BF993" s="24" t="str">
        <f t="shared" si="104"/>
        <v/>
      </c>
      <c r="BG993" s="24" t="str">
        <f t="shared" si="104"/>
        <v/>
      </c>
      <c r="BH993" s="24" t="str">
        <f t="shared" si="102"/>
        <v/>
      </c>
      <c r="BI993" s="24">
        <f t="shared" si="104"/>
        <v>1</v>
      </c>
      <c r="BJ993" s="24" t="str">
        <f t="shared" si="103"/>
        <v/>
      </c>
    </row>
    <row r="994" spans="1:62" ht="15" customHeight="1" x14ac:dyDescent="0.25">
      <c r="A994" t="str">
        <f>"1558313833"</f>
        <v>1558313833</v>
      </c>
      <c r="B994" t="str">
        <f>"02328081"</f>
        <v>02328081</v>
      </c>
      <c r="C994" t="s">
        <v>1805</v>
      </c>
      <c r="D994" t="s">
        <v>1806</v>
      </c>
      <c r="E994" t="s">
        <v>1807</v>
      </c>
      <c r="G994" t="s">
        <v>815</v>
      </c>
      <c r="H994" t="s">
        <v>816</v>
      </c>
      <c r="J994" t="s">
        <v>817</v>
      </c>
      <c r="L994" t="s">
        <v>138</v>
      </c>
      <c r="M994" t="s">
        <v>139</v>
      </c>
      <c r="R994" t="s">
        <v>1805</v>
      </c>
      <c r="W994" t="s">
        <v>1807</v>
      </c>
      <c r="X994" t="s">
        <v>1754</v>
      </c>
      <c r="Y994" t="s">
        <v>110</v>
      </c>
      <c r="Z994" t="s">
        <v>111</v>
      </c>
      <c r="AA994" t="str">
        <f>"13905-2539"</f>
        <v>13905-2539</v>
      </c>
      <c r="AB994" t="s">
        <v>123</v>
      </c>
      <c r="AC994" t="s">
        <v>113</v>
      </c>
      <c r="AD994" t="s">
        <v>108</v>
      </c>
      <c r="AE994" t="s">
        <v>114</v>
      </c>
      <c r="AF994" t="s">
        <v>115</v>
      </c>
      <c r="AG994" t="s">
        <v>116</v>
      </c>
      <c r="AK994" t="str">
        <f t="shared" si="101"/>
        <v/>
      </c>
      <c r="AL994" t="s">
        <v>1806</v>
      </c>
      <c r="AM994">
        <v>1</v>
      </c>
      <c r="AN994">
        <v>1</v>
      </c>
      <c r="AO994">
        <v>0</v>
      </c>
      <c r="AP994">
        <v>1</v>
      </c>
      <c r="AQ994">
        <v>1</v>
      </c>
      <c r="AR994">
        <v>0</v>
      </c>
      <c r="AS994">
        <v>0</v>
      </c>
      <c r="AT994">
        <v>0</v>
      </c>
      <c r="AU994">
        <v>0</v>
      </c>
      <c r="AV994">
        <v>0</v>
      </c>
      <c r="AW994">
        <v>0</v>
      </c>
      <c r="AX994" s="24" t="str">
        <f t="shared" si="99"/>
        <v/>
      </c>
      <c r="AY994" s="24">
        <f t="shared" si="99"/>
        <v>1</v>
      </c>
      <c r="AZ994" s="24" t="str">
        <f t="shared" si="104"/>
        <v/>
      </c>
      <c r="BA994" s="24" t="str">
        <f t="shared" si="104"/>
        <v/>
      </c>
      <c r="BB994" s="24" t="str">
        <f t="shared" si="104"/>
        <v/>
      </c>
      <c r="BC994" s="24" t="str">
        <f t="shared" si="104"/>
        <v/>
      </c>
      <c r="BD994" s="24" t="str">
        <f t="shared" si="104"/>
        <v/>
      </c>
      <c r="BE994" s="24" t="str">
        <f t="shared" si="104"/>
        <v/>
      </c>
      <c r="BF994" s="24" t="str">
        <f t="shared" si="104"/>
        <v/>
      </c>
      <c r="BG994" s="24" t="str">
        <f t="shared" si="104"/>
        <v/>
      </c>
      <c r="BH994" s="24" t="str">
        <f t="shared" si="102"/>
        <v/>
      </c>
      <c r="BI994" s="24">
        <f t="shared" si="104"/>
        <v>1</v>
      </c>
      <c r="BJ994" s="24" t="str">
        <f t="shared" si="103"/>
        <v/>
      </c>
    </row>
    <row r="995" spans="1:62" ht="15" customHeight="1" x14ac:dyDescent="0.25">
      <c r="A995" t="str">
        <f>"1144638032"</f>
        <v>1144638032</v>
      </c>
      <c r="B995" t="str">
        <f>"04107939"</f>
        <v>04107939</v>
      </c>
      <c r="C995" t="s">
        <v>6259</v>
      </c>
      <c r="D995" t="s">
        <v>6260</v>
      </c>
      <c r="E995" t="s">
        <v>6261</v>
      </c>
      <c r="G995" t="s">
        <v>815</v>
      </c>
      <c r="H995" t="s">
        <v>816</v>
      </c>
      <c r="J995" t="s">
        <v>817</v>
      </c>
      <c r="L995" t="s">
        <v>247</v>
      </c>
      <c r="M995" t="s">
        <v>108</v>
      </c>
      <c r="R995" t="s">
        <v>6261</v>
      </c>
      <c r="W995" t="s">
        <v>6261</v>
      </c>
      <c r="X995" t="s">
        <v>204</v>
      </c>
      <c r="Y995" t="s">
        <v>110</v>
      </c>
      <c r="Z995" t="s">
        <v>111</v>
      </c>
      <c r="AA995" t="str">
        <f>"13905-4246"</f>
        <v>13905-4246</v>
      </c>
      <c r="AB995" t="s">
        <v>123</v>
      </c>
      <c r="AC995" t="s">
        <v>113</v>
      </c>
      <c r="AD995" t="s">
        <v>108</v>
      </c>
      <c r="AE995" t="s">
        <v>114</v>
      </c>
      <c r="AF995" t="s">
        <v>115</v>
      </c>
      <c r="AG995" t="s">
        <v>116</v>
      </c>
      <c r="AK995" t="str">
        <f t="shared" si="101"/>
        <v>Olga Alentyev, FNP</v>
      </c>
      <c r="AL995" t="s">
        <v>6260</v>
      </c>
      <c r="AM995" t="s">
        <v>108</v>
      </c>
      <c r="AN995" t="s">
        <v>108</v>
      </c>
      <c r="AO995" t="s">
        <v>108</v>
      </c>
      <c r="AP995" t="s">
        <v>108</v>
      </c>
      <c r="AQ995" t="s">
        <v>108</v>
      </c>
      <c r="AR995" t="s">
        <v>108</v>
      </c>
      <c r="AS995" t="s">
        <v>108</v>
      </c>
      <c r="AT995" t="s">
        <v>108</v>
      </c>
      <c r="AU995" t="s">
        <v>108</v>
      </c>
      <c r="AV995" t="s">
        <v>108</v>
      </c>
      <c r="AW995" t="s">
        <v>108</v>
      </c>
      <c r="AX995" s="24" t="str">
        <f t="shared" si="99"/>
        <v/>
      </c>
      <c r="AY995" s="24">
        <f t="shared" si="99"/>
        <v>1</v>
      </c>
      <c r="AZ995" s="24" t="str">
        <f t="shared" si="104"/>
        <v/>
      </c>
      <c r="BA995" s="24" t="str">
        <f t="shared" si="104"/>
        <v/>
      </c>
      <c r="BB995" s="24" t="str">
        <f t="shared" si="104"/>
        <v/>
      </c>
      <c r="BC995" s="24" t="str">
        <f t="shared" si="104"/>
        <v/>
      </c>
      <c r="BD995" s="24" t="str">
        <f t="shared" si="104"/>
        <v/>
      </c>
      <c r="BE995" s="24" t="str">
        <f t="shared" si="104"/>
        <v/>
      </c>
      <c r="BF995" s="24" t="str">
        <f t="shared" si="104"/>
        <v/>
      </c>
      <c r="BG995" s="24" t="str">
        <f t="shared" si="104"/>
        <v/>
      </c>
      <c r="BH995" s="24" t="str">
        <f t="shared" si="102"/>
        <v/>
      </c>
      <c r="BI995" s="24" t="str">
        <f t="shared" si="104"/>
        <v/>
      </c>
      <c r="BJ995" s="24" t="str">
        <f t="shared" si="103"/>
        <v/>
      </c>
    </row>
    <row r="996" spans="1:62" ht="15" customHeight="1" x14ac:dyDescent="0.25">
      <c r="A996" t="str">
        <f>"1669622296"</f>
        <v>1669622296</v>
      </c>
      <c r="B996" t="str">
        <f>"03281867"</f>
        <v>03281867</v>
      </c>
      <c r="C996" t="s">
        <v>1465</v>
      </c>
      <c r="D996" t="s">
        <v>1466</v>
      </c>
      <c r="E996" t="s">
        <v>1467</v>
      </c>
      <c r="G996" t="s">
        <v>1465</v>
      </c>
      <c r="H996" t="s">
        <v>1456</v>
      </c>
      <c r="J996" t="s">
        <v>1468</v>
      </c>
      <c r="L996" t="s">
        <v>138</v>
      </c>
      <c r="M996" t="s">
        <v>108</v>
      </c>
      <c r="R996" t="s">
        <v>1467</v>
      </c>
      <c r="W996" t="s">
        <v>1467</v>
      </c>
      <c r="X996" t="s">
        <v>1469</v>
      </c>
      <c r="Y996" t="s">
        <v>966</v>
      </c>
      <c r="Z996" t="s">
        <v>111</v>
      </c>
      <c r="AA996" t="str">
        <f>"13850-2128"</f>
        <v>13850-2128</v>
      </c>
      <c r="AB996" t="s">
        <v>123</v>
      </c>
      <c r="AC996" t="s">
        <v>113</v>
      </c>
      <c r="AD996" t="s">
        <v>108</v>
      </c>
      <c r="AE996" t="s">
        <v>114</v>
      </c>
      <c r="AF996" t="s">
        <v>115</v>
      </c>
      <c r="AG996" t="s">
        <v>116</v>
      </c>
      <c r="AK996" t="str">
        <f t="shared" si="101"/>
        <v/>
      </c>
      <c r="AL996" t="s">
        <v>1466</v>
      </c>
      <c r="AM996">
        <v>1</v>
      </c>
      <c r="AN996">
        <v>1</v>
      </c>
      <c r="AO996">
        <v>0</v>
      </c>
      <c r="AP996">
        <v>1</v>
      </c>
      <c r="AQ996">
        <v>1</v>
      </c>
      <c r="AR996">
        <v>0</v>
      </c>
      <c r="AS996">
        <v>0</v>
      </c>
      <c r="AT996">
        <v>1</v>
      </c>
      <c r="AU996">
        <v>0</v>
      </c>
      <c r="AV996">
        <v>0</v>
      </c>
      <c r="AW996">
        <v>1</v>
      </c>
      <c r="AX996" s="24" t="str">
        <f t="shared" si="99"/>
        <v/>
      </c>
      <c r="AY996" s="24">
        <f t="shared" si="99"/>
        <v>1</v>
      </c>
      <c r="AZ996" s="24" t="str">
        <f t="shared" si="104"/>
        <v/>
      </c>
      <c r="BA996" s="24" t="str">
        <f t="shared" si="104"/>
        <v/>
      </c>
      <c r="BB996" s="24" t="str">
        <f t="shared" si="104"/>
        <v/>
      </c>
      <c r="BC996" s="24" t="str">
        <f t="shared" si="104"/>
        <v/>
      </c>
      <c r="BD996" s="24" t="str">
        <f t="shared" si="104"/>
        <v/>
      </c>
      <c r="BE996" s="24" t="str">
        <f t="shared" si="104"/>
        <v/>
      </c>
      <c r="BF996" s="24" t="str">
        <f t="shared" si="104"/>
        <v/>
      </c>
      <c r="BG996" s="24" t="str">
        <f t="shared" si="104"/>
        <v/>
      </c>
      <c r="BH996" s="24" t="str">
        <f t="shared" si="102"/>
        <v/>
      </c>
      <c r="BI996" s="24">
        <f t="shared" si="104"/>
        <v>1</v>
      </c>
      <c r="BJ996" s="24" t="str">
        <f t="shared" si="103"/>
        <v/>
      </c>
    </row>
    <row r="997" spans="1:62" ht="15" customHeight="1" x14ac:dyDescent="0.25">
      <c r="A997" t="str">
        <f>"1700974391"</f>
        <v>1700974391</v>
      </c>
      <c r="B997" t="str">
        <f>"02795811"</f>
        <v>02795811</v>
      </c>
      <c r="C997" t="s">
        <v>2457</v>
      </c>
      <c r="D997" t="s">
        <v>2458</v>
      </c>
      <c r="E997" t="s">
        <v>2457</v>
      </c>
      <c r="L997" t="s">
        <v>809</v>
      </c>
      <c r="M997" t="s">
        <v>108</v>
      </c>
      <c r="R997" t="s">
        <v>2457</v>
      </c>
      <c r="W997" t="s">
        <v>2457</v>
      </c>
      <c r="X997" t="s">
        <v>2459</v>
      </c>
      <c r="Y997" t="s">
        <v>110</v>
      </c>
      <c r="Z997" t="s">
        <v>111</v>
      </c>
      <c r="AA997" t="str">
        <f>"13902"</f>
        <v>13902</v>
      </c>
      <c r="AB997" t="s">
        <v>811</v>
      </c>
      <c r="AC997" t="s">
        <v>113</v>
      </c>
      <c r="AD997" t="s">
        <v>108</v>
      </c>
      <c r="AE997" t="s">
        <v>114</v>
      </c>
      <c r="AF997" t="s">
        <v>115</v>
      </c>
      <c r="AG997" t="s">
        <v>116</v>
      </c>
      <c r="AK997" t="str">
        <f t="shared" si="101"/>
        <v/>
      </c>
      <c r="AL997" t="s">
        <v>2458</v>
      </c>
      <c r="AM997">
        <v>0</v>
      </c>
      <c r="AN997">
        <v>0</v>
      </c>
      <c r="AO997">
        <v>0</v>
      </c>
      <c r="AP997">
        <v>0</v>
      </c>
      <c r="AQ997">
        <v>0</v>
      </c>
      <c r="AR997">
        <v>0</v>
      </c>
      <c r="AS997">
        <v>0</v>
      </c>
      <c r="AT997">
        <v>0</v>
      </c>
      <c r="AU997">
        <v>0</v>
      </c>
      <c r="AV997">
        <v>0</v>
      </c>
      <c r="AW997">
        <v>0</v>
      </c>
      <c r="AX997" s="24" t="str">
        <f t="shared" si="99"/>
        <v/>
      </c>
      <c r="AY997" s="24">
        <f t="shared" si="99"/>
        <v>1</v>
      </c>
      <c r="AZ997" s="24" t="str">
        <f t="shared" si="104"/>
        <v/>
      </c>
      <c r="BA997" s="24" t="str">
        <f t="shared" si="104"/>
        <v/>
      </c>
      <c r="BB997" s="24" t="str">
        <f t="shared" si="104"/>
        <v/>
      </c>
      <c r="BC997" s="24">
        <f t="shared" si="104"/>
        <v>1</v>
      </c>
      <c r="BD997" s="24" t="str">
        <f t="shared" si="104"/>
        <v/>
      </c>
      <c r="BE997" s="24" t="str">
        <f t="shared" si="104"/>
        <v/>
      </c>
      <c r="BF997" s="24" t="str">
        <f t="shared" si="104"/>
        <v/>
      </c>
      <c r="BG997" s="24" t="str">
        <f t="shared" si="104"/>
        <v/>
      </c>
      <c r="BH997" s="24" t="str">
        <f t="shared" si="102"/>
        <v/>
      </c>
      <c r="BI997" s="24" t="str">
        <f t="shared" si="104"/>
        <v/>
      </c>
      <c r="BJ997" s="24" t="str">
        <f t="shared" si="103"/>
        <v/>
      </c>
    </row>
    <row r="998" spans="1:62" ht="15" customHeight="1" x14ac:dyDescent="0.25">
      <c r="A998" t="str">
        <f>"1790920551"</f>
        <v>1790920551</v>
      </c>
      <c r="B998" t="str">
        <f>"03501888"</f>
        <v>03501888</v>
      </c>
      <c r="C998" t="s">
        <v>2709</v>
      </c>
      <c r="D998" t="s">
        <v>2710</v>
      </c>
      <c r="E998" t="s">
        <v>2711</v>
      </c>
      <c r="L998" t="s">
        <v>133</v>
      </c>
      <c r="M998" t="s">
        <v>108</v>
      </c>
      <c r="R998" t="s">
        <v>2709</v>
      </c>
      <c r="W998" t="s">
        <v>2711</v>
      </c>
      <c r="X998" t="s">
        <v>1528</v>
      </c>
      <c r="Y998" t="s">
        <v>129</v>
      </c>
      <c r="Z998" t="s">
        <v>111</v>
      </c>
      <c r="AA998" t="str">
        <f>"13790"</f>
        <v>13790</v>
      </c>
      <c r="AB998" t="s">
        <v>1000</v>
      </c>
      <c r="AC998" t="s">
        <v>113</v>
      </c>
      <c r="AD998" t="s">
        <v>108</v>
      </c>
      <c r="AE998" t="s">
        <v>114</v>
      </c>
      <c r="AF998" t="s">
        <v>115</v>
      </c>
      <c r="AG998" t="s">
        <v>116</v>
      </c>
      <c r="AK998" t="str">
        <f t="shared" si="101"/>
        <v>OLSON KIMBERLY MRS.</v>
      </c>
      <c r="AL998" t="s">
        <v>2710</v>
      </c>
      <c r="AM998" t="s">
        <v>108</v>
      </c>
      <c r="AN998" t="s">
        <v>108</v>
      </c>
      <c r="AO998" t="s">
        <v>108</v>
      </c>
      <c r="AP998" t="s">
        <v>108</v>
      </c>
      <c r="AQ998" t="s">
        <v>108</v>
      </c>
      <c r="AR998" t="s">
        <v>108</v>
      </c>
      <c r="AS998" t="s">
        <v>108</v>
      </c>
      <c r="AT998" t="s">
        <v>108</v>
      </c>
      <c r="AU998" t="s">
        <v>108</v>
      </c>
      <c r="AV998" t="s">
        <v>108</v>
      </c>
      <c r="AW998" t="s">
        <v>108</v>
      </c>
      <c r="AX998" s="24" t="str">
        <f t="shared" si="99"/>
        <v/>
      </c>
      <c r="AY998" s="24" t="str">
        <f t="shared" si="99"/>
        <v/>
      </c>
      <c r="AZ998" s="24" t="str">
        <f t="shared" si="104"/>
        <v/>
      </c>
      <c r="BA998" s="24" t="str">
        <f t="shared" si="104"/>
        <v/>
      </c>
      <c r="BB998" s="24" t="str">
        <f t="shared" si="104"/>
        <v/>
      </c>
      <c r="BC998" s="24" t="str">
        <f t="shared" si="104"/>
        <v/>
      </c>
      <c r="BD998" s="24" t="str">
        <f t="shared" si="104"/>
        <v/>
      </c>
      <c r="BE998" s="24" t="str">
        <f t="shared" si="104"/>
        <v/>
      </c>
      <c r="BF998" s="24" t="str">
        <f t="shared" si="104"/>
        <v/>
      </c>
      <c r="BG998" s="24" t="str">
        <f t="shared" si="104"/>
        <v/>
      </c>
      <c r="BH998" s="24" t="str">
        <f t="shared" si="102"/>
        <v/>
      </c>
      <c r="BI998" s="24" t="str">
        <f t="shared" si="104"/>
        <v/>
      </c>
      <c r="BJ998" s="24">
        <f t="shared" si="103"/>
        <v>1</v>
      </c>
    </row>
    <row r="999" spans="1:62" ht="15" customHeight="1" x14ac:dyDescent="0.25">
      <c r="B999" t="str">
        <f>"02906545"</f>
        <v>02906545</v>
      </c>
      <c r="C999" t="s">
        <v>1964</v>
      </c>
      <c r="D999" t="s">
        <v>1965</v>
      </c>
      <c r="E999" t="s">
        <v>1966</v>
      </c>
      <c r="F999">
        <v>160956917</v>
      </c>
      <c r="G999" t="s">
        <v>1959</v>
      </c>
      <c r="H999" t="s">
        <v>1960</v>
      </c>
      <c r="L999" t="s">
        <v>66</v>
      </c>
      <c r="M999" t="s">
        <v>108</v>
      </c>
      <c r="W999" t="s">
        <v>1966</v>
      </c>
      <c r="X999" t="s">
        <v>1967</v>
      </c>
      <c r="Y999" t="s">
        <v>293</v>
      </c>
      <c r="Z999" t="s">
        <v>111</v>
      </c>
      <c r="AA999" t="str">
        <f>"14850-5793"</f>
        <v>14850-5793</v>
      </c>
      <c r="AB999" t="s">
        <v>165</v>
      </c>
      <c r="AC999" t="s">
        <v>113</v>
      </c>
      <c r="AD999" t="s">
        <v>108</v>
      </c>
      <c r="AE999" t="s">
        <v>114</v>
      </c>
      <c r="AF999" t="s">
        <v>142</v>
      </c>
      <c r="AG999" t="s">
        <v>116</v>
      </c>
      <c r="AK999" t="str">
        <f t="shared" si="101"/>
        <v/>
      </c>
      <c r="AL999" t="s">
        <v>1965</v>
      </c>
      <c r="AM999">
        <v>1</v>
      </c>
      <c r="AN999">
        <v>0</v>
      </c>
      <c r="AO999">
        <v>0</v>
      </c>
      <c r="AP999">
        <v>1</v>
      </c>
      <c r="AQ999">
        <v>1</v>
      </c>
      <c r="AR999">
        <v>0</v>
      </c>
      <c r="AS999">
        <v>0</v>
      </c>
      <c r="AT999">
        <v>0</v>
      </c>
      <c r="AU999">
        <v>0</v>
      </c>
      <c r="AV999">
        <v>0</v>
      </c>
      <c r="AW999">
        <v>0</v>
      </c>
      <c r="AX999" s="24" t="str">
        <f t="shared" si="99"/>
        <v/>
      </c>
      <c r="AY999" s="24" t="str">
        <f t="shared" si="99"/>
        <v/>
      </c>
      <c r="AZ999" s="24" t="str">
        <f t="shared" si="104"/>
        <v/>
      </c>
      <c r="BA999" s="24" t="str">
        <f t="shared" si="104"/>
        <v/>
      </c>
      <c r="BB999" s="24">
        <f t="shared" si="104"/>
        <v>1</v>
      </c>
      <c r="BC999" s="24" t="str">
        <f t="shared" si="104"/>
        <v/>
      </c>
      <c r="BD999" s="24" t="str">
        <f t="shared" si="104"/>
        <v/>
      </c>
      <c r="BE999" s="24" t="str">
        <f t="shared" si="104"/>
        <v/>
      </c>
      <c r="BF999" s="24" t="str">
        <f t="shared" si="104"/>
        <v/>
      </c>
      <c r="BG999" s="24" t="str">
        <f t="shared" si="104"/>
        <v/>
      </c>
      <c r="BH999" s="24" t="str">
        <f t="shared" si="102"/>
        <v/>
      </c>
      <c r="BI999" s="24" t="str">
        <f t="shared" si="104"/>
        <v/>
      </c>
      <c r="BJ999" s="24" t="str">
        <f t="shared" si="103"/>
        <v/>
      </c>
    </row>
    <row r="1000" spans="1:62" ht="15" customHeight="1" x14ac:dyDescent="0.25">
      <c r="B1000" t="str">
        <f>"01997162"</f>
        <v>01997162</v>
      </c>
      <c r="C1000" t="s">
        <v>905</v>
      </c>
      <c r="D1000" t="s">
        <v>906</v>
      </c>
      <c r="E1000" t="s">
        <v>905</v>
      </c>
      <c r="F1000">
        <v>160970103</v>
      </c>
      <c r="G1000" t="s">
        <v>907</v>
      </c>
      <c r="H1000" t="s">
        <v>908</v>
      </c>
      <c r="L1000" t="s">
        <v>66</v>
      </c>
      <c r="M1000" t="s">
        <v>108</v>
      </c>
      <c r="W1000" t="s">
        <v>909</v>
      </c>
      <c r="X1000" t="s">
        <v>910</v>
      </c>
      <c r="Y1000" t="s">
        <v>122</v>
      </c>
      <c r="Z1000" t="s">
        <v>111</v>
      </c>
      <c r="AA1000" t="str">
        <f>"13815-1914"</f>
        <v>13815-1914</v>
      </c>
      <c r="AB1000" t="s">
        <v>165</v>
      </c>
      <c r="AC1000" t="s">
        <v>113</v>
      </c>
      <c r="AD1000" t="s">
        <v>108</v>
      </c>
      <c r="AE1000" t="s">
        <v>114</v>
      </c>
      <c r="AF1000" t="s">
        <v>124</v>
      </c>
      <c r="AG1000" t="s">
        <v>116</v>
      </c>
      <c r="AK1000" t="str">
        <f t="shared" si="101"/>
        <v/>
      </c>
      <c r="AL1000" t="s">
        <v>906</v>
      </c>
      <c r="AM1000">
        <v>0</v>
      </c>
      <c r="AN1000">
        <v>0</v>
      </c>
      <c r="AO1000">
        <v>0</v>
      </c>
      <c r="AP1000">
        <v>0</v>
      </c>
      <c r="AQ1000">
        <v>0</v>
      </c>
      <c r="AR1000">
        <v>0</v>
      </c>
      <c r="AS1000">
        <v>0</v>
      </c>
      <c r="AT1000">
        <v>0</v>
      </c>
      <c r="AU1000">
        <v>0</v>
      </c>
      <c r="AV1000">
        <v>0</v>
      </c>
      <c r="AW1000">
        <v>0</v>
      </c>
      <c r="AX1000" s="24" t="str">
        <f t="shared" ref="AX1000:AY1063" si="105">IF(ISERROR(FIND(AX$1,$L1000,1)),"",1)</f>
        <v/>
      </c>
      <c r="AY1000" s="24" t="str">
        <f t="shared" si="105"/>
        <v/>
      </c>
      <c r="AZ1000" s="24" t="str">
        <f t="shared" si="104"/>
        <v/>
      </c>
      <c r="BA1000" s="24" t="str">
        <f t="shared" si="104"/>
        <v/>
      </c>
      <c r="BB1000" s="24">
        <f t="shared" si="104"/>
        <v>1</v>
      </c>
      <c r="BC1000" s="24" t="str">
        <f t="shared" si="104"/>
        <v/>
      </c>
      <c r="BD1000" s="24" t="str">
        <f t="shared" si="104"/>
        <v/>
      </c>
      <c r="BE1000" s="24" t="str">
        <f t="shared" si="104"/>
        <v/>
      </c>
      <c r="BF1000" s="24" t="str">
        <f t="shared" si="104"/>
        <v/>
      </c>
      <c r="BG1000" s="24" t="str">
        <f t="shared" si="104"/>
        <v/>
      </c>
      <c r="BH1000" s="24" t="str">
        <f t="shared" si="102"/>
        <v/>
      </c>
      <c r="BI1000" s="24" t="str">
        <f t="shared" si="104"/>
        <v/>
      </c>
      <c r="BJ1000" s="24" t="str">
        <f t="shared" si="103"/>
        <v/>
      </c>
    </row>
    <row r="1001" spans="1:62" ht="15" customHeight="1" x14ac:dyDescent="0.25">
      <c r="B1001" t="str">
        <f>"01998094"</f>
        <v>01998094</v>
      </c>
      <c r="C1001" t="s">
        <v>2118</v>
      </c>
      <c r="D1001" t="s">
        <v>2119</v>
      </c>
      <c r="E1001" t="s">
        <v>2118</v>
      </c>
      <c r="F1001">
        <v>160976343</v>
      </c>
      <c r="G1001" t="s">
        <v>2105</v>
      </c>
      <c r="H1001" t="s">
        <v>2106</v>
      </c>
      <c r="L1001" t="s">
        <v>66</v>
      </c>
      <c r="M1001" t="s">
        <v>108</v>
      </c>
      <c r="W1001" t="s">
        <v>2120</v>
      </c>
      <c r="X1001" t="s">
        <v>2121</v>
      </c>
      <c r="Y1001" t="s">
        <v>2122</v>
      </c>
      <c r="Z1001" t="s">
        <v>111</v>
      </c>
      <c r="AA1001" t="str">
        <f>"13856-4142"</f>
        <v>13856-4142</v>
      </c>
      <c r="AB1001" t="s">
        <v>165</v>
      </c>
      <c r="AC1001" t="s">
        <v>113</v>
      </c>
      <c r="AD1001" t="s">
        <v>108</v>
      </c>
      <c r="AE1001" t="s">
        <v>114</v>
      </c>
      <c r="AF1001" t="s">
        <v>124</v>
      </c>
      <c r="AG1001" t="s">
        <v>116</v>
      </c>
      <c r="AK1001" t="str">
        <f t="shared" si="101"/>
        <v/>
      </c>
      <c r="AL1001" t="s">
        <v>2119</v>
      </c>
      <c r="AM1001">
        <v>0</v>
      </c>
      <c r="AN1001">
        <v>0</v>
      </c>
      <c r="AO1001">
        <v>0</v>
      </c>
      <c r="AP1001">
        <v>0</v>
      </c>
      <c r="AQ1001">
        <v>0</v>
      </c>
      <c r="AR1001">
        <v>0</v>
      </c>
      <c r="AS1001">
        <v>0</v>
      </c>
      <c r="AT1001">
        <v>0</v>
      </c>
      <c r="AU1001">
        <v>0</v>
      </c>
      <c r="AV1001">
        <v>0</v>
      </c>
      <c r="AW1001">
        <v>0</v>
      </c>
      <c r="AX1001" s="24" t="str">
        <f t="shared" si="105"/>
        <v/>
      </c>
      <c r="AY1001" s="24" t="str">
        <f t="shared" si="105"/>
        <v/>
      </c>
      <c r="AZ1001" s="24" t="str">
        <f t="shared" si="104"/>
        <v/>
      </c>
      <c r="BA1001" s="24" t="str">
        <f t="shared" si="104"/>
        <v/>
      </c>
      <c r="BB1001" s="24">
        <f t="shared" si="104"/>
        <v>1</v>
      </c>
      <c r="BC1001" s="24" t="str">
        <f t="shared" si="104"/>
        <v/>
      </c>
      <c r="BD1001" s="24" t="str">
        <f t="shared" si="104"/>
        <v/>
      </c>
      <c r="BE1001" s="24" t="str">
        <f t="shared" si="104"/>
        <v/>
      </c>
      <c r="BF1001" s="24" t="str">
        <f t="shared" si="104"/>
        <v/>
      </c>
      <c r="BG1001" s="24" t="str">
        <f t="shared" si="104"/>
        <v/>
      </c>
      <c r="BH1001" s="24" t="str">
        <f t="shared" si="102"/>
        <v/>
      </c>
      <c r="BI1001" s="24" t="str">
        <f t="shared" si="104"/>
        <v/>
      </c>
      <c r="BJ1001" s="24" t="str">
        <f t="shared" si="103"/>
        <v/>
      </c>
    </row>
    <row r="1002" spans="1:62" ht="15" customHeight="1" x14ac:dyDescent="0.25">
      <c r="B1002" t="str">
        <f>"01998109"</f>
        <v>01998109</v>
      </c>
      <c r="C1002" t="s">
        <v>2103</v>
      </c>
      <c r="D1002" t="s">
        <v>2104</v>
      </c>
      <c r="E1002" t="s">
        <v>2103</v>
      </c>
      <c r="F1002">
        <v>166063879</v>
      </c>
      <c r="G1002" t="s">
        <v>2105</v>
      </c>
      <c r="H1002" t="s">
        <v>2106</v>
      </c>
      <c r="J1002" t="s">
        <v>2107</v>
      </c>
      <c r="L1002" t="s">
        <v>66</v>
      </c>
      <c r="M1002" t="s">
        <v>108</v>
      </c>
      <c r="W1002" t="s">
        <v>2108</v>
      </c>
      <c r="X1002" t="s">
        <v>2109</v>
      </c>
      <c r="Y1002" t="s">
        <v>2110</v>
      </c>
      <c r="Z1002" t="s">
        <v>111</v>
      </c>
      <c r="AA1002" t="str">
        <f>"13782-1112"</f>
        <v>13782-1112</v>
      </c>
      <c r="AB1002" t="s">
        <v>165</v>
      </c>
      <c r="AC1002" t="s">
        <v>113</v>
      </c>
      <c r="AD1002" t="s">
        <v>108</v>
      </c>
      <c r="AE1002" t="s">
        <v>114</v>
      </c>
      <c r="AF1002" t="s">
        <v>124</v>
      </c>
      <c r="AG1002" t="s">
        <v>116</v>
      </c>
      <c r="AK1002" t="str">
        <f t="shared" si="101"/>
        <v/>
      </c>
      <c r="AL1002" t="s">
        <v>2104</v>
      </c>
      <c r="AM1002">
        <v>0</v>
      </c>
      <c r="AN1002">
        <v>0</v>
      </c>
      <c r="AO1002">
        <v>0</v>
      </c>
      <c r="AP1002">
        <v>0</v>
      </c>
      <c r="AQ1002">
        <v>0</v>
      </c>
      <c r="AR1002">
        <v>0</v>
      </c>
      <c r="AS1002">
        <v>0</v>
      </c>
      <c r="AT1002">
        <v>0</v>
      </c>
      <c r="AU1002">
        <v>0</v>
      </c>
      <c r="AV1002">
        <v>0</v>
      </c>
      <c r="AW1002">
        <v>0</v>
      </c>
      <c r="AX1002" s="24" t="str">
        <f t="shared" si="105"/>
        <v/>
      </c>
      <c r="AY1002" s="24" t="str">
        <f t="shared" si="105"/>
        <v/>
      </c>
      <c r="AZ1002" s="24" t="str">
        <f t="shared" si="104"/>
        <v/>
      </c>
      <c r="BA1002" s="24" t="str">
        <f t="shared" si="104"/>
        <v/>
      </c>
      <c r="BB1002" s="24">
        <f t="shared" si="104"/>
        <v>1</v>
      </c>
      <c r="BC1002" s="24" t="str">
        <f t="shared" si="104"/>
        <v/>
      </c>
      <c r="BD1002" s="24" t="str">
        <f t="shared" si="104"/>
        <v/>
      </c>
      <c r="BE1002" s="24" t="str">
        <f t="shared" si="104"/>
        <v/>
      </c>
      <c r="BF1002" s="24" t="str">
        <f t="shared" si="104"/>
        <v/>
      </c>
      <c r="BG1002" s="24" t="str">
        <f t="shared" si="104"/>
        <v/>
      </c>
      <c r="BH1002" s="24" t="str">
        <f t="shared" si="102"/>
        <v/>
      </c>
      <c r="BI1002" s="24" t="str">
        <f t="shared" si="104"/>
        <v/>
      </c>
      <c r="BJ1002" s="24" t="str">
        <f t="shared" si="103"/>
        <v/>
      </c>
    </row>
    <row r="1003" spans="1:62" ht="15" customHeight="1" x14ac:dyDescent="0.25">
      <c r="B1003" t="str">
        <f>"02003047"</f>
        <v>02003047</v>
      </c>
      <c r="C1003" t="s">
        <v>2511</v>
      </c>
      <c r="D1003" t="s">
        <v>2512</v>
      </c>
      <c r="E1003" t="s">
        <v>2511</v>
      </c>
      <c r="F1003">
        <v>150581887</v>
      </c>
      <c r="G1003" t="s">
        <v>1721</v>
      </c>
      <c r="H1003" t="s">
        <v>1722</v>
      </c>
      <c r="J1003" t="s">
        <v>1723</v>
      </c>
      <c r="L1003" t="s">
        <v>66</v>
      </c>
      <c r="M1003" t="s">
        <v>108</v>
      </c>
      <c r="W1003" t="s">
        <v>2513</v>
      </c>
      <c r="X1003" t="s">
        <v>1736</v>
      </c>
      <c r="Y1003" t="s">
        <v>293</v>
      </c>
      <c r="Z1003" t="s">
        <v>111</v>
      </c>
      <c r="AA1003" t="str">
        <f>"14850-9568"</f>
        <v>14850-9568</v>
      </c>
      <c r="AB1003" t="s">
        <v>165</v>
      </c>
      <c r="AC1003" t="s">
        <v>113</v>
      </c>
      <c r="AD1003" t="s">
        <v>108</v>
      </c>
      <c r="AE1003" t="s">
        <v>114</v>
      </c>
      <c r="AF1003" t="s">
        <v>142</v>
      </c>
      <c r="AG1003" t="s">
        <v>116</v>
      </c>
      <c r="AK1003" t="str">
        <f t="shared" si="101"/>
        <v/>
      </c>
      <c r="AL1003" t="s">
        <v>2512</v>
      </c>
      <c r="AM1003">
        <v>0</v>
      </c>
      <c r="AN1003">
        <v>0</v>
      </c>
      <c r="AO1003">
        <v>0</v>
      </c>
      <c r="AP1003">
        <v>0</v>
      </c>
      <c r="AQ1003">
        <v>0</v>
      </c>
      <c r="AR1003">
        <v>0</v>
      </c>
      <c r="AS1003">
        <v>0</v>
      </c>
      <c r="AT1003">
        <v>0</v>
      </c>
      <c r="AU1003">
        <v>0</v>
      </c>
      <c r="AV1003">
        <v>0</v>
      </c>
      <c r="AW1003">
        <v>0</v>
      </c>
      <c r="AX1003" s="24" t="str">
        <f t="shared" si="105"/>
        <v/>
      </c>
      <c r="AY1003" s="24" t="str">
        <f t="shared" si="105"/>
        <v/>
      </c>
      <c r="AZ1003" s="24" t="str">
        <f t="shared" si="104"/>
        <v/>
      </c>
      <c r="BA1003" s="24" t="str">
        <f t="shared" si="104"/>
        <v/>
      </c>
      <c r="BB1003" s="24">
        <f t="shared" si="104"/>
        <v>1</v>
      </c>
      <c r="BC1003" s="24" t="str">
        <f t="shared" si="104"/>
        <v/>
      </c>
      <c r="BD1003" s="24" t="str">
        <f t="shared" si="104"/>
        <v/>
      </c>
      <c r="BE1003" s="24" t="str">
        <f t="shared" si="104"/>
        <v/>
      </c>
      <c r="BF1003" s="24" t="str">
        <f t="shared" si="104"/>
        <v/>
      </c>
      <c r="BG1003" s="24" t="str">
        <f t="shared" si="104"/>
        <v/>
      </c>
      <c r="BH1003" s="24" t="str">
        <f t="shared" si="102"/>
        <v/>
      </c>
      <c r="BI1003" s="24" t="str">
        <f t="shared" si="104"/>
        <v/>
      </c>
      <c r="BJ1003" s="24" t="str">
        <f t="shared" si="103"/>
        <v/>
      </c>
    </row>
    <row r="1004" spans="1:62" ht="15" customHeight="1" x14ac:dyDescent="0.25">
      <c r="B1004" t="str">
        <f>"01999288"</f>
        <v>01999288</v>
      </c>
      <c r="C1004" t="s">
        <v>2151</v>
      </c>
      <c r="D1004" t="s">
        <v>2152</v>
      </c>
      <c r="E1004" t="s">
        <v>2151</v>
      </c>
      <c r="F1004">
        <v>150516395</v>
      </c>
      <c r="G1004" t="s">
        <v>2142</v>
      </c>
      <c r="H1004" t="s">
        <v>2143</v>
      </c>
      <c r="I1004">
        <v>311</v>
      </c>
      <c r="J1004" t="s">
        <v>2144</v>
      </c>
      <c r="L1004" t="s">
        <v>66</v>
      </c>
      <c r="M1004" t="s">
        <v>108</v>
      </c>
      <c r="W1004" t="s">
        <v>2153</v>
      </c>
      <c r="X1004" t="s">
        <v>2148</v>
      </c>
      <c r="Y1004" t="s">
        <v>129</v>
      </c>
      <c r="Z1004" t="s">
        <v>111</v>
      </c>
      <c r="AA1004" t="str">
        <f>"13790-1675"</f>
        <v>13790-1675</v>
      </c>
      <c r="AB1004" t="s">
        <v>165</v>
      </c>
      <c r="AC1004" t="s">
        <v>113</v>
      </c>
      <c r="AD1004" t="s">
        <v>108</v>
      </c>
      <c r="AE1004" t="s">
        <v>114</v>
      </c>
      <c r="AF1004" t="s">
        <v>115</v>
      </c>
      <c r="AG1004" t="s">
        <v>116</v>
      </c>
      <c r="AK1004" t="str">
        <f t="shared" si="101"/>
        <v/>
      </c>
      <c r="AL1004" t="s">
        <v>2152</v>
      </c>
      <c r="AM1004">
        <v>0</v>
      </c>
      <c r="AN1004">
        <v>0</v>
      </c>
      <c r="AO1004">
        <v>0</v>
      </c>
      <c r="AP1004">
        <v>0</v>
      </c>
      <c r="AQ1004">
        <v>0</v>
      </c>
      <c r="AR1004">
        <v>0</v>
      </c>
      <c r="AS1004">
        <v>0</v>
      </c>
      <c r="AT1004">
        <v>0</v>
      </c>
      <c r="AU1004">
        <v>0</v>
      </c>
      <c r="AV1004">
        <v>0</v>
      </c>
      <c r="AW1004">
        <v>0</v>
      </c>
      <c r="AX1004" s="24" t="str">
        <f t="shared" si="105"/>
        <v/>
      </c>
      <c r="AY1004" s="24" t="str">
        <f t="shared" si="105"/>
        <v/>
      </c>
      <c r="AZ1004" s="24" t="str">
        <f t="shared" si="104"/>
        <v/>
      </c>
      <c r="BA1004" s="24" t="str">
        <f t="shared" si="104"/>
        <v/>
      </c>
      <c r="BB1004" s="24">
        <f t="shared" si="104"/>
        <v>1</v>
      </c>
      <c r="BC1004" s="24" t="str">
        <f t="shared" si="104"/>
        <v/>
      </c>
      <c r="BD1004" s="24" t="str">
        <f t="shared" si="104"/>
        <v/>
      </c>
      <c r="BE1004" s="24" t="str">
        <f t="shared" si="104"/>
        <v/>
      </c>
      <c r="BF1004" s="24" t="str">
        <f t="shared" si="104"/>
        <v/>
      </c>
      <c r="BG1004" s="24" t="str">
        <f t="shared" si="104"/>
        <v/>
      </c>
      <c r="BH1004" s="24" t="str">
        <f t="shared" si="102"/>
        <v/>
      </c>
      <c r="BI1004" s="24" t="str">
        <f t="shared" si="104"/>
        <v/>
      </c>
      <c r="BJ1004" s="24" t="str">
        <f t="shared" si="103"/>
        <v/>
      </c>
    </row>
    <row r="1005" spans="1:62" ht="15" customHeight="1" x14ac:dyDescent="0.25">
      <c r="B1005" t="str">
        <f>"02205838"</f>
        <v>02205838</v>
      </c>
      <c r="C1005" t="s">
        <v>2514</v>
      </c>
      <c r="D1005" t="s">
        <v>2515</v>
      </c>
      <c r="E1005" t="s">
        <v>2516</v>
      </c>
      <c r="F1005">
        <v>160919050</v>
      </c>
      <c r="G1005" t="s">
        <v>1985</v>
      </c>
      <c r="H1005" t="s">
        <v>1986</v>
      </c>
      <c r="J1005" t="s">
        <v>1987</v>
      </c>
      <c r="L1005" t="s">
        <v>66</v>
      </c>
      <c r="M1005" t="s">
        <v>108</v>
      </c>
      <c r="W1005" t="s">
        <v>2516</v>
      </c>
      <c r="X1005" t="s">
        <v>789</v>
      </c>
      <c r="Y1005" t="s">
        <v>239</v>
      </c>
      <c r="Z1005" t="s">
        <v>111</v>
      </c>
      <c r="AA1005" t="str">
        <f>"13045-8729"</f>
        <v>13045-8729</v>
      </c>
      <c r="AB1005" t="s">
        <v>165</v>
      </c>
      <c r="AC1005" t="s">
        <v>113</v>
      </c>
      <c r="AD1005" t="s">
        <v>108</v>
      </c>
      <c r="AE1005" t="s">
        <v>114</v>
      </c>
      <c r="AF1005" t="s">
        <v>142</v>
      </c>
      <c r="AG1005" t="s">
        <v>116</v>
      </c>
      <c r="AK1005" t="str">
        <f t="shared" si="101"/>
        <v/>
      </c>
      <c r="AL1005" t="s">
        <v>2515</v>
      </c>
      <c r="AM1005">
        <v>1</v>
      </c>
      <c r="AN1005">
        <v>0</v>
      </c>
      <c r="AO1005">
        <v>0</v>
      </c>
      <c r="AP1005">
        <v>1</v>
      </c>
      <c r="AQ1005">
        <v>1</v>
      </c>
      <c r="AR1005">
        <v>0</v>
      </c>
      <c r="AS1005">
        <v>0</v>
      </c>
      <c r="AT1005">
        <v>0</v>
      </c>
      <c r="AU1005">
        <v>0</v>
      </c>
      <c r="AV1005">
        <v>0</v>
      </c>
      <c r="AW1005">
        <v>0</v>
      </c>
      <c r="AX1005" s="24" t="str">
        <f t="shared" si="105"/>
        <v/>
      </c>
      <c r="AY1005" s="24" t="str">
        <f t="shared" si="105"/>
        <v/>
      </c>
      <c r="AZ1005" s="24" t="str">
        <f t="shared" si="104"/>
        <v/>
      </c>
      <c r="BA1005" s="24" t="str">
        <f t="shared" si="104"/>
        <v/>
      </c>
      <c r="BB1005" s="24">
        <f t="shared" si="104"/>
        <v>1</v>
      </c>
      <c r="BC1005" s="24" t="str">
        <f t="shared" si="104"/>
        <v/>
      </c>
      <c r="BD1005" s="24" t="str">
        <f t="shared" si="104"/>
        <v/>
      </c>
      <c r="BE1005" s="24" t="str">
        <f t="shared" si="104"/>
        <v/>
      </c>
      <c r="BF1005" s="24" t="str">
        <f t="shared" si="104"/>
        <v/>
      </c>
      <c r="BG1005" s="24" t="str">
        <f t="shared" si="104"/>
        <v/>
      </c>
      <c r="BH1005" s="24" t="str">
        <f t="shared" si="102"/>
        <v/>
      </c>
      <c r="BI1005" s="24" t="str">
        <f t="shared" si="104"/>
        <v/>
      </c>
      <c r="BJ1005" s="24" t="str">
        <f t="shared" si="103"/>
        <v/>
      </c>
    </row>
    <row r="1006" spans="1:62" ht="15" customHeight="1" x14ac:dyDescent="0.25">
      <c r="B1006" t="str">
        <f>"02001696"</f>
        <v>02001696</v>
      </c>
      <c r="C1006" t="s">
        <v>2517</v>
      </c>
      <c r="D1006" t="s">
        <v>2518</v>
      </c>
      <c r="E1006" t="s">
        <v>2519</v>
      </c>
      <c r="F1006">
        <v>160919050</v>
      </c>
      <c r="G1006" t="s">
        <v>1985</v>
      </c>
      <c r="H1006" t="s">
        <v>1986</v>
      </c>
      <c r="J1006" t="s">
        <v>1987</v>
      </c>
      <c r="L1006" t="s">
        <v>66</v>
      </c>
      <c r="M1006" t="s">
        <v>108</v>
      </c>
      <c r="W1006" t="s">
        <v>2519</v>
      </c>
      <c r="X1006" t="s">
        <v>789</v>
      </c>
      <c r="Y1006" t="s">
        <v>239</v>
      </c>
      <c r="Z1006" t="s">
        <v>111</v>
      </c>
      <c r="AA1006" t="str">
        <f>"13045-8729"</f>
        <v>13045-8729</v>
      </c>
      <c r="AB1006" t="s">
        <v>165</v>
      </c>
      <c r="AC1006" t="s">
        <v>113</v>
      </c>
      <c r="AD1006" t="s">
        <v>108</v>
      </c>
      <c r="AE1006" t="s">
        <v>114</v>
      </c>
      <c r="AF1006" t="s">
        <v>142</v>
      </c>
      <c r="AG1006" t="s">
        <v>116</v>
      </c>
      <c r="AK1006" t="str">
        <f t="shared" si="101"/>
        <v/>
      </c>
      <c r="AL1006" t="s">
        <v>2518</v>
      </c>
      <c r="AM1006">
        <v>1</v>
      </c>
      <c r="AN1006">
        <v>0</v>
      </c>
      <c r="AO1006">
        <v>0</v>
      </c>
      <c r="AP1006">
        <v>1</v>
      </c>
      <c r="AQ1006">
        <v>1</v>
      </c>
      <c r="AR1006">
        <v>0</v>
      </c>
      <c r="AS1006">
        <v>0</v>
      </c>
      <c r="AT1006">
        <v>0</v>
      </c>
      <c r="AU1006">
        <v>0</v>
      </c>
      <c r="AV1006">
        <v>0</v>
      </c>
      <c r="AW1006">
        <v>0</v>
      </c>
      <c r="AX1006" s="24" t="str">
        <f t="shared" si="105"/>
        <v/>
      </c>
      <c r="AY1006" s="24" t="str">
        <f t="shared" si="105"/>
        <v/>
      </c>
      <c r="AZ1006" s="24" t="str">
        <f t="shared" si="104"/>
        <v/>
      </c>
      <c r="BA1006" s="24" t="str">
        <f t="shared" si="104"/>
        <v/>
      </c>
      <c r="BB1006" s="24">
        <f t="shared" si="104"/>
        <v>1</v>
      </c>
      <c r="BC1006" s="24" t="str">
        <f t="shared" si="104"/>
        <v/>
      </c>
      <c r="BD1006" s="24" t="str">
        <f t="shared" si="104"/>
        <v/>
      </c>
      <c r="BE1006" s="24" t="str">
        <f t="shared" si="104"/>
        <v/>
      </c>
      <c r="BF1006" s="24" t="str">
        <f t="shared" si="104"/>
        <v/>
      </c>
      <c r="BG1006" s="24" t="str">
        <f t="shared" si="104"/>
        <v/>
      </c>
      <c r="BH1006" s="24" t="str">
        <f t="shared" si="102"/>
        <v/>
      </c>
      <c r="BI1006" s="24" t="str">
        <f t="shared" si="104"/>
        <v/>
      </c>
      <c r="BJ1006" s="24" t="str">
        <f t="shared" si="103"/>
        <v/>
      </c>
    </row>
    <row r="1007" spans="1:62" ht="15" customHeight="1" x14ac:dyDescent="0.25">
      <c r="B1007" t="str">
        <f>"02001834"</f>
        <v>02001834</v>
      </c>
      <c r="C1007" t="s">
        <v>2111</v>
      </c>
      <c r="D1007" t="s">
        <v>2112</v>
      </c>
      <c r="E1007" t="s">
        <v>2111</v>
      </c>
      <c r="F1007">
        <v>161427778</v>
      </c>
      <c r="G1007" t="s">
        <v>2105</v>
      </c>
      <c r="H1007" t="s">
        <v>2106</v>
      </c>
      <c r="J1007" t="s">
        <v>2107</v>
      </c>
      <c r="L1007" t="s">
        <v>66</v>
      </c>
      <c r="M1007" t="s">
        <v>108</v>
      </c>
      <c r="W1007" t="s">
        <v>2113</v>
      </c>
      <c r="X1007" t="s">
        <v>2114</v>
      </c>
      <c r="Y1007" t="s">
        <v>991</v>
      </c>
      <c r="Z1007" t="s">
        <v>111</v>
      </c>
      <c r="AA1007" t="str">
        <f>"13838-1102"</f>
        <v>13838-1102</v>
      </c>
      <c r="AB1007" t="s">
        <v>165</v>
      </c>
      <c r="AC1007" t="s">
        <v>113</v>
      </c>
      <c r="AD1007" t="s">
        <v>108</v>
      </c>
      <c r="AE1007" t="s">
        <v>114</v>
      </c>
      <c r="AF1007" t="s">
        <v>124</v>
      </c>
      <c r="AG1007" t="s">
        <v>116</v>
      </c>
      <c r="AK1007" t="str">
        <f t="shared" si="101"/>
        <v/>
      </c>
      <c r="AL1007" t="s">
        <v>2112</v>
      </c>
      <c r="AM1007">
        <v>0</v>
      </c>
      <c r="AN1007">
        <v>0</v>
      </c>
      <c r="AO1007">
        <v>0</v>
      </c>
      <c r="AP1007">
        <v>0</v>
      </c>
      <c r="AQ1007">
        <v>0</v>
      </c>
      <c r="AR1007">
        <v>0</v>
      </c>
      <c r="AS1007">
        <v>0</v>
      </c>
      <c r="AT1007">
        <v>0</v>
      </c>
      <c r="AU1007">
        <v>0</v>
      </c>
      <c r="AV1007">
        <v>0</v>
      </c>
      <c r="AW1007">
        <v>0</v>
      </c>
      <c r="AX1007" s="24" t="str">
        <f t="shared" si="105"/>
        <v/>
      </c>
      <c r="AY1007" s="24" t="str">
        <f t="shared" si="105"/>
        <v/>
      </c>
      <c r="AZ1007" s="24" t="str">
        <f t="shared" si="104"/>
        <v/>
      </c>
      <c r="BA1007" s="24" t="str">
        <f t="shared" si="104"/>
        <v/>
      </c>
      <c r="BB1007" s="24">
        <f t="shared" si="104"/>
        <v>1</v>
      </c>
      <c r="BC1007" s="24" t="str">
        <f t="shared" si="104"/>
        <v/>
      </c>
      <c r="BD1007" s="24" t="str">
        <f t="shared" si="104"/>
        <v/>
      </c>
      <c r="BE1007" s="24" t="str">
        <f t="shared" si="104"/>
        <v/>
      </c>
      <c r="BF1007" s="24" t="str">
        <f t="shared" si="104"/>
        <v/>
      </c>
      <c r="BG1007" s="24" t="str">
        <f t="shared" si="104"/>
        <v/>
      </c>
      <c r="BH1007" s="24" t="str">
        <f t="shared" si="102"/>
        <v/>
      </c>
      <c r="BI1007" s="24" t="str">
        <f t="shared" si="104"/>
        <v/>
      </c>
      <c r="BJ1007" s="24" t="str">
        <f t="shared" si="103"/>
        <v/>
      </c>
    </row>
    <row r="1008" spans="1:62" ht="15" customHeight="1" x14ac:dyDescent="0.25">
      <c r="B1008" t="str">
        <f>"02002477"</f>
        <v>02002477</v>
      </c>
      <c r="C1008" t="s">
        <v>898</v>
      </c>
      <c r="D1008" t="s">
        <v>899</v>
      </c>
      <c r="E1008" t="s">
        <v>900</v>
      </c>
      <c r="F1008">
        <v>160958020</v>
      </c>
      <c r="G1008" t="s">
        <v>901</v>
      </c>
      <c r="H1008" t="s">
        <v>902</v>
      </c>
      <c r="L1008" t="s">
        <v>66</v>
      </c>
      <c r="M1008" t="s">
        <v>108</v>
      </c>
      <c r="W1008" t="s">
        <v>900</v>
      </c>
      <c r="X1008" t="s">
        <v>903</v>
      </c>
      <c r="Y1008" t="s">
        <v>904</v>
      </c>
      <c r="Z1008" t="s">
        <v>111</v>
      </c>
      <c r="AA1008" t="str">
        <f>"13421-1500"</f>
        <v>13421-1500</v>
      </c>
      <c r="AB1008" t="s">
        <v>165</v>
      </c>
      <c r="AC1008" t="s">
        <v>113</v>
      </c>
      <c r="AD1008" t="s">
        <v>108</v>
      </c>
      <c r="AE1008" t="s">
        <v>114</v>
      </c>
      <c r="AF1008" t="s">
        <v>124</v>
      </c>
      <c r="AG1008" t="s">
        <v>116</v>
      </c>
      <c r="AK1008" t="str">
        <f t="shared" si="101"/>
        <v/>
      </c>
      <c r="AL1008" t="s">
        <v>899</v>
      </c>
      <c r="AM1008">
        <v>0</v>
      </c>
      <c r="AN1008">
        <v>0</v>
      </c>
      <c r="AO1008">
        <v>0</v>
      </c>
      <c r="AP1008">
        <v>0</v>
      </c>
      <c r="AQ1008">
        <v>0</v>
      </c>
      <c r="AR1008">
        <v>0</v>
      </c>
      <c r="AS1008">
        <v>0</v>
      </c>
      <c r="AT1008">
        <v>0</v>
      </c>
      <c r="AU1008">
        <v>0</v>
      </c>
      <c r="AV1008">
        <v>0</v>
      </c>
      <c r="AW1008">
        <v>0</v>
      </c>
      <c r="AX1008" s="24" t="str">
        <f t="shared" si="105"/>
        <v/>
      </c>
      <c r="AY1008" s="24" t="str">
        <f t="shared" si="105"/>
        <v/>
      </c>
      <c r="AZ1008" s="24" t="str">
        <f t="shared" si="104"/>
        <v/>
      </c>
      <c r="BA1008" s="24" t="str">
        <f t="shared" ref="AZ1008:BI1033" si="106">IF(ISERROR(FIND(BA$1,$L1008,1)),"",1)</f>
        <v/>
      </c>
      <c r="BB1008" s="24">
        <f t="shared" si="106"/>
        <v>1</v>
      </c>
      <c r="BC1008" s="24" t="str">
        <f t="shared" si="106"/>
        <v/>
      </c>
      <c r="BD1008" s="24" t="str">
        <f t="shared" si="106"/>
        <v/>
      </c>
      <c r="BE1008" s="24" t="str">
        <f t="shared" si="106"/>
        <v/>
      </c>
      <c r="BF1008" s="24" t="str">
        <f t="shared" si="106"/>
        <v/>
      </c>
      <c r="BG1008" s="24" t="str">
        <f t="shared" si="106"/>
        <v/>
      </c>
      <c r="BH1008" s="24" t="str">
        <f t="shared" si="102"/>
        <v/>
      </c>
      <c r="BI1008" s="24" t="str">
        <f t="shared" si="106"/>
        <v/>
      </c>
      <c r="BJ1008" s="24" t="str">
        <f t="shared" si="103"/>
        <v/>
      </c>
    </row>
    <row r="1009" spans="1:62" ht="15" customHeight="1" x14ac:dyDescent="0.25">
      <c r="B1009" t="str">
        <f>"02003001"</f>
        <v>02003001</v>
      </c>
      <c r="C1009" t="s">
        <v>1066</v>
      </c>
      <c r="D1009" t="s">
        <v>1067</v>
      </c>
      <c r="E1009" t="s">
        <v>222</v>
      </c>
      <c r="F1009">
        <v>161204347</v>
      </c>
      <c r="G1009" t="s">
        <v>219</v>
      </c>
      <c r="H1009" t="s">
        <v>220</v>
      </c>
      <c r="J1009" t="s">
        <v>221</v>
      </c>
      <c r="L1009" t="s">
        <v>66</v>
      </c>
      <c r="M1009" t="s">
        <v>108</v>
      </c>
      <c r="W1009" t="s">
        <v>222</v>
      </c>
      <c r="X1009" t="s">
        <v>225</v>
      </c>
      <c r="Y1009" t="s">
        <v>110</v>
      </c>
      <c r="Z1009" t="s">
        <v>111</v>
      </c>
      <c r="AA1009" t="str">
        <f>"13904-1224"</f>
        <v>13904-1224</v>
      </c>
      <c r="AB1009" t="s">
        <v>165</v>
      </c>
      <c r="AC1009" t="s">
        <v>113</v>
      </c>
      <c r="AD1009" t="s">
        <v>108</v>
      </c>
      <c r="AE1009" t="s">
        <v>114</v>
      </c>
      <c r="AF1009" t="s">
        <v>115</v>
      </c>
      <c r="AG1009" t="s">
        <v>116</v>
      </c>
      <c r="AK1009" t="str">
        <f t="shared" si="101"/>
        <v/>
      </c>
      <c r="AL1009" t="s">
        <v>1067</v>
      </c>
      <c r="AM1009">
        <v>0</v>
      </c>
      <c r="AN1009">
        <v>0</v>
      </c>
      <c r="AO1009">
        <v>0</v>
      </c>
      <c r="AP1009">
        <v>0</v>
      </c>
      <c r="AQ1009">
        <v>0</v>
      </c>
      <c r="AR1009">
        <v>0</v>
      </c>
      <c r="AS1009">
        <v>0</v>
      </c>
      <c r="AT1009">
        <v>0</v>
      </c>
      <c r="AU1009">
        <v>0</v>
      </c>
      <c r="AV1009">
        <v>0</v>
      </c>
      <c r="AW1009">
        <v>0</v>
      </c>
      <c r="AX1009" s="24" t="str">
        <f t="shared" si="105"/>
        <v/>
      </c>
      <c r="AY1009" s="24" t="str">
        <f t="shared" si="105"/>
        <v/>
      </c>
      <c r="AZ1009" s="24" t="str">
        <f t="shared" si="106"/>
        <v/>
      </c>
      <c r="BA1009" s="24" t="str">
        <f t="shared" si="106"/>
        <v/>
      </c>
      <c r="BB1009" s="24">
        <f t="shared" si="106"/>
        <v>1</v>
      </c>
      <c r="BC1009" s="24" t="str">
        <f t="shared" si="106"/>
        <v/>
      </c>
      <c r="BD1009" s="24" t="str">
        <f t="shared" si="106"/>
        <v/>
      </c>
      <c r="BE1009" s="24" t="str">
        <f t="shared" si="106"/>
        <v/>
      </c>
      <c r="BF1009" s="24" t="str">
        <f t="shared" si="106"/>
        <v/>
      </c>
      <c r="BG1009" s="24" t="str">
        <f t="shared" si="106"/>
        <v/>
      </c>
      <c r="BH1009" s="24" t="str">
        <f t="shared" si="102"/>
        <v/>
      </c>
      <c r="BI1009" s="24" t="str">
        <f t="shared" si="106"/>
        <v/>
      </c>
      <c r="BJ1009" s="24" t="str">
        <f t="shared" si="103"/>
        <v/>
      </c>
    </row>
    <row r="1010" spans="1:62" ht="15" customHeight="1" x14ac:dyDescent="0.25">
      <c r="B1010" t="str">
        <f>"02003845"</f>
        <v>02003845</v>
      </c>
      <c r="C1010" t="s">
        <v>4969</v>
      </c>
      <c r="D1010" t="s">
        <v>4970</v>
      </c>
      <c r="E1010" t="s">
        <v>4971</v>
      </c>
      <c r="F1010">
        <v>161081372</v>
      </c>
      <c r="G1010" t="s">
        <v>4964</v>
      </c>
      <c r="H1010" t="s">
        <v>4965</v>
      </c>
      <c r="L1010" t="s">
        <v>66</v>
      </c>
      <c r="M1010" t="s">
        <v>108</v>
      </c>
      <c r="W1010" t="s">
        <v>4971</v>
      </c>
      <c r="X1010" t="s">
        <v>4972</v>
      </c>
      <c r="Y1010" t="s">
        <v>1272</v>
      </c>
      <c r="Z1010" t="s">
        <v>111</v>
      </c>
      <c r="AA1010" t="str">
        <f>"13021-4838"</f>
        <v>13021-4838</v>
      </c>
      <c r="AB1010" t="s">
        <v>165</v>
      </c>
      <c r="AC1010" t="s">
        <v>113</v>
      </c>
      <c r="AD1010" t="s">
        <v>108</v>
      </c>
      <c r="AE1010" t="s">
        <v>114</v>
      </c>
      <c r="AF1010" t="s">
        <v>142</v>
      </c>
      <c r="AG1010" t="s">
        <v>116</v>
      </c>
      <c r="AK1010" t="str">
        <f t="shared" si="101"/>
        <v/>
      </c>
      <c r="AL1010" t="s">
        <v>4970</v>
      </c>
      <c r="AM1010">
        <v>0</v>
      </c>
      <c r="AN1010">
        <v>0</v>
      </c>
      <c r="AO1010">
        <v>0</v>
      </c>
      <c r="AP1010">
        <v>0</v>
      </c>
      <c r="AQ1010">
        <v>0</v>
      </c>
      <c r="AR1010">
        <v>0</v>
      </c>
      <c r="AS1010">
        <v>0</v>
      </c>
      <c r="AT1010">
        <v>0</v>
      </c>
      <c r="AU1010">
        <v>0</v>
      </c>
      <c r="AV1010">
        <v>0</v>
      </c>
      <c r="AW1010">
        <v>0</v>
      </c>
      <c r="AX1010" s="24" t="str">
        <f t="shared" si="105"/>
        <v/>
      </c>
      <c r="AY1010" s="24" t="str">
        <f t="shared" si="105"/>
        <v/>
      </c>
      <c r="AZ1010" s="24" t="str">
        <f t="shared" si="106"/>
        <v/>
      </c>
      <c r="BA1010" s="24" t="str">
        <f t="shared" si="106"/>
        <v/>
      </c>
      <c r="BB1010" s="24">
        <f t="shared" si="106"/>
        <v>1</v>
      </c>
      <c r="BC1010" s="24" t="str">
        <f t="shared" si="106"/>
        <v/>
      </c>
      <c r="BD1010" s="24" t="str">
        <f t="shared" si="106"/>
        <v/>
      </c>
      <c r="BE1010" s="24" t="str">
        <f t="shared" si="106"/>
        <v/>
      </c>
      <c r="BF1010" s="24" t="str">
        <f t="shared" si="106"/>
        <v/>
      </c>
      <c r="BG1010" s="24" t="str">
        <f t="shared" si="106"/>
        <v/>
      </c>
      <c r="BH1010" s="24" t="str">
        <f t="shared" si="102"/>
        <v/>
      </c>
      <c r="BI1010" s="24" t="str">
        <f t="shared" si="106"/>
        <v/>
      </c>
      <c r="BJ1010" s="24" t="str">
        <f t="shared" si="103"/>
        <v/>
      </c>
    </row>
    <row r="1011" spans="1:62" ht="15" customHeight="1" x14ac:dyDescent="0.25">
      <c r="A1011" t="str">
        <f>"1306893318"</f>
        <v>1306893318</v>
      </c>
      <c r="B1011" t="str">
        <f>"02222782"</f>
        <v>02222782</v>
      </c>
      <c r="C1011" t="s">
        <v>5497</v>
      </c>
      <c r="D1011" t="s">
        <v>5498</v>
      </c>
      <c r="E1011" t="s">
        <v>5497</v>
      </c>
      <c r="G1011" t="s">
        <v>4447</v>
      </c>
      <c r="H1011" t="s">
        <v>4448</v>
      </c>
      <c r="J1011" t="s">
        <v>4449</v>
      </c>
      <c r="L1011" t="s">
        <v>247</v>
      </c>
      <c r="M1011" t="s">
        <v>108</v>
      </c>
      <c r="R1011" t="s">
        <v>5497</v>
      </c>
      <c r="W1011" t="s">
        <v>5499</v>
      </c>
      <c r="X1011" t="s">
        <v>5500</v>
      </c>
      <c r="Y1011" t="s">
        <v>122</v>
      </c>
      <c r="Z1011" t="s">
        <v>111</v>
      </c>
      <c r="AA1011" t="str">
        <f>"13815-3541"</f>
        <v>13815-3541</v>
      </c>
      <c r="AB1011" t="s">
        <v>1000</v>
      </c>
      <c r="AC1011" t="s">
        <v>113</v>
      </c>
      <c r="AD1011" t="s">
        <v>108</v>
      </c>
      <c r="AE1011" t="s">
        <v>114</v>
      </c>
      <c r="AF1011" t="s">
        <v>124</v>
      </c>
      <c r="AG1011" t="s">
        <v>116</v>
      </c>
      <c r="AK1011" t="str">
        <f t="shared" si="101"/>
        <v/>
      </c>
      <c r="AL1011" t="s">
        <v>5498</v>
      </c>
      <c r="AM1011">
        <v>0</v>
      </c>
      <c r="AN1011">
        <v>0</v>
      </c>
      <c r="AO1011">
        <v>0</v>
      </c>
      <c r="AP1011">
        <v>0</v>
      </c>
      <c r="AQ1011">
        <v>0</v>
      </c>
      <c r="AR1011">
        <v>0</v>
      </c>
      <c r="AS1011">
        <v>0</v>
      </c>
      <c r="AT1011">
        <v>0</v>
      </c>
      <c r="AU1011">
        <v>0</v>
      </c>
      <c r="AV1011">
        <v>0</v>
      </c>
      <c r="AW1011">
        <v>0</v>
      </c>
      <c r="AX1011" s="24" t="str">
        <f t="shared" si="105"/>
        <v/>
      </c>
      <c r="AY1011" s="24">
        <f t="shared" si="105"/>
        <v>1</v>
      </c>
      <c r="AZ1011" s="24" t="str">
        <f t="shared" si="106"/>
        <v/>
      </c>
      <c r="BA1011" s="24" t="str">
        <f t="shared" si="106"/>
        <v/>
      </c>
      <c r="BB1011" s="24" t="str">
        <f t="shared" si="106"/>
        <v/>
      </c>
      <c r="BC1011" s="24" t="str">
        <f t="shared" si="106"/>
        <v/>
      </c>
      <c r="BD1011" s="24" t="str">
        <f t="shared" si="106"/>
        <v/>
      </c>
      <c r="BE1011" s="24" t="str">
        <f t="shared" si="106"/>
        <v/>
      </c>
      <c r="BF1011" s="24" t="str">
        <f t="shared" si="106"/>
        <v/>
      </c>
      <c r="BG1011" s="24" t="str">
        <f t="shared" si="106"/>
        <v/>
      </c>
      <c r="BH1011" s="24" t="str">
        <f t="shared" si="102"/>
        <v/>
      </c>
      <c r="BI1011" s="24" t="str">
        <f t="shared" si="106"/>
        <v/>
      </c>
      <c r="BJ1011" s="24" t="str">
        <f t="shared" si="103"/>
        <v/>
      </c>
    </row>
    <row r="1012" spans="1:62" ht="15" customHeight="1" x14ac:dyDescent="0.25">
      <c r="A1012" t="str">
        <f>"1508891953"</f>
        <v>1508891953</v>
      </c>
      <c r="B1012" t="str">
        <f>"02751004"</f>
        <v>02751004</v>
      </c>
      <c r="C1012" t="s">
        <v>6774</v>
      </c>
      <c r="D1012" t="s">
        <v>7046</v>
      </c>
      <c r="E1012" t="s">
        <v>6902</v>
      </c>
      <c r="G1012" t="s">
        <v>7184</v>
      </c>
      <c r="H1012" t="s">
        <v>2379</v>
      </c>
      <c r="J1012" t="s">
        <v>7185</v>
      </c>
      <c r="L1012" t="s">
        <v>138</v>
      </c>
      <c r="M1012" t="s">
        <v>108</v>
      </c>
      <c r="R1012" t="s">
        <v>6774</v>
      </c>
      <c r="W1012" t="s">
        <v>6902</v>
      </c>
      <c r="X1012" t="s">
        <v>2382</v>
      </c>
      <c r="Y1012" t="s">
        <v>979</v>
      </c>
      <c r="Z1012" t="s">
        <v>111</v>
      </c>
      <c r="AA1012" t="str">
        <f>"13760-3646"</f>
        <v>13760-3646</v>
      </c>
      <c r="AB1012" t="s">
        <v>123</v>
      </c>
      <c r="AC1012" t="s">
        <v>113</v>
      </c>
      <c r="AD1012" t="s">
        <v>108</v>
      </c>
      <c r="AE1012" t="s">
        <v>114</v>
      </c>
      <c r="AF1012" t="s">
        <v>115</v>
      </c>
      <c r="AG1012" t="s">
        <v>116</v>
      </c>
      <c r="AK1012" t="str">
        <f t="shared" si="101"/>
        <v>ONEILL JOHN</v>
      </c>
      <c r="AL1012" t="s">
        <v>7046</v>
      </c>
      <c r="AM1012" t="s">
        <v>108</v>
      </c>
      <c r="AN1012" t="s">
        <v>108</v>
      </c>
      <c r="AO1012" t="s">
        <v>108</v>
      </c>
      <c r="AP1012" t="s">
        <v>108</v>
      </c>
      <c r="AQ1012" t="s">
        <v>108</v>
      </c>
      <c r="AR1012" t="s">
        <v>108</v>
      </c>
      <c r="AS1012" t="s">
        <v>108</v>
      </c>
      <c r="AT1012" t="s">
        <v>108</v>
      </c>
      <c r="AU1012" t="s">
        <v>108</v>
      </c>
      <c r="AV1012" t="s">
        <v>108</v>
      </c>
      <c r="AW1012" t="s">
        <v>108</v>
      </c>
      <c r="AX1012" s="24" t="str">
        <f t="shared" si="105"/>
        <v/>
      </c>
      <c r="AY1012" s="24">
        <f t="shared" si="105"/>
        <v>1</v>
      </c>
      <c r="AZ1012" s="24" t="str">
        <f t="shared" si="106"/>
        <v/>
      </c>
      <c r="BA1012" s="24" t="str">
        <f t="shared" si="106"/>
        <v/>
      </c>
      <c r="BB1012" s="24" t="str">
        <f t="shared" si="106"/>
        <v/>
      </c>
      <c r="BC1012" s="24" t="str">
        <f t="shared" si="106"/>
        <v/>
      </c>
      <c r="BD1012" s="24" t="str">
        <f t="shared" si="106"/>
        <v/>
      </c>
      <c r="BE1012" s="24" t="str">
        <f t="shared" si="106"/>
        <v/>
      </c>
      <c r="BF1012" s="24" t="str">
        <f t="shared" si="106"/>
        <v/>
      </c>
      <c r="BG1012" s="24" t="str">
        <f t="shared" si="106"/>
        <v/>
      </c>
      <c r="BH1012" s="24" t="str">
        <f t="shared" si="102"/>
        <v/>
      </c>
      <c r="BI1012" s="24">
        <f t="shared" si="106"/>
        <v>1</v>
      </c>
      <c r="BJ1012" s="24" t="str">
        <f t="shared" si="103"/>
        <v/>
      </c>
    </row>
    <row r="1013" spans="1:62" ht="15" customHeight="1" x14ac:dyDescent="0.25">
      <c r="A1013" t="str">
        <f>"1235184235"</f>
        <v>1235184235</v>
      </c>
      <c r="B1013" t="str">
        <f>"02994838"</f>
        <v>02994838</v>
      </c>
      <c r="C1013" t="s">
        <v>2520</v>
      </c>
      <c r="D1013" t="s">
        <v>2521</v>
      </c>
      <c r="E1013" t="s">
        <v>2522</v>
      </c>
      <c r="G1013" t="s">
        <v>2523</v>
      </c>
      <c r="H1013" t="s">
        <v>2524</v>
      </c>
      <c r="I1013">
        <v>265</v>
      </c>
      <c r="J1013" t="s">
        <v>2525</v>
      </c>
      <c r="L1013" t="s">
        <v>1998</v>
      </c>
      <c r="M1013" t="s">
        <v>139</v>
      </c>
      <c r="R1013" t="s">
        <v>2526</v>
      </c>
      <c r="W1013" t="s">
        <v>2527</v>
      </c>
      <c r="X1013" t="s">
        <v>2528</v>
      </c>
      <c r="Y1013" t="s">
        <v>141</v>
      </c>
      <c r="Z1013" t="s">
        <v>111</v>
      </c>
      <c r="AA1013" t="str">
        <f>"13202-5002"</f>
        <v>13202-5002</v>
      </c>
      <c r="AB1013" t="s">
        <v>385</v>
      </c>
      <c r="AC1013" t="s">
        <v>113</v>
      </c>
      <c r="AD1013" t="s">
        <v>108</v>
      </c>
      <c r="AE1013" t="s">
        <v>114</v>
      </c>
      <c r="AF1013" t="s">
        <v>142</v>
      </c>
      <c r="AG1013" t="s">
        <v>116</v>
      </c>
      <c r="AK1013" t="str">
        <f t="shared" si="101"/>
        <v/>
      </c>
      <c r="AL1013" t="s">
        <v>2521</v>
      </c>
      <c r="AM1013">
        <v>0</v>
      </c>
      <c r="AN1013">
        <v>0</v>
      </c>
      <c r="AO1013">
        <v>0</v>
      </c>
      <c r="AP1013">
        <v>0</v>
      </c>
      <c r="AQ1013">
        <v>0</v>
      </c>
      <c r="AR1013">
        <v>0</v>
      </c>
      <c r="AS1013">
        <v>0</v>
      </c>
      <c r="AT1013">
        <v>0</v>
      </c>
      <c r="AU1013">
        <v>0</v>
      </c>
      <c r="AV1013">
        <v>0</v>
      </c>
      <c r="AW1013">
        <v>0</v>
      </c>
      <c r="AX1013" s="24" t="str">
        <f t="shared" si="105"/>
        <v/>
      </c>
      <c r="AY1013" s="24" t="str">
        <f t="shared" si="105"/>
        <v/>
      </c>
      <c r="AZ1013" s="24" t="str">
        <f t="shared" si="106"/>
        <v/>
      </c>
      <c r="BA1013" s="24" t="str">
        <f t="shared" si="106"/>
        <v/>
      </c>
      <c r="BB1013" s="24">
        <f t="shared" si="106"/>
        <v>1</v>
      </c>
      <c r="BC1013" s="24">
        <f t="shared" si="106"/>
        <v>1</v>
      </c>
      <c r="BD1013" s="24" t="str">
        <f t="shared" si="106"/>
        <v/>
      </c>
      <c r="BE1013" s="24" t="str">
        <f t="shared" si="106"/>
        <v/>
      </c>
      <c r="BF1013" s="24" t="str">
        <f t="shared" si="106"/>
        <v/>
      </c>
      <c r="BG1013" s="24" t="str">
        <f t="shared" si="106"/>
        <v/>
      </c>
      <c r="BH1013" s="24" t="str">
        <f t="shared" si="102"/>
        <v/>
      </c>
      <c r="BI1013" s="24">
        <f t="shared" si="106"/>
        <v>1</v>
      </c>
      <c r="BJ1013" s="24" t="str">
        <f t="shared" si="103"/>
        <v/>
      </c>
    </row>
    <row r="1014" spans="1:62" ht="15" customHeight="1" x14ac:dyDescent="0.25">
      <c r="B1014" t="str">
        <f>"02170450"</f>
        <v>02170450</v>
      </c>
      <c r="C1014" t="s">
        <v>158</v>
      </c>
      <c r="D1014" t="s">
        <v>159</v>
      </c>
      <c r="E1014" t="s">
        <v>160</v>
      </c>
      <c r="F1014">
        <v>161275425</v>
      </c>
      <c r="G1014" t="s">
        <v>161</v>
      </c>
      <c r="H1014" t="s">
        <v>162</v>
      </c>
      <c r="I1014">
        <v>203</v>
      </c>
      <c r="J1014" t="s">
        <v>163</v>
      </c>
      <c r="L1014" t="s">
        <v>68</v>
      </c>
      <c r="M1014" t="s">
        <v>139</v>
      </c>
      <c r="W1014" t="s">
        <v>160</v>
      </c>
      <c r="X1014" t="s">
        <v>164</v>
      </c>
      <c r="Y1014" t="s">
        <v>141</v>
      </c>
      <c r="Z1014" t="s">
        <v>111</v>
      </c>
      <c r="AA1014" t="str">
        <f>"13203-2094"</f>
        <v>13203-2094</v>
      </c>
      <c r="AB1014" t="s">
        <v>165</v>
      </c>
      <c r="AC1014" t="s">
        <v>113</v>
      </c>
      <c r="AD1014" t="s">
        <v>108</v>
      </c>
      <c r="AE1014" t="s">
        <v>114</v>
      </c>
      <c r="AF1014" t="s">
        <v>142</v>
      </c>
      <c r="AG1014" t="s">
        <v>116</v>
      </c>
      <c r="AK1014" t="str">
        <f t="shared" si="101"/>
        <v/>
      </c>
      <c r="AL1014" t="s">
        <v>159</v>
      </c>
      <c r="AM1014">
        <v>0</v>
      </c>
      <c r="AN1014">
        <v>0</v>
      </c>
      <c r="AO1014">
        <v>0</v>
      </c>
      <c r="AP1014">
        <v>0</v>
      </c>
      <c r="AQ1014">
        <v>0</v>
      </c>
      <c r="AR1014">
        <v>0</v>
      </c>
      <c r="AS1014">
        <v>0</v>
      </c>
      <c r="AT1014">
        <v>0</v>
      </c>
      <c r="AU1014">
        <v>0</v>
      </c>
      <c r="AV1014">
        <v>0</v>
      </c>
      <c r="AW1014">
        <v>0</v>
      </c>
      <c r="AX1014" s="24" t="str">
        <f t="shared" si="105"/>
        <v/>
      </c>
      <c r="AY1014" s="24" t="str">
        <f t="shared" si="105"/>
        <v/>
      </c>
      <c r="AZ1014" s="24" t="str">
        <f t="shared" si="106"/>
        <v/>
      </c>
      <c r="BA1014" s="24" t="str">
        <f t="shared" si="106"/>
        <v/>
      </c>
      <c r="BB1014" s="24" t="str">
        <f t="shared" si="106"/>
        <v/>
      </c>
      <c r="BC1014" s="24" t="str">
        <f t="shared" si="106"/>
        <v/>
      </c>
      <c r="BD1014" s="24" t="str">
        <f t="shared" si="106"/>
        <v/>
      </c>
      <c r="BE1014" s="24" t="str">
        <f t="shared" si="106"/>
        <v/>
      </c>
      <c r="BF1014" s="24" t="str">
        <f t="shared" si="106"/>
        <v/>
      </c>
      <c r="BG1014" s="24" t="str">
        <f t="shared" si="106"/>
        <v/>
      </c>
      <c r="BH1014" s="24" t="str">
        <f t="shared" si="102"/>
        <v/>
      </c>
      <c r="BI1014" s="24">
        <f t="shared" si="106"/>
        <v>1</v>
      </c>
      <c r="BJ1014" s="24" t="str">
        <f t="shared" si="103"/>
        <v/>
      </c>
    </row>
    <row r="1015" spans="1:62" ht="15" customHeight="1" x14ac:dyDescent="0.25">
      <c r="B1015" t="str">
        <f>"02003818"</f>
        <v>02003818</v>
      </c>
      <c r="C1015" t="s">
        <v>158</v>
      </c>
      <c r="D1015" t="s">
        <v>166</v>
      </c>
      <c r="E1015" t="s">
        <v>167</v>
      </c>
      <c r="F1015">
        <v>161275425</v>
      </c>
      <c r="G1015" t="s">
        <v>161</v>
      </c>
      <c r="H1015" t="s">
        <v>162</v>
      </c>
      <c r="I1015">
        <v>203</v>
      </c>
      <c r="J1015" t="s">
        <v>163</v>
      </c>
      <c r="L1015" t="s">
        <v>66</v>
      </c>
      <c r="M1015" t="s">
        <v>108</v>
      </c>
      <c r="W1015" t="s">
        <v>167</v>
      </c>
      <c r="Y1015" t="s">
        <v>141</v>
      </c>
      <c r="Z1015" t="s">
        <v>111</v>
      </c>
      <c r="AA1015" t="str">
        <f>"13206-2128"</f>
        <v>13206-2128</v>
      </c>
      <c r="AB1015" t="s">
        <v>165</v>
      </c>
      <c r="AC1015" t="s">
        <v>113</v>
      </c>
      <c r="AD1015" t="s">
        <v>108</v>
      </c>
      <c r="AE1015" t="s">
        <v>114</v>
      </c>
      <c r="AF1015" t="s">
        <v>142</v>
      </c>
      <c r="AG1015" t="s">
        <v>116</v>
      </c>
      <c r="AK1015" t="str">
        <f t="shared" si="101"/>
        <v/>
      </c>
      <c r="AL1015" t="s">
        <v>166</v>
      </c>
      <c r="AM1015">
        <v>0</v>
      </c>
      <c r="AN1015">
        <v>0</v>
      </c>
      <c r="AO1015">
        <v>0</v>
      </c>
      <c r="AP1015">
        <v>0</v>
      </c>
      <c r="AQ1015">
        <v>0</v>
      </c>
      <c r="AR1015">
        <v>0</v>
      </c>
      <c r="AS1015">
        <v>0</v>
      </c>
      <c r="AT1015">
        <v>0</v>
      </c>
      <c r="AU1015">
        <v>0</v>
      </c>
      <c r="AV1015">
        <v>0</v>
      </c>
      <c r="AW1015">
        <v>0</v>
      </c>
      <c r="AX1015" s="24" t="str">
        <f t="shared" si="105"/>
        <v/>
      </c>
      <c r="AY1015" s="24" t="str">
        <f t="shared" si="105"/>
        <v/>
      </c>
      <c r="AZ1015" s="24" t="str">
        <f t="shared" si="106"/>
        <v/>
      </c>
      <c r="BA1015" s="24" t="str">
        <f t="shared" si="106"/>
        <v/>
      </c>
      <c r="BB1015" s="24">
        <f t="shared" si="106"/>
        <v>1</v>
      </c>
      <c r="BC1015" s="24" t="str">
        <f t="shared" si="106"/>
        <v/>
      </c>
      <c r="BD1015" s="24" t="str">
        <f t="shared" si="106"/>
        <v/>
      </c>
      <c r="BE1015" s="24" t="str">
        <f t="shared" si="106"/>
        <v/>
      </c>
      <c r="BF1015" s="24" t="str">
        <f t="shared" si="106"/>
        <v/>
      </c>
      <c r="BG1015" s="24" t="str">
        <f t="shared" si="106"/>
        <v/>
      </c>
      <c r="BH1015" s="24" t="str">
        <f t="shared" si="102"/>
        <v/>
      </c>
      <c r="BI1015" s="24" t="str">
        <f t="shared" si="106"/>
        <v/>
      </c>
      <c r="BJ1015" s="24" t="str">
        <f t="shared" si="103"/>
        <v/>
      </c>
    </row>
    <row r="1016" spans="1:62" ht="15" customHeight="1" x14ac:dyDescent="0.25">
      <c r="B1016" t="str">
        <f>"02254286"</f>
        <v>02254286</v>
      </c>
      <c r="C1016" t="s">
        <v>158</v>
      </c>
      <c r="D1016" t="s">
        <v>168</v>
      </c>
      <c r="E1016" t="s">
        <v>169</v>
      </c>
      <c r="F1016">
        <v>161275425</v>
      </c>
      <c r="G1016" t="s">
        <v>161</v>
      </c>
      <c r="H1016" t="s">
        <v>162</v>
      </c>
      <c r="I1016">
        <v>203</v>
      </c>
      <c r="J1016" t="s">
        <v>163</v>
      </c>
      <c r="L1016" t="s">
        <v>68</v>
      </c>
      <c r="M1016" t="s">
        <v>139</v>
      </c>
      <c r="W1016" t="s">
        <v>169</v>
      </c>
      <c r="X1016" t="s">
        <v>170</v>
      </c>
      <c r="Y1016" t="s">
        <v>141</v>
      </c>
      <c r="Z1016" t="s">
        <v>111</v>
      </c>
      <c r="AA1016" t="str">
        <f>"13203-2094"</f>
        <v>13203-2094</v>
      </c>
      <c r="AB1016" t="s">
        <v>165</v>
      </c>
      <c r="AC1016" t="s">
        <v>113</v>
      </c>
      <c r="AD1016" t="s">
        <v>108</v>
      </c>
      <c r="AE1016" t="s">
        <v>114</v>
      </c>
      <c r="AF1016" t="s">
        <v>142</v>
      </c>
      <c r="AG1016" t="s">
        <v>116</v>
      </c>
      <c r="AK1016" t="str">
        <f t="shared" si="101"/>
        <v>Onondaga Community Living</v>
      </c>
      <c r="AL1016" t="s">
        <v>168</v>
      </c>
      <c r="AM1016" t="s">
        <v>108</v>
      </c>
      <c r="AN1016" t="s">
        <v>108</v>
      </c>
      <c r="AO1016" t="s">
        <v>108</v>
      </c>
      <c r="AP1016" t="s">
        <v>108</v>
      </c>
      <c r="AQ1016" t="s">
        <v>108</v>
      </c>
      <c r="AR1016" t="s">
        <v>108</v>
      </c>
      <c r="AS1016" t="s">
        <v>108</v>
      </c>
      <c r="AT1016" t="s">
        <v>108</v>
      </c>
      <c r="AU1016" t="s">
        <v>108</v>
      </c>
      <c r="AV1016" t="s">
        <v>108</v>
      </c>
      <c r="AW1016" t="s">
        <v>108</v>
      </c>
      <c r="AX1016" s="24" t="str">
        <f t="shared" si="105"/>
        <v/>
      </c>
      <c r="AY1016" s="24" t="str">
        <f t="shared" si="105"/>
        <v/>
      </c>
      <c r="AZ1016" s="24" t="str">
        <f t="shared" si="106"/>
        <v/>
      </c>
      <c r="BA1016" s="24" t="str">
        <f t="shared" si="106"/>
        <v/>
      </c>
      <c r="BB1016" s="24" t="str">
        <f t="shared" si="106"/>
        <v/>
      </c>
      <c r="BC1016" s="24" t="str">
        <f t="shared" si="106"/>
        <v/>
      </c>
      <c r="BD1016" s="24" t="str">
        <f t="shared" si="106"/>
        <v/>
      </c>
      <c r="BE1016" s="24" t="str">
        <f t="shared" si="106"/>
        <v/>
      </c>
      <c r="BF1016" s="24" t="str">
        <f t="shared" si="106"/>
        <v/>
      </c>
      <c r="BG1016" s="24" t="str">
        <f t="shared" si="106"/>
        <v/>
      </c>
      <c r="BH1016" s="24" t="str">
        <f t="shared" si="102"/>
        <v/>
      </c>
      <c r="BI1016" s="24">
        <f t="shared" si="106"/>
        <v>1</v>
      </c>
      <c r="BJ1016" s="24" t="str">
        <f t="shared" si="103"/>
        <v/>
      </c>
    </row>
    <row r="1017" spans="1:62" ht="15" customHeight="1" x14ac:dyDescent="0.25">
      <c r="B1017" t="str">
        <f>"02701366"</f>
        <v>02701366</v>
      </c>
      <c r="C1017" t="s">
        <v>158</v>
      </c>
      <c r="D1017" t="s">
        <v>171</v>
      </c>
      <c r="E1017" t="s">
        <v>172</v>
      </c>
      <c r="F1017">
        <v>161275425</v>
      </c>
      <c r="G1017" t="s">
        <v>161</v>
      </c>
      <c r="H1017" t="s">
        <v>162</v>
      </c>
      <c r="I1017">
        <v>203</v>
      </c>
      <c r="J1017" t="s">
        <v>163</v>
      </c>
      <c r="L1017" t="s">
        <v>68</v>
      </c>
      <c r="M1017" t="s">
        <v>139</v>
      </c>
      <c r="W1017" t="s">
        <v>172</v>
      </c>
      <c r="X1017" t="s">
        <v>173</v>
      </c>
      <c r="Y1017" t="s">
        <v>141</v>
      </c>
      <c r="Z1017" t="s">
        <v>111</v>
      </c>
      <c r="AA1017" t="str">
        <f>"13203-2238"</f>
        <v>13203-2238</v>
      </c>
      <c r="AB1017" t="s">
        <v>165</v>
      </c>
      <c r="AC1017" t="s">
        <v>113</v>
      </c>
      <c r="AD1017" t="s">
        <v>108</v>
      </c>
      <c r="AE1017" t="s">
        <v>114</v>
      </c>
      <c r="AF1017" t="s">
        <v>142</v>
      </c>
      <c r="AG1017" t="s">
        <v>116</v>
      </c>
      <c r="AK1017" t="str">
        <f t="shared" si="101"/>
        <v>Onondaga Community Living</v>
      </c>
      <c r="AL1017" t="s">
        <v>171</v>
      </c>
      <c r="AM1017" t="s">
        <v>108</v>
      </c>
      <c r="AN1017" t="s">
        <v>108</v>
      </c>
      <c r="AO1017" t="s">
        <v>108</v>
      </c>
      <c r="AP1017" t="s">
        <v>108</v>
      </c>
      <c r="AQ1017" t="s">
        <v>108</v>
      </c>
      <c r="AR1017" t="s">
        <v>108</v>
      </c>
      <c r="AS1017" t="s">
        <v>108</v>
      </c>
      <c r="AT1017" t="s">
        <v>108</v>
      </c>
      <c r="AU1017" t="s">
        <v>108</v>
      </c>
      <c r="AV1017" t="s">
        <v>108</v>
      </c>
      <c r="AW1017" t="s">
        <v>108</v>
      </c>
      <c r="AX1017" s="24" t="str">
        <f t="shared" si="105"/>
        <v/>
      </c>
      <c r="AY1017" s="24" t="str">
        <f t="shared" si="105"/>
        <v/>
      </c>
      <c r="AZ1017" s="24" t="str">
        <f t="shared" si="106"/>
        <v/>
      </c>
      <c r="BA1017" s="24" t="str">
        <f t="shared" si="106"/>
        <v/>
      </c>
      <c r="BB1017" s="24" t="str">
        <f t="shared" si="106"/>
        <v/>
      </c>
      <c r="BC1017" s="24" t="str">
        <f t="shared" si="106"/>
        <v/>
      </c>
      <c r="BD1017" s="24" t="str">
        <f t="shared" si="106"/>
        <v/>
      </c>
      <c r="BE1017" s="24" t="str">
        <f t="shared" si="106"/>
        <v/>
      </c>
      <c r="BF1017" s="24" t="str">
        <f t="shared" si="106"/>
        <v/>
      </c>
      <c r="BG1017" s="24" t="str">
        <f t="shared" si="106"/>
        <v/>
      </c>
      <c r="BH1017" s="24" t="str">
        <f t="shared" si="102"/>
        <v/>
      </c>
      <c r="BI1017" s="24">
        <f t="shared" si="106"/>
        <v>1</v>
      </c>
      <c r="BJ1017" s="24" t="str">
        <f t="shared" si="103"/>
        <v/>
      </c>
    </row>
    <row r="1018" spans="1:62" ht="15" customHeight="1" x14ac:dyDescent="0.25">
      <c r="A1018" t="str">
        <f>"1346290848"</f>
        <v>1346290848</v>
      </c>
      <c r="B1018" t="str">
        <f>"01992263"</f>
        <v>01992263</v>
      </c>
      <c r="C1018" t="s">
        <v>5111</v>
      </c>
      <c r="D1018" t="s">
        <v>5112</v>
      </c>
      <c r="E1018" t="s">
        <v>5113</v>
      </c>
      <c r="L1018" t="s">
        <v>138</v>
      </c>
      <c r="M1018" t="s">
        <v>139</v>
      </c>
      <c r="R1018" t="s">
        <v>5111</v>
      </c>
      <c r="W1018" t="s">
        <v>5114</v>
      </c>
      <c r="X1018" t="s">
        <v>5115</v>
      </c>
      <c r="Y1018" t="s">
        <v>321</v>
      </c>
      <c r="Z1018" t="s">
        <v>111</v>
      </c>
      <c r="AA1018" t="str">
        <f>"13760-5214"</f>
        <v>13760-5214</v>
      </c>
      <c r="AB1018" t="s">
        <v>2027</v>
      </c>
      <c r="AC1018" t="s">
        <v>113</v>
      </c>
      <c r="AD1018" t="s">
        <v>108</v>
      </c>
      <c r="AE1018" t="s">
        <v>114</v>
      </c>
      <c r="AF1018" t="s">
        <v>115</v>
      </c>
      <c r="AG1018" t="s">
        <v>116</v>
      </c>
      <c r="AK1018" t="str">
        <f t="shared" si="101"/>
        <v/>
      </c>
      <c r="AL1018" t="s">
        <v>5112</v>
      </c>
      <c r="AM1018">
        <v>0</v>
      </c>
      <c r="AN1018">
        <v>0</v>
      </c>
      <c r="AO1018">
        <v>0</v>
      </c>
      <c r="AP1018">
        <v>0</v>
      </c>
      <c r="AQ1018">
        <v>0</v>
      </c>
      <c r="AR1018">
        <v>0</v>
      </c>
      <c r="AS1018">
        <v>0</v>
      </c>
      <c r="AT1018">
        <v>0</v>
      </c>
      <c r="AU1018">
        <v>0</v>
      </c>
      <c r="AV1018">
        <v>0</v>
      </c>
      <c r="AW1018">
        <v>0</v>
      </c>
      <c r="AX1018" s="24" t="str">
        <f t="shared" si="105"/>
        <v/>
      </c>
      <c r="AY1018" s="24">
        <f t="shared" si="105"/>
        <v>1</v>
      </c>
      <c r="AZ1018" s="24" t="str">
        <f t="shared" si="106"/>
        <v/>
      </c>
      <c r="BA1018" s="24" t="str">
        <f t="shared" si="106"/>
        <v/>
      </c>
      <c r="BB1018" s="24" t="str">
        <f t="shared" si="106"/>
        <v/>
      </c>
      <c r="BC1018" s="24" t="str">
        <f t="shared" si="106"/>
        <v/>
      </c>
      <c r="BD1018" s="24" t="str">
        <f t="shared" si="106"/>
        <v/>
      </c>
      <c r="BE1018" s="24" t="str">
        <f t="shared" si="106"/>
        <v/>
      </c>
      <c r="BF1018" s="24" t="str">
        <f t="shared" si="106"/>
        <v/>
      </c>
      <c r="BG1018" s="24" t="str">
        <f t="shared" si="106"/>
        <v/>
      </c>
      <c r="BH1018" s="24" t="str">
        <f t="shared" si="102"/>
        <v/>
      </c>
      <c r="BI1018" s="24">
        <f t="shared" si="106"/>
        <v>1</v>
      </c>
      <c r="BJ1018" s="24" t="str">
        <f t="shared" si="103"/>
        <v/>
      </c>
    </row>
    <row r="1019" spans="1:62" ht="15" customHeight="1" x14ac:dyDescent="0.25">
      <c r="A1019" t="str">
        <f>"1528334026"</f>
        <v>1528334026</v>
      </c>
      <c r="B1019" t="str">
        <f>"03483561"</f>
        <v>03483561</v>
      </c>
      <c r="C1019" t="s">
        <v>6795</v>
      </c>
      <c r="D1019" t="s">
        <v>7071</v>
      </c>
      <c r="E1019" t="s">
        <v>6795</v>
      </c>
      <c r="G1019" t="s">
        <v>815</v>
      </c>
      <c r="H1019" t="s">
        <v>816</v>
      </c>
      <c r="J1019" t="s">
        <v>817</v>
      </c>
      <c r="L1019" t="s">
        <v>120</v>
      </c>
      <c r="M1019" t="s">
        <v>108</v>
      </c>
      <c r="R1019" t="s">
        <v>6795</v>
      </c>
      <c r="W1019" t="s">
        <v>6795</v>
      </c>
      <c r="X1019" t="s">
        <v>6933</v>
      </c>
      <c r="Y1019" t="s">
        <v>110</v>
      </c>
      <c r="Z1019" t="s">
        <v>111</v>
      </c>
      <c r="AA1019" t="str">
        <f>"13905-4112"</f>
        <v>13905-4112</v>
      </c>
      <c r="AB1019" t="s">
        <v>123</v>
      </c>
      <c r="AC1019" t="s">
        <v>113</v>
      </c>
      <c r="AD1019" t="s">
        <v>108</v>
      </c>
      <c r="AE1019" t="s">
        <v>114</v>
      </c>
      <c r="AF1019" t="s">
        <v>115</v>
      </c>
      <c r="AG1019" t="s">
        <v>116</v>
      </c>
      <c r="AK1019" t="str">
        <f t="shared" si="101"/>
        <v>OSAGIE JUDITH</v>
      </c>
      <c r="AL1019" t="s">
        <v>7071</v>
      </c>
      <c r="AM1019" t="s">
        <v>108</v>
      </c>
      <c r="AN1019" t="s">
        <v>108</v>
      </c>
      <c r="AO1019" t="s">
        <v>108</v>
      </c>
      <c r="AP1019" t="s">
        <v>108</v>
      </c>
      <c r="AQ1019" t="s">
        <v>108</v>
      </c>
      <c r="AR1019" t="s">
        <v>108</v>
      </c>
      <c r="AS1019" t="s">
        <v>108</v>
      </c>
      <c r="AT1019" t="s">
        <v>108</v>
      </c>
      <c r="AU1019" t="s">
        <v>108</v>
      </c>
      <c r="AV1019" t="s">
        <v>108</v>
      </c>
      <c r="AW1019" t="s">
        <v>108</v>
      </c>
      <c r="AX1019" s="24">
        <f t="shared" si="105"/>
        <v>1</v>
      </c>
      <c r="AY1019" s="24" t="str">
        <f t="shared" si="105"/>
        <v/>
      </c>
      <c r="AZ1019" s="24" t="str">
        <f t="shared" si="106"/>
        <v/>
      </c>
      <c r="BA1019" s="24" t="str">
        <f t="shared" si="106"/>
        <v/>
      </c>
      <c r="BB1019" s="24" t="str">
        <f t="shared" si="106"/>
        <v/>
      </c>
      <c r="BC1019" s="24" t="str">
        <f t="shared" si="106"/>
        <v/>
      </c>
      <c r="BD1019" s="24" t="str">
        <f t="shared" si="106"/>
        <v/>
      </c>
      <c r="BE1019" s="24" t="str">
        <f t="shared" si="106"/>
        <v/>
      </c>
      <c r="BF1019" s="24" t="str">
        <f t="shared" si="106"/>
        <v/>
      </c>
      <c r="BG1019" s="24" t="str">
        <f t="shared" si="106"/>
        <v/>
      </c>
      <c r="BH1019" s="24" t="str">
        <f t="shared" si="102"/>
        <v/>
      </c>
      <c r="BI1019" s="24">
        <f t="shared" si="106"/>
        <v>1</v>
      </c>
      <c r="BJ1019" s="24" t="str">
        <f t="shared" si="103"/>
        <v/>
      </c>
    </row>
    <row r="1020" spans="1:62" ht="15" customHeight="1" x14ac:dyDescent="0.25">
      <c r="A1020" t="str">
        <f>"1437317914"</f>
        <v>1437317914</v>
      </c>
      <c r="B1020" t="str">
        <f>"03016617"</f>
        <v>03016617</v>
      </c>
      <c r="C1020" t="s">
        <v>5178</v>
      </c>
      <c r="D1020" t="s">
        <v>5179</v>
      </c>
      <c r="E1020" t="s">
        <v>5180</v>
      </c>
      <c r="L1020" t="s">
        <v>6867</v>
      </c>
      <c r="M1020" t="s">
        <v>108</v>
      </c>
      <c r="R1020" t="s">
        <v>5178</v>
      </c>
      <c r="W1020" t="s">
        <v>5181</v>
      </c>
      <c r="X1020" t="s">
        <v>881</v>
      </c>
      <c r="Y1020" t="s">
        <v>321</v>
      </c>
      <c r="Z1020" t="s">
        <v>111</v>
      </c>
      <c r="AA1020" t="str">
        <f>"13760-5430"</f>
        <v>13760-5430</v>
      </c>
      <c r="AB1020" t="s">
        <v>123</v>
      </c>
      <c r="AC1020" t="s">
        <v>113</v>
      </c>
      <c r="AD1020" t="s">
        <v>108</v>
      </c>
      <c r="AE1020" t="s">
        <v>114</v>
      </c>
      <c r="AF1020" t="s">
        <v>115</v>
      </c>
      <c r="AG1020" t="s">
        <v>116</v>
      </c>
      <c r="AK1020" t="str">
        <f t="shared" si="101"/>
        <v/>
      </c>
      <c r="AL1020" t="s">
        <v>5179</v>
      </c>
      <c r="AM1020">
        <v>0</v>
      </c>
      <c r="AN1020">
        <v>0</v>
      </c>
      <c r="AO1020">
        <v>0</v>
      </c>
      <c r="AP1020">
        <v>0</v>
      </c>
      <c r="AQ1020">
        <v>0</v>
      </c>
      <c r="AR1020">
        <v>0</v>
      </c>
      <c r="AS1020">
        <v>0</v>
      </c>
      <c r="AT1020">
        <v>0</v>
      </c>
      <c r="AU1020">
        <v>0</v>
      </c>
      <c r="AV1020">
        <v>0</v>
      </c>
      <c r="AW1020">
        <v>0</v>
      </c>
      <c r="AX1020" s="24">
        <f t="shared" si="105"/>
        <v>1</v>
      </c>
      <c r="AY1020" s="24">
        <f t="shared" si="105"/>
        <v>1</v>
      </c>
      <c r="AZ1020" s="24" t="str">
        <f t="shared" si="106"/>
        <v/>
      </c>
      <c r="BA1020" s="24" t="str">
        <f t="shared" si="106"/>
        <v/>
      </c>
      <c r="BB1020" s="24" t="str">
        <f t="shared" si="106"/>
        <v/>
      </c>
      <c r="BC1020" s="24" t="str">
        <f t="shared" si="106"/>
        <v/>
      </c>
      <c r="BD1020" s="24" t="str">
        <f t="shared" si="106"/>
        <v/>
      </c>
      <c r="BE1020" s="24" t="str">
        <f t="shared" si="106"/>
        <v/>
      </c>
      <c r="BF1020" s="24" t="str">
        <f t="shared" si="106"/>
        <v/>
      </c>
      <c r="BG1020" s="24" t="str">
        <f t="shared" si="106"/>
        <v/>
      </c>
      <c r="BH1020" s="24" t="str">
        <f t="shared" si="102"/>
        <v/>
      </c>
      <c r="BI1020" s="24">
        <f t="shared" si="106"/>
        <v>1</v>
      </c>
      <c r="BJ1020" s="24" t="str">
        <f t="shared" si="103"/>
        <v/>
      </c>
    </row>
    <row r="1021" spans="1:62" ht="15" customHeight="1" x14ac:dyDescent="0.25">
      <c r="A1021" t="str">
        <f>"1790825040"</f>
        <v>1790825040</v>
      </c>
      <c r="B1021" t="str">
        <f>"03059794"</f>
        <v>03059794</v>
      </c>
      <c r="C1021" t="s">
        <v>2269</v>
      </c>
      <c r="D1021" t="s">
        <v>2270</v>
      </c>
      <c r="E1021" t="s">
        <v>2271</v>
      </c>
      <c r="G1021" t="s">
        <v>177</v>
      </c>
      <c r="H1021" t="s">
        <v>178</v>
      </c>
      <c r="J1021" t="s">
        <v>179</v>
      </c>
      <c r="L1021" t="s">
        <v>138</v>
      </c>
      <c r="M1021" t="s">
        <v>108</v>
      </c>
      <c r="R1021" t="s">
        <v>2269</v>
      </c>
      <c r="W1021" t="s">
        <v>2271</v>
      </c>
      <c r="X1021" t="s">
        <v>196</v>
      </c>
      <c r="Y1021" t="s">
        <v>181</v>
      </c>
      <c r="Z1021" t="s">
        <v>182</v>
      </c>
      <c r="AA1021" t="str">
        <f>"18840-1625"</f>
        <v>18840-1625</v>
      </c>
      <c r="AB1021" t="s">
        <v>123</v>
      </c>
      <c r="AC1021" t="s">
        <v>113</v>
      </c>
      <c r="AD1021" t="s">
        <v>108</v>
      </c>
      <c r="AE1021" t="s">
        <v>114</v>
      </c>
      <c r="AF1021" t="s">
        <v>115</v>
      </c>
      <c r="AG1021" t="s">
        <v>116</v>
      </c>
      <c r="AK1021" t="str">
        <f t="shared" si="101"/>
        <v/>
      </c>
      <c r="AL1021" t="s">
        <v>2270</v>
      </c>
      <c r="AM1021">
        <v>0</v>
      </c>
      <c r="AN1021">
        <v>0</v>
      </c>
      <c r="AO1021">
        <v>0</v>
      </c>
      <c r="AP1021">
        <v>0</v>
      </c>
      <c r="AQ1021">
        <v>0</v>
      </c>
      <c r="AR1021">
        <v>0</v>
      </c>
      <c r="AS1021">
        <v>0</v>
      </c>
      <c r="AT1021">
        <v>0</v>
      </c>
      <c r="AU1021">
        <v>0</v>
      </c>
      <c r="AV1021">
        <v>0</v>
      </c>
      <c r="AW1021">
        <v>0</v>
      </c>
      <c r="AX1021" s="24" t="str">
        <f t="shared" si="105"/>
        <v/>
      </c>
      <c r="AY1021" s="24">
        <f t="shared" si="105"/>
        <v>1</v>
      </c>
      <c r="AZ1021" s="24" t="str">
        <f t="shared" si="106"/>
        <v/>
      </c>
      <c r="BA1021" s="24" t="str">
        <f t="shared" si="106"/>
        <v/>
      </c>
      <c r="BB1021" s="24" t="str">
        <f t="shared" si="106"/>
        <v/>
      </c>
      <c r="BC1021" s="24" t="str">
        <f t="shared" si="106"/>
        <v/>
      </c>
      <c r="BD1021" s="24" t="str">
        <f t="shared" si="106"/>
        <v/>
      </c>
      <c r="BE1021" s="24" t="str">
        <f t="shared" si="106"/>
        <v/>
      </c>
      <c r="BF1021" s="24" t="str">
        <f t="shared" si="106"/>
        <v/>
      </c>
      <c r="BG1021" s="24" t="str">
        <f t="shared" si="106"/>
        <v/>
      </c>
      <c r="BH1021" s="24" t="str">
        <f t="shared" si="102"/>
        <v/>
      </c>
      <c r="BI1021" s="24">
        <f t="shared" si="106"/>
        <v>1</v>
      </c>
      <c r="BJ1021" s="24" t="str">
        <f t="shared" si="103"/>
        <v/>
      </c>
    </row>
    <row r="1022" spans="1:62" x14ac:dyDescent="0.25">
      <c r="A1022" t="str">
        <f>"1952306631"</f>
        <v>1952306631</v>
      </c>
      <c r="B1022" t="str">
        <f>"03001145"</f>
        <v>03001145</v>
      </c>
      <c r="C1022" t="s">
        <v>1405</v>
      </c>
      <c r="D1022" t="s">
        <v>1406</v>
      </c>
      <c r="E1022" t="s">
        <v>1407</v>
      </c>
      <c r="G1022" t="s">
        <v>1408</v>
      </c>
      <c r="H1022" t="s">
        <v>1409</v>
      </c>
      <c r="J1022" t="s">
        <v>1410</v>
      </c>
      <c r="L1022" t="s">
        <v>6871</v>
      </c>
      <c r="M1022" t="s">
        <v>139</v>
      </c>
      <c r="R1022" t="s">
        <v>1411</v>
      </c>
      <c r="W1022" t="s">
        <v>1412</v>
      </c>
      <c r="X1022" t="s">
        <v>204</v>
      </c>
      <c r="Y1022" t="s">
        <v>110</v>
      </c>
      <c r="Z1022" t="s">
        <v>111</v>
      </c>
      <c r="AA1022" t="str">
        <f>"13905-4246"</f>
        <v>13905-4246</v>
      </c>
      <c r="AB1022" t="s">
        <v>303</v>
      </c>
      <c r="AC1022" t="s">
        <v>113</v>
      </c>
      <c r="AD1022" t="s">
        <v>108</v>
      </c>
      <c r="AE1022" t="s">
        <v>114</v>
      </c>
      <c r="AF1022" t="s">
        <v>115</v>
      </c>
      <c r="AG1022" t="s">
        <v>116</v>
      </c>
      <c r="AK1022" t="str">
        <f t="shared" si="101"/>
        <v/>
      </c>
      <c r="AL1022" t="s">
        <v>1406</v>
      </c>
      <c r="AM1022">
        <v>1</v>
      </c>
      <c r="AN1022">
        <v>1</v>
      </c>
      <c r="AO1022">
        <v>0</v>
      </c>
      <c r="AP1022">
        <v>1</v>
      </c>
      <c r="AQ1022">
        <v>1</v>
      </c>
      <c r="AR1022">
        <v>1</v>
      </c>
      <c r="AS1022">
        <v>0</v>
      </c>
      <c r="AT1022">
        <v>1</v>
      </c>
      <c r="AU1022">
        <v>0</v>
      </c>
      <c r="AV1022">
        <v>0</v>
      </c>
      <c r="AW1022">
        <v>1</v>
      </c>
      <c r="AX1022" s="24" t="str">
        <f t="shared" si="105"/>
        <v/>
      </c>
      <c r="AY1022" s="24" t="str">
        <f t="shared" si="105"/>
        <v/>
      </c>
      <c r="AZ1022" s="24">
        <f t="shared" si="106"/>
        <v>1</v>
      </c>
      <c r="BA1022" s="24">
        <f t="shared" si="106"/>
        <v>1</v>
      </c>
      <c r="BB1022" s="24" t="str">
        <f t="shared" si="106"/>
        <v/>
      </c>
      <c r="BC1022" s="24">
        <f t="shared" si="106"/>
        <v>1</v>
      </c>
      <c r="BD1022" s="24">
        <f t="shared" si="106"/>
        <v>1</v>
      </c>
      <c r="BE1022" s="24" t="str">
        <f t="shared" si="106"/>
        <v/>
      </c>
      <c r="BF1022" s="24" t="str">
        <f t="shared" si="106"/>
        <v/>
      </c>
      <c r="BG1022" s="24">
        <f t="shared" si="106"/>
        <v>1</v>
      </c>
      <c r="BH1022" s="24" t="str">
        <f t="shared" si="102"/>
        <v/>
      </c>
      <c r="BI1022" s="24">
        <f t="shared" si="106"/>
        <v>1</v>
      </c>
      <c r="BJ1022" s="24" t="str">
        <f t="shared" si="103"/>
        <v/>
      </c>
    </row>
    <row r="1023" spans="1:62" ht="15" customHeight="1" x14ac:dyDescent="0.25">
      <c r="A1023" t="str">
        <f>"1336197714"</f>
        <v>1336197714</v>
      </c>
      <c r="B1023" t="str">
        <f>"00955775"</f>
        <v>00955775</v>
      </c>
      <c r="C1023" t="s">
        <v>1111</v>
      </c>
      <c r="D1023" t="s">
        <v>1112</v>
      </c>
      <c r="E1023" t="s">
        <v>1113</v>
      </c>
      <c r="G1023" t="s">
        <v>1114</v>
      </c>
      <c r="H1023" t="s">
        <v>816</v>
      </c>
      <c r="J1023" t="s">
        <v>817</v>
      </c>
      <c r="L1023" t="s">
        <v>1115</v>
      </c>
      <c r="M1023" t="s">
        <v>108</v>
      </c>
      <c r="R1023" t="s">
        <v>1111</v>
      </c>
      <c r="W1023" t="s">
        <v>1113</v>
      </c>
      <c r="X1023" t="s">
        <v>1116</v>
      </c>
      <c r="Y1023" t="s">
        <v>966</v>
      </c>
      <c r="Z1023" t="s">
        <v>111</v>
      </c>
      <c r="AA1023" t="str">
        <f>"13850-3531"</f>
        <v>13850-3531</v>
      </c>
      <c r="AB1023" t="s">
        <v>282</v>
      </c>
      <c r="AC1023" t="s">
        <v>113</v>
      </c>
      <c r="AD1023" t="s">
        <v>108</v>
      </c>
      <c r="AE1023" t="s">
        <v>114</v>
      </c>
      <c r="AF1023" t="s">
        <v>115</v>
      </c>
      <c r="AG1023" t="s">
        <v>116</v>
      </c>
      <c r="AK1023" t="str">
        <f t="shared" si="101"/>
        <v/>
      </c>
      <c r="AL1023" t="s">
        <v>1112</v>
      </c>
      <c r="AM1023">
        <v>1</v>
      </c>
      <c r="AN1023">
        <v>0</v>
      </c>
      <c r="AO1023">
        <v>0</v>
      </c>
      <c r="AP1023">
        <v>0</v>
      </c>
      <c r="AQ1023">
        <v>0</v>
      </c>
      <c r="AR1023">
        <v>0</v>
      </c>
      <c r="AS1023">
        <v>0</v>
      </c>
      <c r="AT1023">
        <v>0</v>
      </c>
      <c r="AU1023">
        <v>1</v>
      </c>
      <c r="AV1023">
        <v>0</v>
      </c>
      <c r="AW1023">
        <v>0</v>
      </c>
      <c r="AX1023" s="24" t="str">
        <f t="shared" si="105"/>
        <v/>
      </c>
      <c r="AY1023" s="24" t="str">
        <f t="shared" si="105"/>
        <v/>
      </c>
      <c r="AZ1023" s="24" t="str">
        <f t="shared" si="106"/>
        <v/>
      </c>
      <c r="BA1023" s="24" t="str">
        <f t="shared" si="106"/>
        <v/>
      </c>
      <c r="BB1023" s="24" t="str">
        <f t="shared" si="106"/>
        <v/>
      </c>
      <c r="BC1023" s="24" t="str">
        <f t="shared" si="106"/>
        <v/>
      </c>
      <c r="BD1023" s="24" t="str">
        <f t="shared" si="106"/>
        <v/>
      </c>
      <c r="BE1023" s="24" t="str">
        <f t="shared" si="106"/>
        <v/>
      </c>
      <c r="BF1023" s="24" t="str">
        <f t="shared" si="106"/>
        <v/>
      </c>
      <c r="BG1023" s="24">
        <f t="shared" si="106"/>
        <v>1</v>
      </c>
      <c r="BH1023" s="24" t="str">
        <f t="shared" si="102"/>
        <v/>
      </c>
      <c r="BI1023" s="24">
        <f t="shared" si="106"/>
        <v>1</v>
      </c>
      <c r="BJ1023" s="24" t="str">
        <f t="shared" si="103"/>
        <v/>
      </c>
    </row>
    <row r="1024" spans="1:62" ht="15" customHeight="1" x14ac:dyDescent="0.25">
      <c r="A1024" t="str">
        <f>"1063557189"</f>
        <v>1063557189</v>
      </c>
      <c r="B1024" t="str">
        <f>"02993882"</f>
        <v>02993882</v>
      </c>
      <c r="C1024" t="s">
        <v>4886</v>
      </c>
      <c r="D1024" t="s">
        <v>4887</v>
      </c>
      <c r="E1024" t="s">
        <v>4888</v>
      </c>
      <c r="G1024" t="s">
        <v>1114</v>
      </c>
      <c r="H1024" t="s">
        <v>4889</v>
      </c>
      <c r="J1024" t="s">
        <v>817</v>
      </c>
      <c r="L1024" t="s">
        <v>68</v>
      </c>
      <c r="M1024" t="s">
        <v>108</v>
      </c>
      <c r="R1024" t="s">
        <v>1411</v>
      </c>
      <c r="W1024" t="s">
        <v>4890</v>
      </c>
      <c r="X1024" t="s">
        <v>1754</v>
      </c>
      <c r="Y1024" t="s">
        <v>110</v>
      </c>
      <c r="Z1024" t="s">
        <v>111</v>
      </c>
      <c r="AA1024" t="str">
        <f>"13905-2524"</f>
        <v>13905-2524</v>
      </c>
      <c r="AB1024" t="s">
        <v>112</v>
      </c>
      <c r="AC1024" t="s">
        <v>113</v>
      </c>
      <c r="AD1024" t="s">
        <v>108</v>
      </c>
      <c r="AE1024" t="s">
        <v>114</v>
      </c>
      <c r="AF1024" t="s">
        <v>115</v>
      </c>
      <c r="AG1024" t="s">
        <v>116</v>
      </c>
      <c r="AK1024" t="str">
        <f t="shared" si="101"/>
        <v/>
      </c>
      <c r="AL1024" t="s">
        <v>4887</v>
      </c>
      <c r="AM1024">
        <v>0</v>
      </c>
      <c r="AN1024">
        <v>0</v>
      </c>
      <c r="AO1024">
        <v>0</v>
      </c>
      <c r="AP1024">
        <v>0</v>
      </c>
      <c r="AQ1024">
        <v>0</v>
      </c>
      <c r="AR1024">
        <v>0</v>
      </c>
      <c r="AS1024">
        <v>0</v>
      </c>
      <c r="AT1024">
        <v>0</v>
      </c>
      <c r="AU1024">
        <v>0</v>
      </c>
      <c r="AV1024">
        <v>0</v>
      </c>
      <c r="AW1024">
        <v>0</v>
      </c>
      <c r="AX1024" s="24" t="str">
        <f t="shared" si="105"/>
        <v/>
      </c>
      <c r="AY1024" s="24" t="str">
        <f t="shared" si="105"/>
        <v/>
      </c>
      <c r="AZ1024" s="24" t="str">
        <f t="shared" si="106"/>
        <v/>
      </c>
      <c r="BA1024" s="24" t="str">
        <f t="shared" si="106"/>
        <v/>
      </c>
      <c r="BB1024" s="24" t="str">
        <f t="shared" si="106"/>
        <v/>
      </c>
      <c r="BC1024" s="24" t="str">
        <f t="shared" si="106"/>
        <v/>
      </c>
      <c r="BD1024" s="24" t="str">
        <f t="shared" si="106"/>
        <v/>
      </c>
      <c r="BE1024" s="24" t="str">
        <f t="shared" si="106"/>
        <v/>
      </c>
      <c r="BF1024" s="24" t="str">
        <f t="shared" si="106"/>
        <v/>
      </c>
      <c r="BG1024" s="24" t="str">
        <f t="shared" si="106"/>
        <v/>
      </c>
      <c r="BH1024" s="24" t="str">
        <f t="shared" si="102"/>
        <v/>
      </c>
      <c r="BI1024" s="24">
        <f t="shared" si="106"/>
        <v>1</v>
      </c>
      <c r="BJ1024" s="24" t="str">
        <f t="shared" si="103"/>
        <v/>
      </c>
    </row>
    <row r="1025" spans="1:62" x14ac:dyDescent="0.25">
      <c r="A1025" t="str">
        <f>"1629087580"</f>
        <v>1629087580</v>
      </c>
      <c r="B1025" t="str">
        <f>"03001136"</f>
        <v>03001136</v>
      </c>
      <c r="C1025" t="s">
        <v>3654</v>
      </c>
      <c r="D1025" t="s">
        <v>1406</v>
      </c>
      <c r="E1025" t="s">
        <v>1407</v>
      </c>
      <c r="G1025" t="s">
        <v>3655</v>
      </c>
      <c r="H1025" t="s">
        <v>3656</v>
      </c>
      <c r="J1025" t="s">
        <v>3657</v>
      </c>
      <c r="L1025" t="s">
        <v>6871</v>
      </c>
      <c r="M1025" t="s">
        <v>139</v>
      </c>
      <c r="R1025" t="s">
        <v>3658</v>
      </c>
      <c r="W1025" t="s">
        <v>1407</v>
      </c>
      <c r="X1025" t="s">
        <v>204</v>
      </c>
      <c r="Y1025" t="s">
        <v>110</v>
      </c>
      <c r="Z1025" t="s">
        <v>111</v>
      </c>
      <c r="AA1025" t="str">
        <f>"13905-4246"</f>
        <v>13905-4246</v>
      </c>
      <c r="AB1025" t="s">
        <v>303</v>
      </c>
      <c r="AC1025" t="s">
        <v>113</v>
      </c>
      <c r="AD1025" t="s">
        <v>108</v>
      </c>
      <c r="AE1025" t="s">
        <v>114</v>
      </c>
      <c r="AF1025" t="s">
        <v>115</v>
      </c>
      <c r="AG1025" t="s">
        <v>116</v>
      </c>
      <c r="AK1025" t="str">
        <f t="shared" si="101"/>
        <v/>
      </c>
      <c r="AL1025" t="s">
        <v>1406</v>
      </c>
      <c r="AM1025">
        <v>1</v>
      </c>
      <c r="AN1025">
        <v>1</v>
      </c>
      <c r="AO1025">
        <v>0</v>
      </c>
      <c r="AP1025">
        <v>1</v>
      </c>
      <c r="AQ1025">
        <v>1</v>
      </c>
      <c r="AR1025">
        <v>1</v>
      </c>
      <c r="AS1025">
        <v>0</v>
      </c>
      <c r="AT1025">
        <v>1</v>
      </c>
      <c r="AU1025">
        <v>0</v>
      </c>
      <c r="AV1025">
        <v>0</v>
      </c>
      <c r="AW1025">
        <v>1</v>
      </c>
      <c r="AX1025" s="24" t="str">
        <f t="shared" si="105"/>
        <v/>
      </c>
      <c r="AY1025" s="24" t="str">
        <f t="shared" si="105"/>
        <v/>
      </c>
      <c r="AZ1025" s="24">
        <f t="shared" si="106"/>
        <v>1</v>
      </c>
      <c r="BA1025" s="24">
        <f t="shared" si="106"/>
        <v>1</v>
      </c>
      <c r="BB1025" s="24" t="str">
        <f t="shared" si="106"/>
        <v/>
      </c>
      <c r="BC1025" s="24">
        <f t="shared" si="106"/>
        <v>1</v>
      </c>
      <c r="BD1025" s="24">
        <f t="shared" si="106"/>
        <v>1</v>
      </c>
      <c r="BE1025" s="24" t="str">
        <f t="shared" si="106"/>
        <v/>
      </c>
      <c r="BF1025" s="24" t="str">
        <f t="shared" si="106"/>
        <v/>
      </c>
      <c r="BG1025" s="24">
        <f t="shared" si="106"/>
        <v>1</v>
      </c>
      <c r="BH1025" s="24" t="str">
        <f t="shared" si="102"/>
        <v/>
      </c>
      <c r="BI1025" s="24">
        <f t="shared" si="106"/>
        <v>1</v>
      </c>
      <c r="BJ1025" s="24" t="str">
        <f t="shared" si="103"/>
        <v/>
      </c>
    </row>
    <row r="1026" spans="1:62" ht="15" customHeight="1" x14ac:dyDescent="0.25">
      <c r="A1026" t="str">
        <f>"1750364360"</f>
        <v>1750364360</v>
      </c>
      <c r="B1026" t="str">
        <f>"01927242"</f>
        <v>01927242</v>
      </c>
      <c r="C1026" t="s">
        <v>174</v>
      </c>
      <c r="D1026" t="s">
        <v>175</v>
      </c>
      <c r="E1026" t="s">
        <v>176</v>
      </c>
      <c r="G1026" t="s">
        <v>177</v>
      </c>
      <c r="H1026" t="s">
        <v>178</v>
      </c>
      <c r="J1026" t="s">
        <v>179</v>
      </c>
      <c r="L1026" t="s">
        <v>6867</v>
      </c>
      <c r="M1026" t="s">
        <v>108</v>
      </c>
      <c r="R1026" t="s">
        <v>174</v>
      </c>
      <c r="W1026" t="s">
        <v>176</v>
      </c>
      <c r="X1026" t="s">
        <v>180</v>
      </c>
      <c r="Y1026" t="s">
        <v>181</v>
      </c>
      <c r="Z1026" t="s">
        <v>182</v>
      </c>
      <c r="AA1026" t="str">
        <f>"18840"</f>
        <v>18840</v>
      </c>
      <c r="AB1026" t="s">
        <v>123</v>
      </c>
      <c r="AC1026" t="s">
        <v>113</v>
      </c>
      <c r="AD1026" t="s">
        <v>108</v>
      </c>
      <c r="AE1026" t="s">
        <v>114</v>
      </c>
      <c r="AF1026" t="s">
        <v>115</v>
      </c>
      <c r="AG1026" t="s">
        <v>116</v>
      </c>
      <c r="AK1026" t="str">
        <f t="shared" ref="AK1026:AK1089" si="107">IF(AM1026="No",C1026,"")</f>
        <v/>
      </c>
      <c r="AL1026" t="s">
        <v>175</v>
      </c>
      <c r="AM1026">
        <v>1</v>
      </c>
      <c r="AN1026">
        <v>1</v>
      </c>
      <c r="AO1026">
        <v>0</v>
      </c>
      <c r="AP1026">
        <v>0</v>
      </c>
      <c r="AQ1026">
        <v>0</v>
      </c>
      <c r="AR1026">
        <v>0</v>
      </c>
      <c r="AS1026">
        <v>0</v>
      </c>
      <c r="AT1026">
        <v>0</v>
      </c>
      <c r="AU1026">
        <v>0</v>
      </c>
      <c r="AV1026">
        <v>1</v>
      </c>
      <c r="AW1026">
        <v>0</v>
      </c>
      <c r="AX1026" s="24">
        <f t="shared" si="105"/>
        <v>1</v>
      </c>
      <c r="AY1026" s="24">
        <f t="shared" si="105"/>
        <v>1</v>
      </c>
      <c r="AZ1026" s="24" t="str">
        <f t="shared" si="106"/>
        <v/>
      </c>
      <c r="BA1026" s="24" t="str">
        <f t="shared" si="106"/>
        <v/>
      </c>
      <c r="BB1026" s="24" t="str">
        <f t="shared" si="106"/>
        <v/>
      </c>
      <c r="BC1026" s="24" t="str">
        <f t="shared" si="106"/>
        <v/>
      </c>
      <c r="BD1026" s="24" t="str">
        <f t="shared" si="106"/>
        <v/>
      </c>
      <c r="BE1026" s="24" t="str">
        <f t="shared" si="106"/>
        <v/>
      </c>
      <c r="BF1026" s="24" t="str">
        <f t="shared" si="106"/>
        <v/>
      </c>
      <c r="BG1026" s="24" t="str">
        <f t="shared" si="106"/>
        <v/>
      </c>
      <c r="BH1026" s="24" t="str">
        <f t="shared" si="102"/>
        <v/>
      </c>
      <c r="BI1026" s="24">
        <f t="shared" si="106"/>
        <v>1</v>
      </c>
      <c r="BJ1026" s="24" t="str">
        <f t="shared" si="103"/>
        <v/>
      </c>
    </row>
    <row r="1027" spans="1:62" ht="15" customHeight="1" x14ac:dyDescent="0.25">
      <c r="A1027" t="str">
        <f>"1447305537"</f>
        <v>1447305537</v>
      </c>
      <c r="B1027" t="str">
        <f>"00754949"</f>
        <v>00754949</v>
      </c>
      <c r="C1027" t="s">
        <v>1782</v>
      </c>
      <c r="D1027" t="s">
        <v>1783</v>
      </c>
      <c r="E1027" t="s">
        <v>1784</v>
      </c>
      <c r="G1027" t="s">
        <v>815</v>
      </c>
      <c r="H1027" t="s">
        <v>816</v>
      </c>
      <c r="J1027" t="s">
        <v>817</v>
      </c>
      <c r="L1027" t="s">
        <v>247</v>
      </c>
      <c r="M1027" t="s">
        <v>108</v>
      </c>
      <c r="W1027" t="s">
        <v>1784</v>
      </c>
      <c r="X1027" t="s">
        <v>1237</v>
      </c>
      <c r="Y1027" t="s">
        <v>129</v>
      </c>
      <c r="Z1027" t="s">
        <v>111</v>
      </c>
      <c r="AA1027" t="str">
        <f>"13790-2102"</f>
        <v>13790-2102</v>
      </c>
      <c r="AB1027" t="s">
        <v>123</v>
      </c>
      <c r="AC1027" t="s">
        <v>113</v>
      </c>
      <c r="AD1027" t="s">
        <v>108</v>
      </c>
      <c r="AE1027" t="s">
        <v>114</v>
      </c>
      <c r="AF1027" t="s">
        <v>115</v>
      </c>
      <c r="AG1027" t="s">
        <v>116</v>
      </c>
      <c r="AK1027" t="str">
        <f t="shared" si="107"/>
        <v/>
      </c>
      <c r="AL1027" t="s">
        <v>1783</v>
      </c>
      <c r="AM1027">
        <v>0</v>
      </c>
      <c r="AN1027">
        <v>0</v>
      </c>
      <c r="AO1027">
        <v>0</v>
      </c>
      <c r="AP1027">
        <v>0</v>
      </c>
      <c r="AQ1027">
        <v>0</v>
      </c>
      <c r="AR1027">
        <v>0</v>
      </c>
      <c r="AS1027">
        <v>0</v>
      </c>
      <c r="AT1027">
        <v>0</v>
      </c>
      <c r="AU1027">
        <v>0</v>
      </c>
      <c r="AV1027">
        <v>0</v>
      </c>
      <c r="AW1027">
        <v>0</v>
      </c>
      <c r="AX1027" s="24" t="str">
        <f t="shared" si="105"/>
        <v/>
      </c>
      <c r="AY1027" s="24">
        <f t="shared" si="105"/>
        <v>1</v>
      </c>
      <c r="AZ1027" s="24" t="str">
        <f t="shared" si="106"/>
        <v/>
      </c>
      <c r="BA1027" s="24" t="str">
        <f t="shared" si="106"/>
        <v/>
      </c>
      <c r="BB1027" s="24" t="str">
        <f t="shared" si="106"/>
        <v/>
      </c>
      <c r="BC1027" s="24" t="str">
        <f t="shared" si="106"/>
        <v/>
      </c>
      <c r="BD1027" s="24" t="str">
        <f t="shared" si="106"/>
        <v/>
      </c>
      <c r="BE1027" s="24" t="str">
        <f t="shared" si="106"/>
        <v/>
      </c>
      <c r="BF1027" s="24" t="str">
        <f t="shared" si="106"/>
        <v/>
      </c>
      <c r="BG1027" s="24" t="str">
        <f t="shared" si="106"/>
        <v/>
      </c>
      <c r="BH1027" s="24" t="str">
        <f t="shared" ref="BH1027:BH1090" si="108">IF(ISERROR(FIND("CBO",$L1027,1)),"",1)</f>
        <v/>
      </c>
      <c r="BI1027" s="24" t="str">
        <f t="shared" si="106"/>
        <v/>
      </c>
      <c r="BJ1027" s="24" t="str">
        <f t="shared" si="103"/>
        <v/>
      </c>
    </row>
    <row r="1028" spans="1:62" ht="15" customHeight="1" x14ac:dyDescent="0.25">
      <c r="A1028" t="str">
        <f>"1528179785"</f>
        <v>1528179785</v>
      </c>
      <c r="B1028" t="str">
        <f>"01797153"</f>
        <v>01797153</v>
      </c>
      <c r="C1028" t="s">
        <v>6642</v>
      </c>
      <c r="D1028" t="s">
        <v>6643</v>
      </c>
      <c r="E1028" t="s">
        <v>6644</v>
      </c>
      <c r="G1028" t="s">
        <v>6279</v>
      </c>
      <c r="H1028" t="s">
        <v>5843</v>
      </c>
      <c r="J1028" t="s">
        <v>6280</v>
      </c>
      <c r="L1028" t="s">
        <v>120</v>
      </c>
      <c r="M1028" t="s">
        <v>108</v>
      </c>
      <c r="R1028" t="s">
        <v>6645</v>
      </c>
      <c r="W1028" t="s">
        <v>6644</v>
      </c>
      <c r="X1028" t="s">
        <v>6646</v>
      </c>
      <c r="Y1028" t="s">
        <v>1227</v>
      </c>
      <c r="Z1028" t="s">
        <v>111</v>
      </c>
      <c r="AA1028" t="str">
        <f>"13501-6564"</f>
        <v>13501-6564</v>
      </c>
      <c r="AB1028" t="s">
        <v>123</v>
      </c>
      <c r="AC1028" t="s">
        <v>113</v>
      </c>
      <c r="AD1028" t="s">
        <v>108</v>
      </c>
      <c r="AE1028" t="s">
        <v>114</v>
      </c>
      <c r="AF1028" t="s">
        <v>142</v>
      </c>
      <c r="AG1028" t="s">
        <v>116</v>
      </c>
      <c r="AK1028" t="str">
        <f t="shared" si="107"/>
        <v>pachikara Samson</v>
      </c>
      <c r="AL1028" t="s">
        <v>6643</v>
      </c>
      <c r="AM1028" t="s">
        <v>108</v>
      </c>
      <c r="AN1028" t="s">
        <v>108</v>
      </c>
      <c r="AO1028" t="s">
        <v>108</v>
      </c>
      <c r="AP1028" t="s">
        <v>108</v>
      </c>
      <c r="AQ1028" t="s">
        <v>108</v>
      </c>
      <c r="AR1028" t="s">
        <v>108</v>
      </c>
      <c r="AS1028" t="s">
        <v>108</v>
      </c>
      <c r="AT1028" t="s">
        <v>108</v>
      </c>
      <c r="AU1028" t="s">
        <v>108</v>
      </c>
      <c r="AV1028" t="s">
        <v>108</v>
      </c>
      <c r="AW1028" t="s">
        <v>108</v>
      </c>
      <c r="AX1028" s="24">
        <f t="shared" si="105"/>
        <v>1</v>
      </c>
      <c r="AY1028" s="24" t="str">
        <f t="shared" si="105"/>
        <v/>
      </c>
      <c r="AZ1028" s="24" t="str">
        <f t="shared" si="106"/>
        <v/>
      </c>
      <c r="BA1028" s="24" t="str">
        <f t="shared" si="106"/>
        <v/>
      </c>
      <c r="BB1028" s="24" t="str">
        <f t="shared" si="106"/>
        <v/>
      </c>
      <c r="BC1028" s="24" t="str">
        <f t="shared" si="106"/>
        <v/>
      </c>
      <c r="BD1028" s="24" t="str">
        <f t="shared" si="106"/>
        <v/>
      </c>
      <c r="BE1028" s="24" t="str">
        <f t="shared" si="106"/>
        <v/>
      </c>
      <c r="BF1028" s="24" t="str">
        <f t="shared" si="106"/>
        <v/>
      </c>
      <c r="BG1028" s="24" t="str">
        <f t="shared" si="106"/>
        <v/>
      </c>
      <c r="BH1028" s="24" t="str">
        <f t="shared" si="108"/>
        <v/>
      </c>
      <c r="BI1028" s="24">
        <f t="shared" si="106"/>
        <v>1</v>
      </c>
      <c r="BJ1028" s="24" t="str">
        <f t="shared" si="103"/>
        <v/>
      </c>
    </row>
    <row r="1029" spans="1:62" ht="15" customHeight="1" x14ac:dyDescent="0.25">
      <c r="A1029" t="str">
        <f>"1821368663"</f>
        <v>1821368663</v>
      </c>
      <c r="B1029" t="str">
        <f>"03426804"</f>
        <v>03426804</v>
      </c>
      <c r="C1029" t="s">
        <v>3456</v>
      </c>
      <c r="D1029" t="s">
        <v>3457</v>
      </c>
      <c r="E1029" t="s">
        <v>3458</v>
      </c>
      <c r="L1029" t="s">
        <v>138</v>
      </c>
      <c r="M1029" t="s">
        <v>108</v>
      </c>
      <c r="R1029" t="s">
        <v>3456</v>
      </c>
      <c r="W1029" t="s">
        <v>3458</v>
      </c>
      <c r="X1029" t="s">
        <v>1237</v>
      </c>
      <c r="Y1029" t="s">
        <v>129</v>
      </c>
      <c r="Z1029" t="s">
        <v>111</v>
      </c>
      <c r="AA1029" t="str">
        <f>"13790-2102"</f>
        <v>13790-2102</v>
      </c>
      <c r="AB1029" t="s">
        <v>123</v>
      </c>
      <c r="AC1029" t="s">
        <v>113</v>
      </c>
      <c r="AD1029" t="s">
        <v>108</v>
      </c>
      <c r="AE1029" t="s">
        <v>114</v>
      </c>
      <c r="AF1029" t="s">
        <v>115</v>
      </c>
      <c r="AG1029" t="s">
        <v>116</v>
      </c>
      <c r="AK1029" t="str">
        <f t="shared" si="107"/>
        <v/>
      </c>
      <c r="AL1029" t="s">
        <v>3457</v>
      </c>
      <c r="AM1029">
        <v>0</v>
      </c>
      <c r="AN1029">
        <v>0</v>
      </c>
      <c r="AO1029">
        <v>0</v>
      </c>
      <c r="AP1029">
        <v>0</v>
      </c>
      <c r="AQ1029">
        <v>0</v>
      </c>
      <c r="AR1029">
        <v>0</v>
      </c>
      <c r="AS1029">
        <v>0</v>
      </c>
      <c r="AT1029">
        <v>0</v>
      </c>
      <c r="AU1029">
        <v>0</v>
      </c>
      <c r="AV1029">
        <v>0</v>
      </c>
      <c r="AW1029">
        <v>0</v>
      </c>
      <c r="AX1029" s="24" t="str">
        <f t="shared" si="105"/>
        <v/>
      </c>
      <c r="AY1029" s="24">
        <f t="shared" si="105"/>
        <v>1</v>
      </c>
      <c r="AZ1029" s="24" t="str">
        <f t="shared" si="106"/>
        <v/>
      </c>
      <c r="BA1029" s="24" t="str">
        <f t="shared" si="106"/>
        <v/>
      </c>
      <c r="BB1029" s="24" t="str">
        <f t="shared" si="106"/>
        <v/>
      </c>
      <c r="BC1029" s="24" t="str">
        <f t="shared" si="106"/>
        <v/>
      </c>
      <c r="BD1029" s="24" t="str">
        <f t="shared" si="106"/>
        <v/>
      </c>
      <c r="BE1029" s="24" t="str">
        <f t="shared" si="106"/>
        <v/>
      </c>
      <c r="BF1029" s="24" t="str">
        <f t="shared" si="106"/>
        <v/>
      </c>
      <c r="BG1029" s="24" t="str">
        <f t="shared" si="106"/>
        <v/>
      </c>
      <c r="BH1029" s="24" t="str">
        <f t="shared" si="108"/>
        <v/>
      </c>
      <c r="BI1029" s="24">
        <f t="shared" si="106"/>
        <v>1</v>
      </c>
      <c r="BJ1029" s="24" t="str">
        <f t="shared" si="103"/>
        <v/>
      </c>
    </row>
    <row r="1030" spans="1:62" ht="15" customHeight="1" x14ac:dyDescent="0.25">
      <c r="A1030" t="str">
        <f>"1053559427"</f>
        <v>1053559427</v>
      </c>
      <c r="B1030" t="str">
        <f>"03133479"</f>
        <v>03133479</v>
      </c>
      <c r="C1030" t="s">
        <v>5068</v>
      </c>
      <c r="D1030" t="s">
        <v>5069</v>
      </c>
      <c r="E1030" t="s">
        <v>5070</v>
      </c>
      <c r="G1030" t="s">
        <v>699</v>
      </c>
      <c r="H1030" t="s">
        <v>700</v>
      </c>
      <c r="J1030" t="s">
        <v>701</v>
      </c>
      <c r="L1030" t="s">
        <v>120</v>
      </c>
      <c r="M1030" t="s">
        <v>108</v>
      </c>
      <c r="R1030" t="s">
        <v>5071</v>
      </c>
      <c r="W1030" t="s">
        <v>5068</v>
      </c>
      <c r="X1030" t="s">
        <v>196</v>
      </c>
      <c r="Y1030" t="s">
        <v>181</v>
      </c>
      <c r="Z1030" t="s">
        <v>182</v>
      </c>
      <c r="AA1030" t="str">
        <f>"18840-1625"</f>
        <v>18840-1625</v>
      </c>
      <c r="AB1030" t="s">
        <v>123</v>
      </c>
      <c r="AC1030" t="s">
        <v>113</v>
      </c>
      <c r="AD1030" t="s">
        <v>108</v>
      </c>
      <c r="AE1030" t="s">
        <v>114</v>
      </c>
      <c r="AF1030" t="s">
        <v>115</v>
      </c>
      <c r="AG1030" t="s">
        <v>116</v>
      </c>
      <c r="AK1030" t="str">
        <f t="shared" si="107"/>
        <v/>
      </c>
      <c r="AL1030" t="s">
        <v>5069</v>
      </c>
      <c r="AM1030">
        <v>0</v>
      </c>
      <c r="AN1030">
        <v>0</v>
      </c>
      <c r="AO1030">
        <v>0</v>
      </c>
      <c r="AP1030">
        <v>0</v>
      </c>
      <c r="AQ1030">
        <v>0</v>
      </c>
      <c r="AR1030">
        <v>0</v>
      </c>
      <c r="AS1030">
        <v>0</v>
      </c>
      <c r="AT1030">
        <v>0</v>
      </c>
      <c r="AU1030">
        <v>0</v>
      </c>
      <c r="AV1030">
        <v>0</v>
      </c>
      <c r="AW1030">
        <v>0</v>
      </c>
      <c r="AX1030" s="24">
        <f t="shared" si="105"/>
        <v>1</v>
      </c>
      <c r="AY1030" s="24" t="str">
        <f t="shared" si="105"/>
        <v/>
      </c>
      <c r="AZ1030" s="24" t="str">
        <f t="shared" si="106"/>
        <v/>
      </c>
      <c r="BA1030" s="24" t="str">
        <f t="shared" si="106"/>
        <v/>
      </c>
      <c r="BB1030" s="24" t="str">
        <f t="shared" si="106"/>
        <v/>
      </c>
      <c r="BC1030" s="24" t="str">
        <f t="shared" si="106"/>
        <v/>
      </c>
      <c r="BD1030" s="24" t="str">
        <f t="shared" si="106"/>
        <v/>
      </c>
      <c r="BE1030" s="24" t="str">
        <f t="shared" si="106"/>
        <v/>
      </c>
      <c r="BF1030" s="24" t="str">
        <f t="shared" si="106"/>
        <v/>
      </c>
      <c r="BG1030" s="24" t="str">
        <f t="shared" si="106"/>
        <v/>
      </c>
      <c r="BH1030" s="24" t="str">
        <f t="shared" si="108"/>
        <v/>
      </c>
      <c r="BI1030" s="24">
        <f t="shared" si="106"/>
        <v>1</v>
      </c>
      <c r="BJ1030" s="24" t="str">
        <f t="shared" si="103"/>
        <v/>
      </c>
    </row>
    <row r="1031" spans="1:62" ht="15" customHeight="1" x14ac:dyDescent="0.25">
      <c r="A1031" t="str">
        <f>"1629228549"</f>
        <v>1629228549</v>
      </c>
      <c r="B1031" t="str">
        <f>"03261878"</f>
        <v>03261878</v>
      </c>
      <c r="C1031" t="s">
        <v>1842</v>
      </c>
      <c r="D1031" t="s">
        <v>1843</v>
      </c>
      <c r="E1031" t="s">
        <v>1844</v>
      </c>
      <c r="G1031" t="s">
        <v>815</v>
      </c>
      <c r="H1031" t="s">
        <v>816</v>
      </c>
      <c r="J1031" t="s">
        <v>817</v>
      </c>
      <c r="L1031" t="s">
        <v>138</v>
      </c>
      <c r="M1031" t="s">
        <v>108</v>
      </c>
      <c r="R1031" t="s">
        <v>1842</v>
      </c>
      <c r="W1031" t="s">
        <v>1845</v>
      </c>
      <c r="X1031" t="s">
        <v>1846</v>
      </c>
      <c r="Y1031" t="s">
        <v>110</v>
      </c>
      <c r="Z1031" t="s">
        <v>111</v>
      </c>
      <c r="AA1031" t="str">
        <f>"13905-4197"</f>
        <v>13905-4197</v>
      </c>
      <c r="AB1031" t="s">
        <v>123</v>
      </c>
      <c r="AC1031" t="s">
        <v>113</v>
      </c>
      <c r="AD1031" t="s">
        <v>108</v>
      </c>
      <c r="AE1031" t="s">
        <v>114</v>
      </c>
      <c r="AF1031" t="s">
        <v>115</v>
      </c>
      <c r="AG1031" t="s">
        <v>116</v>
      </c>
      <c r="AK1031" t="str">
        <f t="shared" si="107"/>
        <v/>
      </c>
      <c r="AL1031" t="s">
        <v>1843</v>
      </c>
      <c r="AM1031">
        <v>0</v>
      </c>
      <c r="AN1031">
        <v>0</v>
      </c>
      <c r="AO1031">
        <v>0</v>
      </c>
      <c r="AP1031">
        <v>0</v>
      </c>
      <c r="AQ1031">
        <v>0</v>
      </c>
      <c r="AR1031">
        <v>0</v>
      </c>
      <c r="AS1031">
        <v>0</v>
      </c>
      <c r="AT1031">
        <v>0</v>
      </c>
      <c r="AU1031">
        <v>0</v>
      </c>
      <c r="AV1031">
        <v>0</v>
      </c>
      <c r="AW1031">
        <v>0</v>
      </c>
      <c r="AX1031" s="24" t="str">
        <f t="shared" si="105"/>
        <v/>
      </c>
      <c r="AY1031" s="24">
        <f t="shared" si="105"/>
        <v>1</v>
      </c>
      <c r="AZ1031" s="24" t="str">
        <f t="shared" si="106"/>
        <v/>
      </c>
      <c r="BA1031" s="24" t="str">
        <f t="shared" si="106"/>
        <v/>
      </c>
      <c r="BB1031" s="24" t="str">
        <f t="shared" si="106"/>
        <v/>
      </c>
      <c r="BC1031" s="24" t="str">
        <f t="shared" si="106"/>
        <v/>
      </c>
      <c r="BD1031" s="24" t="str">
        <f t="shared" si="106"/>
        <v/>
      </c>
      <c r="BE1031" s="24" t="str">
        <f t="shared" si="106"/>
        <v/>
      </c>
      <c r="BF1031" s="24" t="str">
        <f t="shared" si="106"/>
        <v/>
      </c>
      <c r="BG1031" s="24" t="str">
        <f t="shared" si="106"/>
        <v/>
      </c>
      <c r="BH1031" s="24" t="str">
        <f t="shared" si="108"/>
        <v/>
      </c>
      <c r="BI1031" s="24">
        <f t="shared" si="106"/>
        <v>1</v>
      </c>
      <c r="BJ1031" s="24" t="str">
        <f t="shared" si="103"/>
        <v/>
      </c>
    </row>
    <row r="1032" spans="1:62" ht="15" customHeight="1" x14ac:dyDescent="0.25">
      <c r="A1032" t="str">
        <f>"1154514701"</f>
        <v>1154514701</v>
      </c>
      <c r="B1032" t="str">
        <f>"03129302"</f>
        <v>03129302</v>
      </c>
      <c r="C1032" t="s">
        <v>2494</v>
      </c>
      <c r="D1032" t="s">
        <v>2495</v>
      </c>
      <c r="E1032" t="s">
        <v>2496</v>
      </c>
      <c r="G1032" t="s">
        <v>177</v>
      </c>
      <c r="H1032" t="s">
        <v>178</v>
      </c>
      <c r="J1032" t="s">
        <v>179</v>
      </c>
      <c r="L1032" t="s">
        <v>247</v>
      </c>
      <c r="M1032" t="s">
        <v>108</v>
      </c>
      <c r="R1032" t="s">
        <v>2494</v>
      </c>
      <c r="W1032" t="s">
        <v>2497</v>
      </c>
      <c r="X1032" t="s">
        <v>196</v>
      </c>
      <c r="Y1032" t="s">
        <v>181</v>
      </c>
      <c r="Z1032" t="s">
        <v>182</v>
      </c>
      <c r="AA1032" t="str">
        <f>"18840-1625"</f>
        <v>18840-1625</v>
      </c>
      <c r="AB1032" t="s">
        <v>123</v>
      </c>
      <c r="AC1032" t="s">
        <v>113</v>
      </c>
      <c r="AD1032" t="s">
        <v>108</v>
      </c>
      <c r="AE1032" t="s">
        <v>114</v>
      </c>
      <c r="AF1032" t="s">
        <v>115</v>
      </c>
      <c r="AG1032" t="s">
        <v>116</v>
      </c>
      <c r="AK1032" t="str">
        <f t="shared" si="107"/>
        <v/>
      </c>
      <c r="AL1032" t="s">
        <v>2495</v>
      </c>
      <c r="AM1032">
        <v>0</v>
      </c>
      <c r="AN1032">
        <v>0</v>
      </c>
      <c r="AO1032">
        <v>0</v>
      </c>
      <c r="AP1032">
        <v>0</v>
      </c>
      <c r="AQ1032">
        <v>0</v>
      </c>
      <c r="AR1032">
        <v>0</v>
      </c>
      <c r="AS1032">
        <v>0</v>
      </c>
      <c r="AT1032">
        <v>0</v>
      </c>
      <c r="AU1032">
        <v>0</v>
      </c>
      <c r="AV1032">
        <v>0</v>
      </c>
      <c r="AW1032">
        <v>0</v>
      </c>
      <c r="AX1032" s="24" t="str">
        <f t="shared" si="105"/>
        <v/>
      </c>
      <c r="AY1032" s="24">
        <f t="shared" si="105"/>
        <v>1</v>
      </c>
      <c r="AZ1032" s="24" t="str">
        <f t="shared" si="106"/>
        <v/>
      </c>
      <c r="BA1032" s="24" t="str">
        <f t="shared" si="106"/>
        <v/>
      </c>
      <c r="BB1032" s="24" t="str">
        <f t="shared" si="106"/>
        <v/>
      </c>
      <c r="BC1032" s="24" t="str">
        <f t="shared" si="106"/>
        <v/>
      </c>
      <c r="BD1032" s="24" t="str">
        <f t="shared" si="106"/>
        <v/>
      </c>
      <c r="BE1032" s="24" t="str">
        <f t="shared" si="106"/>
        <v/>
      </c>
      <c r="BF1032" s="24" t="str">
        <f t="shared" si="106"/>
        <v/>
      </c>
      <c r="BG1032" s="24" t="str">
        <f t="shared" si="106"/>
        <v/>
      </c>
      <c r="BH1032" s="24" t="str">
        <f t="shared" si="108"/>
        <v/>
      </c>
      <c r="BI1032" s="24" t="str">
        <f t="shared" si="106"/>
        <v/>
      </c>
      <c r="BJ1032" s="24" t="str">
        <f t="shared" si="103"/>
        <v/>
      </c>
    </row>
    <row r="1033" spans="1:62" ht="15" customHeight="1" x14ac:dyDescent="0.25">
      <c r="A1033" t="str">
        <f>"1952310815"</f>
        <v>1952310815</v>
      </c>
      <c r="B1033" t="str">
        <f>"00358627"</f>
        <v>00358627</v>
      </c>
      <c r="C1033" t="s">
        <v>4545</v>
      </c>
      <c r="D1033" t="s">
        <v>4546</v>
      </c>
      <c r="E1033" t="s">
        <v>4547</v>
      </c>
      <c r="L1033" t="s">
        <v>138</v>
      </c>
      <c r="M1033" t="s">
        <v>108</v>
      </c>
      <c r="R1033" t="s">
        <v>4545</v>
      </c>
      <c r="W1033" t="s">
        <v>4548</v>
      </c>
      <c r="X1033" t="s">
        <v>4134</v>
      </c>
      <c r="Y1033" t="s">
        <v>129</v>
      </c>
      <c r="Z1033" t="s">
        <v>111</v>
      </c>
      <c r="AA1033" t="str">
        <f>"13790-2732"</f>
        <v>13790-2732</v>
      </c>
      <c r="AB1033" t="s">
        <v>123</v>
      </c>
      <c r="AC1033" t="s">
        <v>113</v>
      </c>
      <c r="AD1033" t="s">
        <v>108</v>
      </c>
      <c r="AE1033" t="s">
        <v>114</v>
      </c>
      <c r="AF1033" t="s">
        <v>115</v>
      </c>
      <c r="AG1033" t="s">
        <v>116</v>
      </c>
      <c r="AK1033" t="str">
        <f t="shared" si="107"/>
        <v/>
      </c>
      <c r="AL1033" t="s">
        <v>4546</v>
      </c>
      <c r="AM1033">
        <v>1</v>
      </c>
      <c r="AN1033">
        <v>1</v>
      </c>
      <c r="AO1033">
        <v>0</v>
      </c>
      <c r="AP1033">
        <v>1</v>
      </c>
      <c r="AQ1033">
        <v>1</v>
      </c>
      <c r="AR1033">
        <v>0</v>
      </c>
      <c r="AS1033">
        <v>0</v>
      </c>
      <c r="AT1033">
        <v>0</v>
      </c>
      <c r="AU1033">
        <v>0</v>
      </c>
      <c r="AV1033">
        <v>0</v>
      </c>
      <c r="AW1033">
        <v>0</v>
      </c>
      <c r="AX1033" s="24" t="str">
        <f t="shared" si="105"/>
        <v/>
      </c>
      <c r="AY1033" s="24">
        <f t="shared" si="105"/>
        <v>1</v>
      </c>
      <c r="AZ1033" s="24" t="str">
        <f t="shared" si="106"/>
        <v/>
      </c>
      <c r="BA1033" s="24" t="str">
        <f t="shared" si="106"/>
        <v/>
      </c>
      <c r="BB1033" s="24" t="str">
        <f t="shared" si="106"/>
        <v/>
      </c>
      <c r="BC1033" s="24" t="str">
        <f t="shared" si="106"/>
        <v/>
      </c>
      <c r="BD1033" s="24" t="str">
        <f t="shared" si="106"/>
        <v/>
      </c>
      <c r="BE1033" s="24" t="str">
        <f t="shared" si="106"/>
        <v/>
      </c>
      <c r="BF1033" s="24" t="str">
        <f t="shared" ref="AZ1033:BI1059" si="109">IF(ISERROR(FIND(BF$1,$L1033,1)),"",1)</f>
        <v/>
      </c>
      <c r="BG1033" s="24" t="str">
        <f t="shared" si="109"/>
        <v/>
      </c>
      <c r="BH1033" s="24" t="str">
        <f t="shared" si="108"/>
        <v/>
      </c>
      <c r="BI1033" s="24">
        <f t="shared" si="109"/>
        <v>1</v>
      </c>
      <c r="BJ1033" s="24" t="str">
        <f t="shared" si="103"/>
        <v/>
      </c>
    </row>
    <row r="1034" spans="1:62" ht="15" customHeight="1" x14ac:dyDescent="0.25">
      <c r="A1034" t="str">
        <f>"1902890759"</f>
        <v>1902890759</v>
      </c>
      <c r="B1034" t="str">
        <f>"01828142"</f>
        <v>01828142</v>
      </c>
      <c r="C1034" t="s">
        <v>6801</v>
      </c>
      <c r="D1034" t="s">
        <v>7078</v>
      </c>
      <c r="E1034" t="s">
        <v>7079</v>
      </c>
      <c r="G1034" t="s">
        <v>6330</v>
      </c>
      <c r="H1034" t="s">
        <v>6331</v>
      </c>
      <c r="J1034" t="s">
        <v>6332</v>
      </c>
      <c r="L1034" t="s">
        <v>247</v>
      </c>
      <c r="M1034" t="s">
        <v>108</v>
      </c>
      <c r="R1034" t="s">
        <v>6801</v>
      </c>
      <c r="W1034" t="s">
        <v>6939</v>
      </c>
      <c r="X1034" t="s">
        <v>6940</v>
      </c>
      <c r="Y1034" t="s">
        <v>6941</v>
      </c>
      <c r="Z1034" t="s">
        <v>7024</v>
      </c>
      <c r="AA1034" t="str">
        <f>"08861-3654"</f>
        <v>08861-3654</v>
      </c>
      <c r="AB1034" t="s">
        <v>123</v>
      </c>
      <c r="AC1034" t="s">
        <v>113</v>
      </c>
      <c r="AD1034" t="s">
        <v>108</v>
      </c>
      <c r="AE1034" t="s">
        <v>114</v>
      </c>
      <c r="AF1034" t="s">
        <v>115</v>
      </c>
      <c r="AG1034" t="s">
        <v>116</v>
      </c>
      <c r="AK1034" t="str">
        <f t="shared" si="107"/>
        <v>PARK MALSUK DR.</v>
      </c>
      <c r="AL1034" t="s">
        <v>7078</v>
      </c>
      <c r="AM1034" t="s">
        <v>108</v>
      </c>
      <c r="AN1034" t="s">
        <v>108</v>
      </c>
      <c r="AO1034" t="s">
        <v>108</v>
      </c>
      <c r="AP1034" t="s">
        <v>108</v>
      </c>
      <c r="AQ1034" t="s">
        <v>108</v>
      </c>
      <c r="AR1034" t="s">
        <v>108</v>
      </c>
      <c r="AS1034" t="s">
        <v>108</v>
      </c>
      <c r="AT1034" t="s">
        <v>108</v>
      </c>
      <c r="AU1034" t="s">
        <v>108</v>
      </c>
      <c r="AV1034" t="s">
        <v>108</v>
      </c>
      <c r="AW1034" t="s">
        <v>108</v>
      </c>
      <c r="AX1034" s="24" t="str">
        <f t="shared" si="105"/>
        <v/>
      </c>
      <c r="AY1034" s="24">
        <f t="shared" si="105"/>
        <v>1</v>
      </c>
      <c r="AZ1034" s="24" t="str">
        <f t="shared" si="109"/>
        <v/>
      </c>
      <c r="BA1034" s="24" t="str">
        <f t="shared" si="109"/>
        <v/>
      </c>
      <c r="BB1034" s="24" t="str">
        <f t="shared" si="109"/>
        <v/>
      </c>
      <c r="BC1034" s="24" t="str">
        <f t="shared" si="109"/>
        <v/>
      </c>
      <c r="BD1034" s="24" t="str">
        <f t="shared" si="109"/>
        <v/>
      </c>
      <c r="BE1034" s="24" t="str">
        <f t="shared" si="109"/>
        <v/>
      </c>
      <c r="BF1034" s="24" t="str">
        <f t="shared" si="109"/>
        <v/>
      </c>
      <c r="BG1034" s="24" t="str">
        <f t="shared" si="109"/>
        <v/>
      </c>
      <c r="BH1034" s="24" t="str">
        <f t="shared" si="108"/>
        <v/>
      </c>
      <c r="BI1034" s="24" t="str">
        <f t="shared" si="109"/>
        <v/>
      </c>
      <c r="BJ1034" s="24" t="str">
        <f t="shared" si="103"/>
        <v/>
      </c>
    </row>
    <row r="1035" spans="1:62" ht="15" customHeight="1" x14ac:dyDescent="0.25">
      <c r="A1035" t="str">
        <f>"1720045313"</f>
        <v>1720045313</v>
      </c>
      <c r="B1035" t="str">
        <f>"00395675"</f>
        <v>00395675</v>
      </c>
      <c r="C1035" t="s">
        <v>6815</v>
      </c>
      <c r="D1035" t="s">
        <v>7097</v>
      </c>
      <c r="E1035" t="s">
        <v>6956</v>
      </c>
      <c r="G1035" t="s">
        <v>6330</v>
      </c>
      <c r="H1035" t="s">
        <v>6331</v>
      </c>
      <c r="J1035" t="s">
        <v>6332</v>
      </c>
      <c r="L1035" t="s">
        <v>120</v>
      </c>
      <c r="M1035" t="s">
        <v>108</v>
      </c>
      <c r="R1035" t="s">
        <v>6815</v>
      </c>
      <c r="W1035" t="s">
        <v>6956</v>
      </c>
      <c r="X1035" t="s">
        <v>6957</v>
      </c>
      <c r="Y1035" t="s">
        <v>110</v>
      </c>
      <c r="Z1035" t="s">
        <v>111</v>
      </c>
      <c r="AA1035" t="str">
        <f>"13903-1617"</f>
        <v>13903-1617</v>
      </c>
      <c r="AB1035" t="s">
        <v>123</v>
      </c>
      <c r="AC1035" t="s">
        <v>113</v>
      </c>
      <c r="AD1035" t="s">
        <v>108</v>
      </c>
      <c r="AE1035" t="s">
        <v>114</v>
      </c>
      <c r="AF1035" t="s">
        <v>115</v>
      </c>
      <c r="AG1035" t="s">
        <v>116</v>
      </c>
      <c r="AK1035" t="str">
        <f t="shared" si="107"/>
        <v>PARK SAE JOUN DR.</v>
      </c>
      <c r="AL1035" t="s">
        <v>7097</v>
      </c>
      <c r="AM1035" t="s">
        <v>108</v>
      </c>
      <c r="AN1035" t="s">
        <v>108</v>
      </c>
      <c r="AO1035" t="s">
        <v>108</v>
      </c>
      <c r="AP1035" t="s">
        <v>108</v>
      </c>
      <c r="AQ1035" t="s">
        <v>108</v>
      </c>
      <c r="AR1035" t="s">
        <v>108</v>
      </c>
      <c r="AS1035" t="s">
        <v>108</v>
      </c>
      <c r="AT1035" t="s">
        <v>108</v>
      </c>
      <c r="AU1035" t="s">
        <v>108</v>
      </c>
      <c r="AV1035" t="s">
        <v>108</v>
      </c>
      <c r="AW1035" t="s">
        <v>108</v>
      </c>
      <c r="AX1035" s="24">
        <f t="shared" si="105"/>
        <v>1</v>
      </c>
      <c r="AY1035" s="24" t="str">
        <f t="shared" si="105"/>
        <v/>
      </c>
      <c r="AZ1035" s="24" t="str">
        <f t="shared" si="109"/>
        <v/>
      </c>
      <c r="BA1035" s="24" t="str">
        <f t="shared" si="109"/>
        <v/>
      </c>
      <c r="BB1035" s="24" t="str">
        <f t="shared" si="109"/>
        <v/>
      </c>
      <c r="BC1035" s="24" t="str">
        <f t="shared" si="109"/>
        <v/>
      </c>
      <c r="BD1035" s="24" t="str">
        <f t="shared" si="109"/>
        <v/>
      </c>
      <c r="BE1035" s="24" t="str">
        <f t="shared" si="109"/>
        <v/>
      </c>
      <c r="BF1035" s="24" t="str">
        <f t="shared" si="109"/>
        <v/>
      </c>
      <c r="BG1035" s="24" t="str">
        <f t="shared" si="109"/>
        <v/>
      </c>
      <c r="BH1035" s="24" t="str">
        <f t="shared" si="108"/>
        <v/>
      </c>
      <c r="BI1035" s="24">
        <f t="shared" si="109"/>
        <v>1</v>
      </c>
      <c r="BJ1035" s="24" t="str">
        <f t="shared" si="103"/>
        <v/>
      </c>
    </row>
    <row r="1036" spans="1:62" x14ac:dyDescent="0.25">
      <c r="A1036" t="str">
        <f>"1922171305"</f>
        <v>1922171305</v>
      </c>
      <c r="B1036" t="str">
        <f>"02998034"</f>
        <v>02998034</v>
      </c>
      <c r="C1036" t="s">
        <v>2823</v>
      </c>
      <c r="D1036" t="s">
        <v>2824</v>
      </c>
      <c r="E1036" t="s">
        <v>2825</v>
      </c>
      <c r="G1036" t="s">
        <v>2826</v>
      </c>
      <c r="H1036" t="s">
        <v>2827</v>
      </c>
      <c r="J1036" t="s">
        <v>2828</v>
      </c>
      <c r="L1036" t="s">
        <v>2829</v>
      </c>
      <c r="M1036" t="s">
        <v>139</v>
      </c>
      <c r="R1036" t="s">
        <v>2823</v>
      </c>
      <c r="W1036" t="s">
        <v>2825</v>
      </c>
      <c r="X1036" t="s">
        <v>2830</v>
      </c>
      <c r="Y1036" t="s">
        <v>2831</v>
      </c>
      <c r="Z1036" t="s">
        <v>111</v>
      </c>
      <c r="AA1036" t="str">
        <f>"12208-3103"</f>
        <v>12208-3103</v>
      </c>
      <c r="AB1036" t="s">
        <v>385</v>
      </c>
      <c r="AC1036" t="s">
        <v>113</v>
      </c>
      <c r="AD1036" t="s">
        <v>108</v>
      </c>
      <c r="AE1036" t="s">
        <v>114</v>
      </c>
      <c r="AF1036" t="s">
        <v>115</v>
      </c>
      <c r="AG1036" t="s">
        <v>116</v>
      </c>
      <c r="AK1036" t="str">
        <f t="shared" si="107"/>
        <v/>
      </c>
      <c r="AL1036" t="s">
        <v>2824</v>
      </c>
      <c r="AM1036">
        <v>0</v>
      </c>
      <c r="AN1036">
        <v>0</v>
      </c>
      <c r="AO1036">
        <v>0</v>
      </c>
      <c r="AP1036">
        <v>0</v>
      </c>
      <c r="AQ1036">
        <v>0</v>
      </c>
      <c r="AR1036">
        <v>0</v>
      </c>
      <c r="AS1036">
        <v>0</v>
      </c>
      <c r="AT1036">
        <v>0</v>
      </c>
      <c r="AU1036">
        <v>0</v>
      </c>
      <c r="AV1036">
        <v>0</v>
      </c>
      <c r="AW1036">
        <v>0</v>
      </c>
      <c r="AX1036" s="24" t="str">
        <f t="shared" si="105"/>
        <v/>
      </c>
      <c r="AY1036" s="24" t="str">
        <f t="shared" si="105"/>
        <v/>
      </c>
      <c r="AZ1036" s="24" t="str">
        <f t="shared" si="109"/>
        <v/>
      </c>
      <c r="BA1036" s="24">
        <f t="shared" si="109"/>
        <v>1</v>
      </c>
      <c r="BB1036" s="24">
        <f t="shared" si="109"/>
        <v>1</v>
      </c>
      <c r="BC1036" s="24">
        <f t="shared" si="109"/>
        <v>1</v>
      </c>
      <c r="BD1036" s="24" t="str">
        <f t="shared" si="109"/>
        <v/>
      </c>
      <c r="BE1036" s="24" t="str">
        <f t="shared" si="109"/>
        <v/>
      </c>
      <c r="BF1036" s="24" t="str">
        <f t="shared" si="109"/>
        <v/>
      </c>
      <c r="BG1036" s="24" t="str">
        <f t="shared" si="109"/>
        <v/>
      </c>
      <c r="BH1036" s="24" t="str">
        <f t="shared" si="108"/>
        <v/>
      </c>
      <c r="BI1036" s="24">
        <f t="shared" si="109"/>
        <v>1</v>
      </c>
      <c r="BJ1036" s="24" t="str">
        <f t="shared" si="103"/>
        <v/>
      </c>
    </row>
    <row r="1037" spans="1:62" x14ac:dyDescent="0.25">
      <c r="B1037" t="str">
        <f>"00353195"</f>
        <v>00353195</v>
      </c>
      <c r="C1037" t="s">
        <v>2825</v>
      </c>
      <c r="D1037" t="s">
        <v>2824</v>
      </c>
      <c r="E1037" t="s">
        <v>2825</v>
      </c>
      <c r="G1037" t="s">
        <v>5250</v>
      </c>
      <c r="H1037" t="s">
        <v>2827</v>
      </c>
      <c r="J1037" t="s">
        <v>2828</v>
      </c>
      <c r="L1037" t="s">
        <v>2829</v>
      </c>
      <c r="M1037" t="s">
        <v>139</v>
      </c>
      <c r="W1037" t="s">
        <v>2825</v>
      </c>
      <c r="X1037" t="s">
        <v>5251</v>
      </c>
      <c r="Y1037" t="s">
        <v>2831</v>
      </c>
      <c r="Z1037" t="s">
        <v>111</v>
      </c>
      <c r="AA1037" t="str">
        <f>"12208-3103"</f>
        <v>12208-3103</v>
      </c>
      <c r="AB1037" t="s">
        <v>2844</v>
      </c>
      <c r="AC1037" t="s">
        <v>113</v>
      </c>
      <c r="AD1037" t="s">
        <v>108</v>
      </c>
      <c r="AE1037" t="s">
        <v>114</v>
      </c>
      <c r="AF1037" t="s">
        <v>115</v>
      </c>
      <c r="AG1037" t="s">
        <v>116</v>
      </c>
      <c r="AK1037" t="str">
        <f t="shared" si="107"/>
        <v/>
      </c>
      <c r="AL1037" t="s">
        <v>2824</v>
      </c>
      <c r="AM1037">
        <v>0</v>
      </c>
      <c r="AN1037">
        <v>0</v>
      </c>
      <c r="AO1037">
        <v>0</v>
      </c>
      <c r="AP1037">
        <v>0</v>
      </c>
      <c r="AQ1037">
        <v>0</v>
      </c>
      <c r="AR1037">
        <v>0</v>
      </c>
      <c r="AS1037">
        <v>0</v>
      </c>
      <c r="AT1037">
        <v>0</v>
      </c>
      <c r="AU1037">
        <v>0</v>
      </c>
      <c r="AV1037">
        <v>0</v>
      </c>
      <c r="AW1037">
        <v>0</v>
      </c>
      <c r="AX1037" s="24" t="str">
        <f t="shared" si="105"/>
        <v/>
      </c>
      <c r="AY1037" s="24" t="str">
        <f t="shared" si="105"/>
        <v/>
      </c>
      <c r="AZ1037" s="24" t="str">
        <f t="shared" si="109"/>
        <v/>
      </c>
      <c r="BA1037" s="24">
        <f t="shared" si="109"/>
        <v>1</v>
      </c>
      <c r="BB1037" s="24">
        <f t="shared" si="109"/>
        <v>1</v>
      </c>
      <c r="BC1037" s="24">
        <f t="shared" si="109"/>
        <v>1</v>
      </c>
      <c r="BD1037" s="24" t="str">
        <f t="shared" si="109"/>
        <v/>
      </c>
      <c r="BE1037" s="24" t="str">
        <f t="shared" si="109"/>
        <v/>
      </c>
      <c r="BF1037" s="24" t="str">
        <f t="shared" si="109"/>
        <v/>
      </c>
      <c r="BG1037" s="24" t="str">
        <f t="shared" si="109"/>
        <v/>
      </c>
      <c r="BH1037" s="24" t="str">
        <f t="shared" si="108"/>
        <v/>
      </c>
      <c r="BI1037" s="24">
        <f t="shared" si="109"/>
        <v>1</v>
      </c>
      <c r="BJ1037" s="24" t="str">
        <f t="shared" si="103"/>
        <v/>
      </c>
    </row>
    <row r="1038" spans="1:62" ht="15" customHeight="1" x14ac:dyDescent="0.25">
      <c r="A1038" t="str">
        <f>"1831399401"</f>
        <v>1831399401</v>
      </c>
      <c r="B1038" t="str">
        <f>"03065643"</f>
        <v>03065643</v>
      </c>
      <c r="C1038" t="s">
        <v>5352</v>
      </c>
      <c r="D1038" t="s">
        <v>5353</v>
      </c>
      <c r="E1038" t="s">
        <v>5354</v>
      </c>
      <c r="G1038" t="s">
        <v>2412</v>
      </c>
      <c r="H1038" t="s">
        <v>2413</v>
      </c>
      <c r="I1038">
        <v>2359</v>
      </c>
      <c r="J1038" t="s">
        <v>5355</v>
      </c>
      <c r="L1038" t="s">
        <v>138</v>
      </c>
      <c r="M1038" t="s">
        <v>108</v>
      </c>
      <c r="R1038" t="s">
        <v>5356</v>
      </c>
      <c r="W1038" t="s">
        <v>5354</v>
      </c>
      <c r="X1038" t="s">
        <v>583</v>
      </c>
      <c r="Y1038" t="s">
        <v>293</v>
      </c>
      <c r="Z1038" t="s">
        <v>111</v>
      </c>
      <c r="AA1038" t="str">
        <f>"14850-1857"</f>
        <v>14850-1857</v>
      </c>
      <c r="AB1038" t="s">
        <v>123</v>
      </c>
      <c r="AC1038" t="s">
        <v>113</v>
      </c>
      <c r="AD1038" t="s">
        <v>108</v>
      </c>
      <c r="AE1038" t="s">
        <v>114</v>
      </c>
      <c r="AF1038" t="s">
        <v>142</v>
      </c>
      <c r="AG1038" t="s">
        <v>116</v>
      </c>
      <c r="AK1038" t="str">
        <f t="shared" si="107"/>
        <v/>
      </c>
      <c r="AL1038" t="s">
        <v>5353</v>
      </c>
      <c r="AM1038">
        <v>1</v>
      </c>
      <c r="AN1038">
        <v>1</v>
      </c>
      <c r="AO1038">
        <v>0</v>
      </c>
      <c r="AP1038">
        <v>0</v>
      </c>
      <c r="AQ1038">
        <v>0</v>
      </c>
      <c r="AR1038">
        <v>0</v>
      </c>
      <c r="AS1038">
        <v>0</v>
      </c>
      <c r="AT1038">
        <v>0</v>
      </c>
      <c r="AU1038">
        <v>0</v>
      </c>
      <c r="AV1038">
        <v>0</v>
      </c>
      <c r="AW1038">
        <v>0</v>
      </c>
      <c r="AX1038" s="24" t="str">
        <f t="shared" si="105"/>
        <v/>
      </c>
      <c r="AY1038" s="24">
        <f t="shared" si="105"/>
        <v>1</v>
      </c>
      <c r="AZ1038" s="24" t="str">
        <f t="shared" si="109"/>
        <v/>
      </c>
      <c r="BA1038" s="24" t="str">
        <f t="shared" si="109"/>
        <v/>
      </c>
      <c r="BB1038" s="24" t="str">
        <f t="shared" si="109"/>
        <v/>
      </c>
      <c r="BC1038" s="24" t="str">
        <f t="shared" si="109"/>
        <v/>
      </c>
      <c r="BD1038" s="24" t="str">
        <f t="shared" si="109"/>
        <v/>
      </c>
      <c r="BE1038" s="24" t="str">
        <f t="shared" si="109"/>
        <v/>
      </c>
      <c r="BF1038" s="24" t="str">
        <f t="shared" si="109"/>
        <v/>
      </c>
      <c r="BG1038" s="24" t="str">
        <f t="shared" si="109"/>
        <v/>
      </c>
      <c r="BH1038" s="24" t="str">
        <f t="shared" si="108"/>
        <v/>
      </c>
      <c r="BI1038" s="24">
        <f t="shared" si="109"/>
        <v>1</v>
      </c>
      <c r="BJ1038" s="24" t="str">
        <f t="shared" si="103"/>
        <v/>
      </c>
    </row>
    <row r="1039" spans="1:62" ht="15" customHeight="1" x14ac:dyDescent="0.25">
      <c r="A1039" t="str">
        <f>"1497736037"</f>
        <v>1497736037</v>
      </c>
      <c r="B1039" t="str">
        <f>"00594909"</f>
        <v>00594909</v>
      </c>
      <c r="C1039" t="s">
        <v>799</v>
      </c>
      <c r="D1039" t="s">
        <v>800</v>
      </c>
      <c r="E1039" t="s">
        <v>801</v>
      </c>
      <c r="G1039" t="s">
        <v>6330</v>
      </c>
      <c r="H1039" t="s">
        <v>6331</v>
      </c>
      <c r="J1039" t="s">
        <v>6332</v>
      </c>
      <c r="L1039" t="s">
        <v>120</v>
      </c>
      <c r="M1039" t="s">
        <v>108</v>
      </c>
      <c r="R1039" t="s">
        <v>799</v>
      </c>
      <c r="W1039" t="s">
        <v>801</v>
      </c>
      <c r="X1039" t="s">
        <v>802</v>
      </c>
      <c r="Y1039" t="s">
        <v>129</v>
      </c>
      <c r="Z1039" t="s">
        <v>111</v>
      </c>
      <c r="AA1039" t="str">
        <f>"13790"</f>
        <v>13790</v>
      </c>
      <c r="AB1039" t="s">
        <v>123</v>
      </c>
      <c r="AC1039" t="s">
        <v>113</v>
      </c>
      <c r="AD1039" t="s">
        <v>108</v>
      </c>
      <c r="AE1039" t="s">
        <v>114</v>
      </c>
      <c r="AF1039" t="s">
        <v>115</v>
      </c>
      <c r="AG1039" t="s">
        <v>116</v>
      </c>
      <c r="AK1039" t="str">
        <f t="shared" si="107"/>
        <v/>
      </c>
      <c r="AL1039" t="s">
        <v>800</v>
      </c>
      <c r="AM1039">
        <v>1</v>
      </c>
      <c r="AN1039">
        <v>1</v>
      </c>
      <c r="AO1039">
        <v>0</v>
      </c>
      <c r="AP1039">
        <v>1</v>
      </c>
      <c r="AQ1039">
        <v>1</v>
      </c>
      <c r="AR1039">
        <v>0</v>
      </c>
      <c r="AS1039">
        <v>0</v>
      </c>
      <c r="AT1039">
        <v>1</v>
      </c>
      <c r="AU1039">
        <v>0</v>
      </c>
      <c r="AV1039">
        <v>0</v>
      </c>
      <c r="AW1039">
        <v>1</v>
      </c>
      <c r="AX1039" s="24">
        <f t="shared" si="105"/>
        <v>1</v>
      </c>
      <c r="AY1039" s="24" t="str">
        <f t="shared" si="105"/>
        <v/>
      </c>
      <c r="AZ1039" s="24" t="str">
        <f t="shared" si="109"/>
        <v/>
      </c>
      <c r="BA1039" s="24" t="str">
        <f t="shared" si="109"/>
        <v/>
      </c>
      <c r="BB1039" s="24" t="str">
        <f t="shared" si="109"/>
        <v/>
      </c>
      <c r="BC1039" s="24" t="str">
        <f t="shared" si="109"/>
        <v/>
      </c>
      <c r="BD1039" s="24" t="str">
        <f t="shared" si="109"/>
        <v/>
      </c>
      <c r="BE1039" s="24" t="str">
        <f t="shared" si="109"/>
        <v/>
      </c>
      <c r="BF1039" s="24" t="str">
        <f t="shared" si="109"/>
        <v/>
      </c>
      <c r="BG1039" s="24" t="str">
        <f t="shared" si="109"/>
        <v/>
      </c>
      <c r="BH1039" s="24" t="str">
        <f t="shared" si="108"/>
        <v/>
      </c>
      <c r="BI1039" s="24">
        <f t="shared" si="109"/>
        <v>1</v>
      </c>
      <c r="BJ1039" s="24" t="str">
        <f t="shared" si="103"/>
        <v/>
      </c>
    </row>
    <row r="1040" spans="1:62" ht="15" customHeight="1" x14ac:dyDescent="0.25">
      <c r="A1040" t="str">
        <f>"1962662957"</f>
        <v>1962662957</v>
      </c>
      <c r="B1040" t="str">
        <f>"03033194"</f>
        <v>03033194</v>
      </c>
      <c r="C1040" t="s">
        <v>6807</v>
      </c>
      <c r="D1040" t="s">
        <v>7086</v>
      </c>
      <c r="E1040" t="s">
        <v>7087</v>
      </c>
      <c r="G1040" t="s">
        <v>1352</v>
      </c>
      <c r="H1040" t="s">
        <v>1301</v>
      </c>
      <c r="J1040" t="s">
        <v>1354</v>
      </c>
      <c r="L1040" t="s">
        <v>6868</v>
      </c>
      <c r="M1040" t="s">
        <v>108</v>
      </c>
      <c r="R1040" t="s">
        <v>6807</v>
      </c>
      <c r="W1040" t="s">
        <v>6807</v>
      </c>
      <c r="X1040" t="s">
        <v>238</v>
      </c>
      <c r="Y1040" t="s">
        <v>239</v>
      </c>
      <c r="Z1040" t="s">
        <v>111</v>
      </c>
      <c r="AA1040" t="str">
        <f>"13045-1206"</f>
        <v>13045-1206</v>
      </c>
      <c r="AB1040" t="s">
        <v>123</v>
      </c>
      <c r="AC1040" t="s">
        <v>113</v>
      </c>
      <c r="AD1040" t="s">
        <v>108</v>
      </c>
      <c r="AE1040" t="s">
        <v>114</v>
      </c>
      <c r="AF1040" t="s">
        <v>142</v>
      </c>
      <c r="AG1040" t="s">
        <v>116</v>
      </c>
      <c r="AK1040" t="str">
        <f t="shared" si="107"/>
        <v>PATEL DARSHAN</v>
      </c>
      <c r="AL1040" t="s">
        <v>7086</v>
      </c>
      <c r="AM1040" t="s">
        <v>108</v>
      </c>
      <c r="AN1040" t="s">
        <v>108</v>
      </c>
      <c r="AO1040" t="s">
        <v>108</v>
      </c>
      <c r="AP1040" t="s">
        <v>108</v>
      </c>
      <c r="AQ1040" t="s">
        <v>108</v>
      </c>
      <c r="AR1040" t="s">
        <v>108</v>
      </c>
      <c r="AS1040" t="s">
        <v>108</v>
      </c>
      <c r="AT1040" t="s">
        <v>108</v>
      </c>
      <c r="AU1040" t="s">
        <v>108</v>
      </c>
      <c r="AV1040" t="s">
        <v>108</v>
      </c>
      <c r="AW1040" t="s">
        <v>108</v>
      </c>
      <c r="AX1040" s="24">
        <f t="shared" si="105"/>
        <v>1</v>
      </c>
      <c r="AY1040" s="24">
        <f t="shared" si="105"/>
        <v>1</v>
      </c>
      <c r="AZ1040" s="24" t="str">
        <f t="shared" si="109"/>
        <v/>
      </c>
      <c r="BA1040" s="24" t="str">
        <f t="shared" si="109"/>
        <v/>
      </c>
      <c r="BB1040" s="24" t="str">
        <f t="shared" si="109"/>
        <v/>
      </c>
      <c r="BC1040" s="24" t="str">
        <f t="shared" si="109"/>
        <v/>
      </c>
      <c r="BD1040" s="24" t="str">
        <f t="shared" si="109"/>
        <v/>
      </c>
      <c r="BE1040" s="24" t="str">
        <f t="shared" si="109"/>
        <v/>
      </c>
      <c r="BF1040" s="24" t="str">
        <f t="shared" si="109"/>
        <v/>
      </c>
      <c r="BG1040" s="24" t="str">
        <f t="shared" si="109"/>
        <v/>
      </c>
      <c r="BH1040" s="24" t="str">
        <f t="shared" si="108"/>
        <v/>
      </c>
      <c r="BI1040" s="24" t="str">
        <f t="shared" si="109"/>
        <v/>
      </c>
      <c r="BJ1040" s="24" t="str">
        <f t="shared" si="103"/>
        <v/>
      </c>
    </row>
    <row r="1041" spans="1:62" ht="15" customHeight="1" x14ac:dyDescent="0.25">
      <c r="A1041" t="str">
        <f>"1598984668"</f>
        <v>1598984668</v>
      </c>
      <c r="B1041" t="str">
        <f>"03379288"</f>
        <v>03379288</v>
      </c>
      <c r="C1041" t="s">
        <v>6786</v>
      </c>
      <c r="D1041" t="s">
        <v>7061</v>
      </c>
      <c r="E1041" t="s">
        <v>6919</v>
      </c>
      <c r="G1041" t="s">
        <v>6330</v>
      </c>
      <c r="H1041" t="s">
        <v>6331</v>
      </c>
      <c r="J1041" t="s">
        <v>6332</v>
      </c>
      <c r="L1041" t="s">
        <v>138</v>
      </c>
      <c r="M1041" t="s">
        <v>108</v>
      </c>
      <c r="R1041" t="s">
        <v>6786</v>
      </c>
      <c r="W1041" t="s">
        <v>6919</v>
      </c>
      <c r="X1041" t="s">
        <v>6920</v>
      </c>
      <c r="Y1041" t="s">
        <v>6921</v>
      </c>
      <c r="Z1041" t="s">
        <v>111</v>
      </c>
      <c r="AA1041" t="str">
        <f>"11706-8408"</f>
        <v>11706-8408</v>
      </c>
      <c r="AB1041" t="s">
        <v>123</v>
      </c>
      <c r="AC1041" t="s">
        <v>113</v>
      </c>
      <c r="AD1041" t="s">
        <v>108</v>
      </c>
      <c r="AE1041" t="s">
        <v>114</v>
      </c>
      <c r="AF1041" t="s">
        <v>115</v>
      </c>
      <c r="AG1041" t="s">
        <v>116</v>
      </c>
      <c r="AK1041" t="str">
        <f t="shared" si="107"/>
        <v>PATEL KEYOOR DR.</v>
      </c>
      <c r="AL1041" t="s">
        <v>7061</v>
      </c>
      <c r="AM1041" t="s">
        <v>108</v>
      </c>
      <c r="AN1041" t="s">
        <v>108</v>
      </c>
      <c r="AO1041" t="s">
        <v>108</v>
      </c>
      <c r="AP1041" t="s">
        <v>108</v>
      </c>
      <c r="AQ1041" t="s">
        <v>108</v>
      </c>
      <c r="AR1041" t="s">
        <v>108</v>
      </c>
      <c r="AS1041" t="s">
        <v>108</v>
      </c>
      <c r="AT1041" t="s">
        <v>108</v>
      </c>
      <c r="AU1041" t="s">
        <v>108</v>
      </c>
      <c r="AV1041" t="s">
        <v>108</v>
      </c>
      <c r="AW1041" t="s">
        <v>108</v>
      </c>
      <c r="AX1041" s="24" t="str">
        <f t="shared" si="105"/>
        <v/>
      </c>
      <c r="AY1041" s="24">
        <f t="shared" si="105"/>
        <v>1</v>
      </c>
      <c r="AZ1041" s="24" t="str">
        <f t="shared" si="109"/>
        <v/>
      </c>
      <c r="BA1041" s="24" t="str">
        <f t="shared" si="109"/>
        <v/>
      </c>
      <c r="BB1041" s="24" t="str">
        <f t="shared" si="109"/>
        <v/>
      </c>
      <c r="BC1041" s="24" t="str">
        <f t="shared" si="109"/>
        <v/>
      </c>
      <c r="BD1041" s="24" t="str">
        <f t="shared" si="109"/>
        <v/>
      </c>
      <c r="BE1041" s="24" t="str">
        <f t="shared" si="109"/>
        <v/>
      </c>
      <c r="BF1041" s="24" t="str">
        <f t="shared" si="109"/>
        <v/>
      </c>
      <c r="BG1041" s="24" t="str">
        <f t="shared" si="109"/>
        <v/>
      </c>
      <c r="BH1041" s="24" t="str">
        <f t="shared" si="108"/>
        <v/>
      </c>
      <c r="BI1041" s="24">
        <f t="shared" si="109"/>
        <v>1</v>
      </c>
      <c r="BJ1041" s="24" t="str">
        <f t="shared" si="103"/>
        <v/>
      </c>
    </row>
    <row r="1042" spans="1:62" ht="15" customHeight="1" x14ac:dyDescent="0.25">
      <c r="A1042" t="str">
        <f>"1578598843"</f>
        <v>1578598843</v>
      </c>
      <c r="B1042" t="str">
        <f>"02143539"</f>
        <v>02143539</v>
      </c>
      <c r="C1042" t="s">
        <v>6840</v>
      </c>
      <c r="D1042" t="s">
        <v>7130</v>
      </c>
      <c r="E1042" t="s">
        <v>7131</v>
      </c>
      <c r="G1042" t="s">
        <v>7184</v>
      </c>
      <c r="H1042" t="s">
        <v>2379</v>
      </c>
      <c r="J1042" t="s">
        <v>7185</v>
      </c>
      <c r="L1042" t="s">
        <v>120</v>
      </c>
      <c r="M1042" t="s">
        <v>108</v>
      </c>
      <c r="R1042" t="s">
        <v>6840</v>
      </c>
      <c r="W1042" t="s">
        <v>6986</v>
      </c>
      <c r="X1042" t="s">
        <v>6897</v>
      </c>
      <c r="Y1042" t="s">
        <v>979</v>
      </c>
      <c r="Z1042" t="s">
        <v>111</v>
      </c>
      <c r="AA1042" t="str">
        <f>"13760-3698"</f>
        <v>13760-3698</v>
      </c>
      <c r="AB1042" t="s">
        <v>123</v>
      </c>
      <c r="AC1042" t="s">
        <v>113</v>
      </c>
      <c r="AD1042" t="s">
        <v>108</v>
      </c>
      <c r="AE1042" t="s">
        <v>114</v>
      </c>
      <c r="AF1042" t="s">
        <v>115</v>
      </c>
      <c r="AG1042" t="s">
        <v>116</v>
      </c>
      <c r="AK1042" t="str">
        <f t="shared" si="107"/>
        <v>PATEL REKHA</v>
      </c>
      <c r="AL1042" t="s">
        <v>7130</v>
      </c>
      <c r="AM1042" t="s">
        <v>108</v>
      </c>
      <c r="AN1042" t="s">
        <v>108</v>
      </c>
      <c r="AO1042" t="s">
        <v>108</v>
      </c>
      <c r="AP1042" t="s">
        <v>108</v>
      </c>
      <c r="AQ1042" t="s">
        <v>108</v>
      </c>
      <c r="AR1042" t="s">
        <v>108</v>
      </c>
      <c r="AS1042" t="s">
        <v>108</v>
      </c>
      <c r="AT1042" t="s">
        <v>108</v>
      </c>
      <c r="AU1042" t="s">
        <v>108</v>
      </c>
      <c r="AV1042" t="s">
        <v>108</v>
      </c>
      <c r="AW1042" t="s">
        <v>108</v>
      </c>
      <c r="AX1042" s="24">
        <f t="shared" si="105"/>
        <v>1</v>
      </c>
      <c r="AY1042" s="24" t="str">
        <f t="shared" si="105"/>
        <v/>
      </c>
      <c r="AZ1042" s="24" t="str">
        <f t="shared" si="109"/>
        <v/>
      </c>
      <c r="BA1042" s="24" t="str">
        <f t="shared" si="109"/>
        <v/>
      </c>
      <c r="BB1042" s="24" t="str">
        <f t="shared" si="109"/>
        <v/>
      </c>
      <c r="BC1042" s="24" t="str">
        <f t="shared" si="109"/>
        <v/>
      </c>
      <c r="BD1042" s="24" t="str">
        <f t="shared" si="109"/>
        <v/>
      </c>
      <c r="BE1042" s="24" t="str">
        <f t="shared" si="109"/>
        <v/>
      </c>
      <c r="BF1042" s="24" t="str">
        <f t="shared" si="109"/>
        <v/>
      </c>
      <c r="BG1042" s="24" t="str">
        <f t="shared" si="109"/>
        <v/>
      </c>
      <c r="BH1042" s="24" t="str">
        <f t="shared" si="108"/>
        <v/>
      </c>
      <c r="BI1042" s="24">
        <f t="shared" si="109"/>
        <v>1</v>
      </c>
      <c r="BJ1042" s="24" t="str">
        <f t="shared" ref="BJ1042:BJ1105" si="110">IF(ISERROR(FIND(BJ$1,$L1042,1)),"",1)</f>
        <v/>
      </c>
    </row>
    <row r="1043" spans="1:62" ht="15" customHeight="1" x14ac:dyDescent="0.25">
      <c r="A1043" t="str">
        <f>"1942229018"</f>
        <v>1942229018</v>
      </c>
      <c r="B1043" t="str">
        <f>"02143382"</f>
        <v>02143382</v>
      </c>
      <c r="C1043" t="s">
        <v>6842</v>
      </c>
      <c r="D1043" t="s">
        <v>7134</v>
      </c>
      <c r="E1043" t="s">
        <v>7135</v>
      </c>
      <c r="G1043" t="s">
        <v>7184</v>
      </c>
      <c r="H1043" t="s">
        <v>2379</v>
      </c>
      <c r="J1043" t="s">
        <v>7185</v>
      </c>
      <c r="L1043" t="s">
        <v>120</v>
      </c>
      <c r="M1043" t="s">
        <v>108</v>
      </c>
      <c r="R1043" t="s">
        <v>6842</v>
      </c>
      <c r="W1043" t="s">
        <v>6988</v>
      </c>
      <c r="X1043" t="s">
        <v>6897</v>
      </c>
      <c r="Y1043" t="s">
        <v>979</v>
      </c>
      <c r="Z1043" t="s">
        <v>111</v>
      </c>
      <c r="AA1043" t="str">
        <f>"13760-3698"</f>
        <v>13760-3698</v>
      </c>
      <c r="AB1043" t="s">
        <v>123</v>
      </c>
      <c r="AC1043" t="s">
        <v>113</v>
      </c>
      <c r="AD1043" t="s">
        <v>108</v>
      </c>
      <c r="AE1043" t="s">
        <v>114</v>
      </c>
      <c r="AF1043" t="s">
        <v>115</v>
      </c>
      <c r="AG1043" t="s">
        <v>116</v>
      </c>
      <c r="AK1043" t="str">
        <f t="shared" si="107"/>
        <v>PATEL SUCHET</v>
      </c>
      <c r="AL1043" t="s">
        <v>7134</v>
      </c>
      <c r="AM1043" t="s">
        <v>108</v>
      </c>
      <c r="AN1043" t="s">
        <v>108</v>
      </c>
      <c r="AO1043" t="s">
        <v>108</v>
      </c>
      <c r="AP1043" t="s">
        <v>108</v>
      </c>
      <c r="AQ1043" t="s">
        <v>108</v>
      </c>
      <c r="AR1043" t="s">
        <v>108</v>
      </c>
      <c r="AS1043" t="s">
        <v>108</v>
      </c>
      <c r="AT1043" t="s">
        <v>108</v>
      </c>
      <c r="AU1043" t="s">
        <v>108</v>
      </c>
      <c r="AV1043" t="s">
        <v>108</v>
      </c>
      <c r="AW1043" t="s">
        <v>108</v>
      </c>
      <c r="AX1043" s="24">
        <f t="shared" si="105"/>
        <v>1</v>
      </c>
      <c r="AY1043" s="24" t="str">
        <f t="shared" si="105"/>
        <v/>
      </c>
      <c r="AZ1043" s="24" t="str">
        <f t="shared" si="109"/>
        <v/>
      </c>
      <c r="BA1043" s="24" t="str">
        <f t="shared" si="109"/>
        <v/>
      </c>
      <c r="BB1043" s="24" t="str">
        <f t="shared" si="109"/>
        <v/>
      </c>
      <c r="BC1043" s="24" t="str">
        <f t="shared" si="109"/>
        <v/>
      </c>
      <c r="BD1043" s="24" t="str">
        <f t="shared" si="109"/>
        <v/>
      </c>
      <c r="BE1043" s="24" t="str">
        <f t="shared" si="109"/>
        <v/>
      </c>
      <c r="BF1043" s="24" t="str">
        <f t="shared" si="109"/>
        <v/>
      </c>
      <c r="BG1043" s="24" t="str">
        <f t="shared" si="109"/>
        <v/>
      </c>
      <c r="BH1043" s="24" t="str">
        <f t="shared" si="108"/>
        <v/>
      </c>
      <c r="BI1043" s="24">
        <f t="shared" si="109"/>
        <v>1</v>
      </c>
      <c r="BJ1043" s="24" t="str">
        <f t="shared" si="110"/>
        <v/>
      </c>
    </row>
    <row r="1044" spans="1:62" ht="15" customHeight="1" x14ac:dyDescent="0.25">
      <c r="A1044" t="str">
        <f>"1497827877"</f>
        <v>1497827877</v>
      </c>
      <c r="B1044" t="str">
        <f>"02747060"</f>
        <v>02747060</v>
      </c>
      <c r="C1044" t="s">
        <v>6472</v>
      </c>
      <c r="D1044" t="s">
        <v>6473</v>
      </c>
      <c r="E1044" t="s">
        <v>6474</v>
      </c>
      <c r="G1044" t="s">
        <v>6330</v>
      </c>
      <c r="H1044" t="s">
        <v>6331</v>
      </c>
      <c r="J1044" t="s">
        <v>6332</v>
      </c>
      <c r="L1044" t="s">
        <v>247</v>
      </c>
      <c r="M1044" t="s">
        <v>108</v>
      </c>
      <c r="R1044" t="s">
        <v>6475</v>
      </c>
      <c r="W1044" t="s">
        <v>6474</v>
      </c>
      <c r="X1044" t="s">
        <v>6476</v>
      </c>
      <c r="Y1044" t="s">
        <v>6477</v>
      </c>
      <c r="Z1044" t="s">
        <v>111</v>
      </c>
      <c r="AA1044" t="str">
        <f>"13104-0217"</f>
        <v>13104-0217</v>
      </c>
      <c r="AB1044" t="s">
        <v>123</v>
      </c>
      <c r="AC1044" t="s">
        <v>113</v>
      </c>
      <c r="AD1044" t="s">
        <v>108</v>
      </c>
      <c r="AE1044" t="s">
        <v>114</v>
      </c>
      <c r="AF1044" t="s">
        <v>115</v>
      </c>
      <c r="AG1044" t="s">
        <v>116</v>
      </c>
      <c r="AK1044" t="str">
        <f t="shared" si="107"/>
        <v>Patricia Hart</v>
      </c>
      <c r="AL1044" t="s">
        <v>6473</v>
      </c>
      <c r="AM1044" t="s">
        <v>108</v>
      </c>
      <c r="AN1044" t="s">
        <v>108</v>
      </c>
      <c r="AO1044" t="s">
        <v>108</v>
      </c>
      <c r="AP1044" t="s">
        <v>108</v>
      </c>
      <c r="AQ1044" t="s">
        <v>108</v>
      </c>
      <c r="AR1044" t="s">
        <v>108</v>
      </c>
      <c r="AS1044" t="s">
        <v>108</v>
      </c>
      <c r="AT1044" t="s">
        <v>108</v>
      </c>
      <c r="AU1044" t="s">
        <v>108</v>
      </c>
      <c r="AV1044" t="s">
        <v>108</v>
      </c>
      <c r="AW1044" t="s">
        <v>108</v>
      </c>
      <c r="AX1044" s="24" t="str">
        <f t="shared" si="105"/>
        <v/>
      </c>
      <c r="AY1044" s="24">
        <f t="shared" si="105"/>
        <v>1</v>
      </c>
      <c r="AZ1044" s="24" t="str">
        <f t="shared" si="109"/>
        <v/>
      </c>
      <c r="BA1044" s="24" t="str">
        <f t="shared" si="109"/>
        <v/>
      </c>
      <c r="BB1044" s="24" t="str">
        <f t="shared" si="109"/>
        <v/>
      </c>
      <c r="BC1044" s="24" t="str">
        <f t="shared" si="109"/>
        <v/>
      </c>
      <c r="BD1044" s="24" t="str">
        <f t="shared" si="109"/>
        <v/>
      </c>
      <c r="BE1044" s="24" t="str">
        <f t="shared" si="109"/>
        <v/>
      </c>
      <c r="BF1044" s="24" t="str">
        <f t="shared" si="109"/>
        <v/>
      </c>
      <c r="BG1044" s="24" t="str">
        <f t="shared" si="109"/>
        <v/>
      </c>
      <c r="BH1044" s="24" t="str">
        <f t="shared" si="108"/>
        <v/>
      </c>
      <c r="BI1044" s="24" t="str">
        <f t="shared" si="109"/>
        <v/>
      </c>
      <c r="BJ1044" s="24" t="str">
        <f t="shared" si="110"/>
        <v/>
      </c>
    </row>
    <row r="1045" spans="1:62" ht="15" customHeight="1" x14ac:dyDescent="0.25">
      <c r="A1045" t="str">
        <f>"1982716320"</f>
        <v>1982716320</v>
      </c>
      <c r="B1045" t="str">
        <f>"03497385"</f>
        <v>03497385</v>
      </c>
      <c r="C1045" t="s">
        <v>5368</v>
      </c>
      <c r="D1045" t="s">
        <v>5369</v>
      </c>
      <c r="E1045" t="s">
        <v>5370</v>
      </c>
      <c r="G1045" t="s">
        <v>2412</v>
      </c>
      <c r="H1045" t="s">
        <v>2413</v>
      </c>
      <c r="I1045">
        <v>2359</v>
      </c>
      <c r="J1045" t="s">
        <v>5371</v>
      </c>
      <c r="L1045" t="s">
        <v>138</v>
      </c>
      <c r="M1045" t="s">
        <v>108</v>
      </c>
      <c r="R1045" t="s">
        <v>5372</v>
      </c>
      <c r="W1045" t="s">
        <v>5370</v>
      </c>
      <c r="X1045" t="s">
        <v>3783</v>
      </c>
      <c r="Y1045" t="s">
        <v>1655</v>
      </c>
      <c r="Z1045" t="s">
        <v>111</v>
      </c>
      <c r="AA1045" t="str">
        <f>"14865-9648"</f>
        <v>14865-9648</v>
      </c>
      <c r="AB1045" t="s">
        <v>123</v>
      </c>
      <c r="AC1045" t="s">
        <v>113</v>
      </c>
      <c r="AD1045" t="s">
        <v>108</v>
      </c>
      <c r="AE1045" t="s">
        <v>114</v>
      </c>
      <c r="AF1045" t="s">
        <v>142</v>
      </c>
      <c r="AG1045" t="s">
        <v>116</v>
      </c>
      <c r="AK1045" t="str">
        <f t="shared" si="107"/>
        <v/>
      </c>
      <c r="AL1045" t="s">
        <v>5369</v>
      </c>
      <c r="AM1045">
        <v>1</v>
      </c>
      <c r="AN1045">
        <v>1</v>
      </c>
      <c r="AO1045">
        <v>0</v>
      </c>
      <c r="AP1045">
        <v>0</v>
      </c>
      <c r="AQ1045">
        <v>0</v>
      </c>
      <c r="AR1045">
        <v>0</v>
      </c>
      <c r="AS1045">
        <v>0</v>
      </c>
      <c r="AT1045">
        <v>0</v>
      </c>
      <c r="AU1045">
        <v>0</v>
      </c>
      <c r="AV1045">
        <v>0</v>
      </c>
      <c r="AW1045">
        <v>0</v>
      </c>
      <c r="AX1045" s="24" t="str">
        <f t="shared" si="105"/>
        <v/>
      </c>
      <c r="AY1045" s="24">
        <f t="shared" si="105"/>
        <v>1</v>
      </c>
      <c r="AZ1045" s="24" t="str">
        <f t="shared" si="109"/>
        <v/>
      </c>
      <c r="BA1045" s="24" t="str">
        <f t="shared" si="109"/>
        <v/>
      </c>
      <c r="BB1045" s="24" t="str">
        <f t="shared" si="109"/>
        <v/>
      </c>
      <c r="BC1045" s="24" t="str">
        <f t="shared" si="109"/>
        <v/>
      </c>
      <c r="BD1045" s="24" t="str">
        <f t="shared" si="109"/>
        <v/>
      </c>
      <c r="BE1045" s="24" t="str">
        <f t="shared" si="109"/>
        <v/>
      </c>
      <c r="BF1045" s="24" t="str">
        <f t="shared" si="109"/>
        <v/>
      </c>
      <c r="BG1045" s="24" t="str">
        <f t="shared" si="109"/>
        <v/>
      </c>
      <c r="BH1045" s="24" t="str">
        <f t="shared" si="108"/>
        <v/>
      </c>
      <c r="BI1045" s="24">
        <f t="shared" si="109"/>
        <v>1</v>
      </c>
      <c r="BJ1045" s="24" t="str">
        <f t="shared" si="110"/>
        <v/>
      </c>
    </row>
    <row r="1046" spans="1:62" ht="15" customHeight="1" x14ac:dyDescent="0.25">
      <c r="A1046" t="str">
        <f>"1669627014"</f>
        <v>1669627014</v>
      </c>
      <c r="B1046" t="str">
        <f>"03232304"</f>
        <v>03232304</v>
      </c>
      <c r="C1046" t="s">
        <v>1924</v>
      </c>
      <c r="D1046" t="s">
        <v>1925</v>
      </c>
      <c r="E1046" t="s">
        <v>1926</v>
      </c>
      <c r="L1046" t="s">
        <v>6867</v>
      </c>
      <c r="M1046" t="s">
        <v>108</v>
      </c>
      <c r="R1046" t="s">
        <v>1924</v>
      </c>
      <c r="W1046" t="s">
        <v>1926</v>
      </c>
      <c r="X1046" t="s">
        <v>406</v>
      </c>
      <c r="Y1046" t="s">
        <v>129</v>
      </c>
      <c r="Z1046" t="s">
        <v>111</v>
      </c>
      <c r="AA1046" t="str">
        <f>"13790-2174"</f>
        <v>13790-2174</v>
      </c>
      <c r="AB1046" t="s">
        <v>123</v>
      </c>
      <c r="AC1046" t="s">
        <v>113</v>
      </c>
      <c r="AD1046" t="s">
        <v>108</v>
      </c>
      <c r="AE1046" t="s">
        <v>114</v>
      </c>
      <c r="AF1046" t="s">
        <v>115</v>
      </c>
      <c r="AG1046" t="s">
        <v>116</v>
      </c>
      <c r="AK1046" t="str">
        <f t="shared" si="107"/>
        <v/>
      </c>
      <c r="AL1046" t="s">
        <v>1925</v>
      </c>
      <c r="AM1046">
        <v>0</v>
      </c>
      <c r="AN1046">
        <v>0</v>
      </c>
      <c r="AO1046">
        <v>0</v>
      </c>
      <c r="AP1046">
        <v>0</v>
      </c>
      <c r="AQ1046">
        <v>0</v>
      </c>
      <c r="AR1046">
        <v>0</v>
      </c>
      <c r="AS1046">
        <v>0</v>
      </c>
      <c r="AT1046">
        <v>0</v>
      </c>
      <c r="AU1046">
        <v>0</v>
      </c>
      <c r="AV1046">
        <v>0</v>
      </c>
      <c r="AW1046">
        <v>0</v>
      </c>
      <c r="AX1046" s="24">
        <f t="shared" si="105"/>
        <v>1</v>
      </c>
      <c r="AY1046" s="24">
        <f t="shared" si="105"/>
        <v>1</v>
      </c>
      <c r="AZ1046" s="24" t="str">
        <f t="shared" si="109"/>
        <v/>
      </c>
      <c r="BA1046" s="24" t="str">
        <f t="shared" si="109"/>
        <v/>
      </c>
      <c r="BB1046" s="24" t="str">
        <f t="shared" si="109"/>
        <v/>
      </c>
      <c r="BC1046" s="24" t="str">
        <f t="shared" si="109"/>
        <v/>
      </c>
      <c r="BD1046" s="24" t="str">
        <f t="shared" si="109"/>
        <v/>
      </c>
      <c r="BE1046" s="24" t="str">
        <f t="shared" si="109"/>
        <v/>
      </c>
      <c r="BF1046" s="24" t="str">
        <f t="shared" si="109"/>
        <v/>
      </c>
      <c r="BG1046" s="24" t="str">
        <f t="shared" si="109"/>
        <v/>
      </c>
      <c r="BH1046" s="24" t="str">
        <f t="shared" si="108"/>
        <v/>
      </c>
      <c r="BI1046" s="24">
        <f t="shared" si="109"/>
        <v>1</v>
      </c>
      <c r="BJ1046" s="24" t="str">
        <f t="shared" si="110"/>
        <v/>
      </c>
    </row>
    <row r="1047" spans="1:62" ht="15" customHeight="1" x14ac:dyDescent="0.25">
      <c r="A1047" t="str">
        <f>"1265790901"</f>
        <v>1265790901</v>
      </c>
      <c r="B1047" t="str">
        <f>"04273263"</f>
        <v>04273263</v>
      </c>
      <c r="C1047" t="s">
        <v>6454</v>
      </c>
      <c r="D1047" t="s">
        <v>6455</v>
      </c>
      <c r="E1047" t="s">
        <v>6456</v>
      </c>
      <c r="G1047" t="s">
        <v>6330</v>
      </c>
      <c r="H1047" t="s">
        <v>6331</v>
      </c>
      <c r="J1047" t="s">
        <v>6332</v>
      </c>
      <c r="L1047" t="s">
        <v>120</v>
      </c>
      <c r="M1047" t="s">
        <v>108</v>
      </c>
      <c r="R1047" t="s">
        <v>6457</v>
      </c>
      <c r="W1047" t="s">
        <v>6456</v>
      </c>
      <c r="X1047" t="s">
        <v>4040</v>
      </c>
      <c r="Y1047" t="s">
        <v>966</v>
      </c>
      <c r="Z1047" t="s">
        <v>111</v>
      </c>
      <c r="AA1047" t="str">
        <f>"13850-3556"</f>
        <v>13850-3556</v>
      </c>
      <c r="AB1047" t="s">
        <v>123</v>
      </c>
      <c r="AC1047" t="s">
        <v>113</v>
      </c>
      <c r="AD1047" t="s">
        <v>108</v>
      </c>
      <c r="AE1047" t="s">
        <v>114</v>
      </c>
      <c r="AF1047" t="s">
        <v>115</v>
      </c>
      <c r="AG1047" t="s">
        <v>116</v>
      </c>
      <c r="AK1047" t="str">
        <f t="shared" si="107"/>
        <v>Paul Hyunwoo Han</v>
      </c>
      <c r="AL1047" t="s">
        <v>6455</v>
      </c>
      <c r="AM1047" t="s">
        <v>108</v>
      </c>
      <c r="AN1047" t="s">
        <v>108</v>
      </c>
      <c r="AO1047" t="s">
        <v>108</v>
      </c>
      <c r="AP1047" t="s">
        <v>108</v>
      </c>
      <c r="AQ1047" t="s">
        <v>108</v>
      </c>
      <c r="AR1047" t="s">
        <v>108</v>
      </c>
      <c r="AS1047" t="s">
        <v>108</v>
      </c>
      <c r="AT1047" t="s">
        <v>108</v>
      </c>
      <c r="AU1047" t="s">
        <v>108</v>
      </c>
      <c r="AV1047" t="s">
        <v>108</v>
      </c>
      <c r="AW1047" t="s">
        <v>108</v>
      </c>
      <c r="AX1047" s="24">
        <f t="shared" si="105"/>
        <v>1</v>
      </c>
      <c r="AY1047" s="24" t="str">
        <f t="shared" si="105"/>
        <v/>
      </c>
      <c r="AZ1047" s="24" t="str">
        <f t="shared" si="109"/>
        <v/>
      </c>
      <c r="BA1047" s="24" t="str">
        <f t="shared" si="109"/>
        <v/>
      </c>
      <c r="BB1047" s="24" t="str">
        <f t="shared" si="109"/>
        <v/>
      </c>
      <c r="BC1047" s="24" t="str">
        <f t="shared" si="109"/>
        <v/>
      </c>
      <c r="BD1047" s="24" t="str">
        <f t="shared" si="109"/>
        <v/>
      </c>
      <c r="BE1047" s="24" t="str">
        <f t="shared" si="109"/>
        <v/>
      </c>
      <c r="BF1047" s="24" t="str">
        <f t="shared" si="109"/>
        <v/>
      </c>
      <c r="BG1047" s="24" t="str">
        <f t="shared" si="109"/>
        <v/>
      </c>
      <c r="BH1047" s="24" t="str">
        <f t="shared" si="108"/>
        <v/>
      </c>
      <c r="BI1047" s="24">
        <f t="shared" si="109"/>
        <v>1</v>
      </c>
      <c r="BJ1047" s="24" t="str">
        <f t="shared" si="110"/>
        <v/>
      </c>
    </row>
    <row r="1048" spans="1:62" ht="15" customHeight="1" x14ac:dyDescent="0.25">
      <c r="A1048" t="str">
        <f>"1821096397"</f>
        <v>1821096397</v>
      </c>
      <c r="B1048" t="str">
        <f>"01252419"</f>
        <v>01252419</v>
      </c>
      <c r="C1048" t="s">
        <v>2745</v>
      </c>
      <c r="D1048" t="s">
        <v>2746</v>
      </c>
      <c r="E1048" t="s">
        <v>2747</v>
      </c>
      <c r="G1048" t="s">
        <v>2625</v>
      </c>
      <c r="H1048" t="s">
        <v>2626</v>
      </c>
      <c r="J1048" t="s">
        <v>2748</v>
      </c>
      <c r="L1048" t="s">
        <v>247</v>
      </c>
      <c r="M1048" t="s">
        <v>108</v>
      </c>
      <c r="R1048" t="s">
        <v>2749</v>
      </c>
      <c r="W1048" t="s">
        <v>2747</v>
      </c>
      <c r="X1048" t="s">
        <v>2750</v>
      </c>
      <c r="Y1048" t="s">
        <v>2751</v>
      </c>
      <c r="Z1048" t="s">
        <v>111</v>
      </c>
      <c r="AA1048" t="str">
        <f>"10029-6501"</f>
        <v>10029-6501</v>
      </c>
      <c r="AB1048" t="s">
        <v>123</v>
      </c>
      <c r="AC1048" t="s">
        <v>113</v>
      </c>
      <c r="AD1048" t="s">
        <v>108</v>
      </c>
      <c r="AE1048" t="s">
        <v>114</v>
      </c>
      <c r="AF1048" t="s">
        <v>142</v>
      </c>
      <c r="AG1048" t="s">
        <v>116</v>
      </c>
      <c r="AK1048" t="str">
        <f t="shared" si="107"/>
        <v/>
      </c>
      <c r="AL1048" t="s">
        <v>2746</v>
      </c>
      <c r="AM1048">
        <v>1</v>
      </c>
      <c r="AN1048">
        <v>1</v>
      </c>
      <c r="AO1048">
        <v>0</v>
      </c>
      <c r="AP1048">
        <v>0</v>
      </c>
      <c r="AQ1048">
        <v>0</v>
      </c>
      <c r="AR1048">
        <v>0</v>
      </c>
      <c r="AS1048">
        <v>0</v>
      </c>
      <c r="AT1048">
        <v>0</v>
      </c>
      <c r="AU1048">
        <v>0</v>
      </c>
      <c r="AV1048">
        <v>0</v>
      </c>
      <c r="AW1048">
        <v>0</v>
      </c>
      <c r="AX1048" s="24" t="str">
        <f t="shared" si="105"/>
        <v/>
      </c>
      <c r="AY1048" s="24">
        <f t="shared" si="105"/>
        <v>1</v>
      </c>
      <c r="AZ1048" s="24" t="str">
        <f t="shared" si="109"/>
        <v/>
      </c>
      <c r="BA1048" s="24" t="str">
        <f t="shared" si="109"/>
        <v/>
      </c>
      <c r="BB1048" s="24" t="str">
        <f t="shared" si="109"/>
        <v/>
      </c>
      <c r="BC1048" s="24" t="str">
        <f t="shared" si="109"/>
        <v/>
      </c>
      <c r="BD1048" s="24" t="str">
        <f t="shared" si="109"/>
        <v/>
      </c>
      <c r="BE1048" s="24" t="str">
        <f t="shared" si="109"/>
        <v/>
      </c>
      <c r="BF1048" s="24" t="str">
        <f t="shared" si="109"/>
        <v/>
      </c>
      <c r="BG1048" s="24" t="str">
        <f t="shared" si="109"/>
        <v/>
      </c>
      <c r="BH1048" s="24" t="str">
        <f t="shared" si="108"/>
        <v/>
      </c>
      <c r="BI1048" s="24" t="str">
        <f t="shared" si="109"/>
        <v/>
      </c>
      <c r="BJ1048" s="24" t="str">
        <f t="shared" si="110"/>
        <v/>
      </c>
    </row>
    <row r="1049" spans="1:62" ht="15" customHeight="1" x14ac:dyDescent="0.25">
      <c r="A1049" t="str">
        <f>"1649242785"</f>
        <v>1649242785</v>
      </c>
      <c r="B1049" t="str">
        <f>"03248804"</f>
        <v>03248804</v>
      </c>
      <c r="C1049" t="s">
        <v>3589</v>
      </c>
      <c r="D1049" t="s">
        <v>3590</v>
      </c>
      <c r="E1049" t="s">
        <v>3591</v>
      </c>
      <c r="G1049" t="s">
        <v>3566</v>
      </c>
      <c r="H1049" t="s">
        <v>3567</v>
      </c>
      <c r="J1049" t="s">
        <v>3592</v>
      </c>
      <c r="L1049" t="s">
        <v>138</v>
      </c>
      <c r="M1049" t="s">
        <v>108</v>
      </c>
      <c r="R1049" t="s">
        <v>3591</v>
      </c>
      <c r="W1049" t="s">
        <v>3591</v>
      </c>
      <c r="X1049" t="s">
        <v>3593</v>
      </c>
      <c r="Y1049" t="s">
        <v>293</v>
      </c>
      <c r="Z1049" t="s">
        <v>111</v>
      </c>
      <c r="AA1049" t="str">
        <f>"14850-1014"</f>
        <v>14850-1014</v>
      </c>
      <c r="AB1049" t="s">
        <v>123</v>
      </c>
      <c r="AC1049" t="s">
        <v>113</v>
      </c>
      <c r="AD1049" t="s">
        <v>108</v>
      </c>
      <c r="AE1049" t="s">
        <v>114</v>
      </c>
      <c r="AF1049" t="s">
        <v>142</v>
      </c>
      <c r="AG1049" t="s">
        <v>116</v>
      </c>
      <c r="AK1049" t="str">
        <f t="shared" si="107"/>
        <v/>
      </c>
      <c r="AL1049" t="s">
        <v>3590</v>
      </c>
      <c r="AM1049">
        <v>1</v>
      </c>
      <c r="AN1049">
        <v>1</v>
      </c>
      <c r="AO1049">
        <v>0</v>
      </c>
      <c r="AP1049">
        <v>0</v>
      </c>
      <c r="AQ1049">
        <v>0</v>
      </c>
      <c r="AR1049">
        <v>0</v>
      </c>
      <c r="AS1049">
        <v>0</v>
      </c>
      <c r="AT1049">
        <v>0</v>
      </c>
      <c r="AU1049">
        <v>0</v>
      </c>
      <c r="AV1049">
        <v>0</v>
      </c>
      <c r="AW1049">
        <v>0</v>
      </c>
      <c r="AX1049" s="24" t="str">
        <f t="shared" si="105"/>
        <v/>
      </c>
      <c r="AY1049" s="24">
        <f t="shared" si="105"/>
        <v>1</v>
      </c>
      <c r="AZ1049" s="24" t="str">
        <f t="shared" si="109"/>
        <v/>
      </c>
      <c r="BA1049" s="24" t="str">
        <f t="shared" si="109"/>
        <v/>
      </c>
      <c r="BB1049" s="24" t="str">
        <f t="shared" si="109"/>
        <v/>
      </c>
      <c r="BC1049" s="24" t="str">
        <f t="shared" si="109"/>
        <v/>
      </c>
      <c r="BD1049" s="24" t="str">
        <f t="shared" si="109"/>
        <v/>
      </c>
      <c r="BE1049" s="24" t="str">
        <f t="shared" si="109"/>
        <v/>
      </c>
      <c r="BF1049" s="24" t="str">
        <f t="shared" si="109"/>
        <v/>
      </c>
      <c r="BG1049" s="24" t="str">
        <f t="shared" si="109"/>
        <v/>
      </c>
      <c r="BH1049" s="24" t="str">
        <f t="shared" si="108"/>
        <v/>
      </c>
      <c r="BI1049" s="24">
        <f t="shared" si="109"/>
        <v>1</v>
      </c>
      <c r="BJ1049" s="24" t="str">
        <f t="shared" si="110"/>
        <v/>
      </c>
    </row>
    <row r="1050" spans="1:62" ht="15" customHeight="1" x14ac:dyDescent="0.25">
      <c r="A1050" t="str">
        <f>"1609853993"</f>
        <v>1609853993</v>
      </c>
      <c r="B1050" t="str">
        <f>"02571864"</f>
        <v>02571864</v>
      </c>
      <c r="C1050" t="s">
        <v>6481</v>
      </c>
      <c r="D1050" t="s">
        <v>6482</v>
      </c>
      <c r="E1050" t="s">
        <v>6483</v>
      </c>
      <c r="G1050" t="s">
        <v>6330</v>
      </c>
      <c r="H1050" t="s">
        <v>6331</v>
      </c>
      <c r="J1050" t="s">
        <v>6332</v>
      </c>
      <c r="L1050" t="s">
        <v>120</v>
      </c>
      <c r="M1050" t="s">
        <v>108</v>
      </c>
      <c r="R1050" t="s">
        <v>6484</v>
      </c>
      <c r="W1050" t="s">
        <v>6483</v>
      </c>
      <c r="X1050" t="s">
        <v>6485</v>
      </c>
      <c r="Y1050" t="s">
        <v>6486</v>
      </c>
      <c r="Z1050" t="s">
        <v>111</v>
      </c>
      <c r="AA1050" t="str">
        <f>"13730-2129"</f>
        <v>13730-2129</v>
      </c>
      <c r="AB1050" t="s">
        <v>123</v>
      </c>
      <c r="AC1050" t="s">
        <v>113</v>
      </c>
      <c r="AD1050" t="s">
        <v>108</v>
      </c>
      <c r="AE1050" t="s">
        <v>114</v>
      </c>
      <c r="AF1050" t="s">
        <v>115</v>
      </c>
      <c r="AG1050" t="s">
        <v>116</v>
      </c>
      <c r="AK1050" t="str">
        <f t="shared" si="107"/>
        <v>Paula A Dygert</v>
      </c>
      <c r="AL1050" t="s">
        <v>6482</v>
      </c>
      <c r="AM1050" t="s">
        <v>108</v>
      </c>
      <c r="AN1050" t="s">
        <v>108</v>
      </c>
      <c r="AO1050" t="s">
        <v>108</v>
      </c>
      <c r="AP1050" t="s">
        <v>108</v>
      </c>
      <c r="AQ1050" t="s">
        <v>108</v>
      </c>
      <c r="AR1050" t="s">
        <v>108</v>
      </c>
      <c r="AS1050" t="s">
        <v>108</v>
      </c>
      <c r="AT1050" t="s">
        <v>108</v>
      </c>
      <c r="AU1050" t="s">
        <v>108</v>
      </c>
      <c r="AV1050" t="s">
        <v>108</v>
      </c>
      <c r="AW1050" t="s">
        <v>108</v>
      </c>
      <c r="AX1050" s="24">
        <f t="shared" si="105"/>
        <v>1</v>
      </c>
      <c r="AY1050" s="24" t="str">
        <f t="shared" si="105"/>
        <v/>
      </c>
      <c r="AZ1050" s="24" t="str">
        <f t="shared" si="109"/>
        <v/>
      </c>
      <c r="BA1050" s="24" t="str">
        <f t="shared" si="109"/>
        <v/>
      </c>
      <c r="BB1050" s="24" t="str">
        <f t="shared" si="109"/>
        <v/>
      </c>
      <c r="BC1050" s="24" t="str">
        <f t="shared" si="109"/>
        <v/>
      </c>
      <c r="BD1050" s="24" t="str">
        <f t="shared" si="109"/>
        <v/>
      </c>
      <c r="BE1050" s="24" t="str">
        <f t="shared" si="109"/>
        <v/>
      </c>
      <c r="BF1050" s="24" t="str">
        <f t="shared" si="109"/>
        <v/>
      </c>
      <c r="BG1050" s="24" t="str">
        <f t="shared" si="109"/>
        <v/>
      </c>
      <c r="BH1050" s="24" t="str">
        <f t="shared" si="108"/>
        <v/>
      </c>
      <c r="BI1050" s="24">
        <f t="shared" si="109"/>
        <v>1</v>
      </c>
      <c r="BJ1050" s="24" t="str">
        <f t="shared" si="110"/>
        <v/>
      </c>
    </row>
    <row r="1051" spans="1:62" ht="15" customHeight="1" x14ac:dyDescent="0.25">
      <c r="A1051" t="str">
        <f>"1023154549"</f>
        <v>1023154549</v>
      </c>
      <c r="B1051" t="str">
        <f>"02966461"</f>
        <v>02966461</v>
      </c>
      <c r="C1051" t="s">
        <v>4623</v>
      </c>
      <c r="D1051" t="s">
        <v>4624</v>
      </c>
      <c r="E1051" t="s">
        <v>4625</v>
      </c>
      <c r="G1051" t="s">
        <v>2412</v>
      </c>
      <c r="H1051" t="s">
        <v>2413</v>
      </c>
      <c r="I1051">
        <v>2359</v>
      </c>
      <c r="J1051" t="s">
        <v>4626</v>
      </c>
      <c r="L1051" t="s">
        <v>6867</v>
      </c>
      <c r="M1051" t="s">
        <v>108</v>
      </c>
      <c r="R1051" t="s">
        <v>4627</v>
      </c>
      <c r="W1051" t="s">
        <v>4628</v>
      </c>
      <c r="X1051" t="s">
        <v>4629</v>
      </c>
      <c r="Y1051" t="s">
        <v>1203</v>
      </c>
      <c r="Z1051" t="s">
        <v>111</v>
      </c>
      <c r="AA1051" t="str">
        <f>"14891-1260"</f>
        <v>14891-1260</v>
      </c>
      <c r="AB1051" t="s">
        <v>123</v>
      </c>
      <c r="AC1051" t="s">
        <v>113</v>
      </c>
      <c r="AD1051" t="s">
        <v>108</v>
      </c>
      <c r="AE1051" t="s">
        <v>114</v>
      </c>
      <c r="AF1051" t="s">
        <v>142</v>
      </c>
      <c r="AG1051" t="s">
        <v>116</v>
      </c>
      <c r="AK1051" t="str">
        <f t="shared" si="107"/>
        <v/>
      </c>
      <c r="AL1051" t="s">
        <v>4624</v>
      </c>
      <c r="AM1051">
        <v>0</v>
      </c>
      <c r="AN1051">
        <v>0</v>
      </c>
      <c r="AO1051">
        <v>0</v>
      </c>
      <c r="AP1051">
        <v>0</v>
      </c>
      <c r="AQ1051">
        <v>0</v>
      </c>
      <c r="AR1051">
        <v>0</v>
      </c>
      <c r="AS1051">
        <v>0</v>
      </c>
      <c r="AT1051">
        <v>0</v>
      </c>
      <c r="AU1051">
        <v>0</v>
      </c>
      <c r="AV1051">
        <v>0</v>
      </c>
      <c r="AW1051">
        <v>0</v>
      </c>
      <c r="AX1051" s="24">
        <f t="shared" si="105"/>
        <v>1</v>
      </c>
      <c r="AY1051" s="24">
        <f t="shared" si="105"/>
        <v>1</v>
      </c>
      <c r="AZ1051" s="24" t="str">
        <f t="shared" si="109"/>
        <v/>
      </c>
      <c r="BA1051" s="24" t="str">
        <f t="shared" si="109"/>
        <v/>
      </c>
      <c r="BB1051" s="24" t="str">
        <f t="shared" si="109"/>
        <v/>
      </c>
      <c r="BC1051" s="24" t="str">
        <f t="shared" si="109"/>
        <v/>
      </c>
      <c r="BD1051" s="24" t="str">
        <f t="shared" si="109"/>
        <v/>
      </c>
      <c r="BE1051" s="24" t="str">
        <f t="shared" si="109"/>
        <v/>
      </c>
      <c r="BF1051" s="24" t="str">
        <f t="shared" si="109"/>
        <v/>
      </c>
      <c r="BG1051" s="24" t="str">
        <f t="shared" si="109"/>
        <v/>
      </c>
      <c r="BH1051" s="24" t="str">
        <f t="shared" si="108"/>
        <v/>
      </c>
      <c r="BI1051" s="24">
        <f t="shared" si="109"/>
        <v>1</v>
      </c>
      <c r="BJ1051" s="24" t="str">
        <f t="shared" si="110"/>
        <v/>
      </c>
    </row>
    <row r="1052" spans="1:62" ht="15" customHeight="1" x14ac:dyDescent="0.25">
      <c r="A1052" t="str">
        <f>"1104266238"</f>
        <v>1104266238</v>
      </c>
      <c r="B1052" t="str">
        <f>"00352185"</f>
        <v>00352185</v>
      </c>
      <c r="C1052" t="s">
        <v>5242</v>
      </c>
      <c r="D1052" t="s">
        <v>5243</v>
      </c>
      <c r="E1052" t="s">
        <v>5244</v>
      </c>
      <c r="G1052" t="s">
        <v>5245</v>
      </c>
      <c r="H1052" t="s">
        <v>5246</v>
      </c>
      <c r="J1052" t="s">
        <v>5247</v>
      </c>
      <c r="L1052" t="s">
        <v>19</v>
      </c>
      <c r="M1052" t="s">
        <v>139</v>
      </c>
      <c r="R1052" t="s">
        <v>5242</v>
      </c>
      <c r="W1052" t="s">
        <v>5248</v>
      </c>
      <c r="X1052" t="s">
        <v>5249</v>
      </c>
      <c r="Y1052" t="s">
        <v>157</v>
      </c>
      <c r="Z1052" t="s">
        <v>111</v>
      </c>
      <c r="AA1052" t="str">
        <f>"14830-2809"</f>
        <v>14830-2809</v>
      </c>
      <c r="AB1052" t="s">
        <v>385</v>
      </c>
      <c r="AC1052" t="s">
        <v>113</v>
      </c>
      <c r="AD1052" t="s">
        <v>108</v>
      </c>
      <c r="AE1052" t="s">
        <v>114</v>
      </c>
      <c r="AF1052" t="s">
        <v>149</v>
      </c>
      <c r="AG1052" t="s">
        <v>116</v>
      </c>
      <c r="AK1052" t="str">
        <f t="shared" si="107"/>
        <v/>
      </c>
      <c r="AL1052" t="s">
        <v>5243</v>
      </c>
      <c r="AM1052">
        <v>0</v>
      </c>
      <c r="AN1052">
        <v>0</v>
      </c>
      <c r="AO1052">
        <v>0</v>
      </c>
      <c r="AP1052">
        <v>0</v>
      </c>
      <c r="AQ1052">
        <v>0</v>
      </c>
      <c r="AR1052">
        <v>0</v>
      </c>
      <c r="AS1052">
        <v>0</v>
      </c>
      <c r="AT1052">
        <v>0</v>
      </c>
      <c r="AU1052">
        <v>0</v>
      </c>
      <c r="AV1052">
        <v>0</v>
      </c>
      <c r="AW1052">
        <v>0</v>
      </c>
      <c r="AX1052" s="24" t="str">
        <f t="shared" si="105"/>
        <v/>
      </c>
      <c r="AY1052" s="24" t="str">
        <f t="shared" si="105"/>
        <v/>
      </c>
      <c r="AZ1052" s="24" t="str">
        <f t="shared" si="109"/>
        <v/>
      </c>
      <c r="BA1052" s="24" t="str">
        <f t="shared" si="109"/>
        <v/>
      </c>
      <c r="BB1052" s="24" t="str">
        <f t="shared" si="109"/>
        <v/>
      </c>
      <c r="BC1052" s="24" t="str">
        <f t="shared" si="109"/>
        <v/>
      </c>
      <c r="BD1052" s="24" t="str">
        <f t="shared" si="109"/>
        <v/>
      </c>
      <c r="BE1052" s="24">
        <f t="shared" si="109"/>
        <v>1</v>
      </c>
      <c r="BF1052" s="24" t="str">
        <f t="shared" si="109"/>
        <v/>
      </c>
      <c r="BG1052" s="24" t="str">
        <f t="shared" si="109"/>
        <v/>
      </c>
      <c r="BH1052" s="24" t="str">
        <f t="shared" si="108"/>
        <v/>
      </c>
      <c r="BI1052" s="24" t="str">
        <f t="shared" si="109"/>
        <v/>
      </c>
      <c r="BJ1052" s="24" t="str">
        <f t="shared" si="110"/>
        <v/>
      </c>
    </row>
    <row r="1053" spans="1:62" ht="15" customHeight="1" x14ac:dyDescent="0.25">
      <c r="A1053" t="str">
        <f>"1619135621"</f>
        <v>1619135621</v>
      </c>
      <c r="B1053" t="str">
        <f>"03114936"</f>
        <v>03114936</v>
      </c>
      <c r="C1053" t="s">
        <v>1884</v>
      </c>
      <c r="D1053" t="s">
        <v>1885</v>
      </c>
      <c r="E1053" t="s">
        <v>1886</v>
      </c>
      <c r="L1053" t="s">
        <v>120</v>
      </c>
      <c r="M1053" t="s">
        <v>108</v>
      </c>
      <c r="R1053" t="s">
        <v>1884</v>
      </c>
      <c r="W1053" t="s">
        <v>1887</v>
      </c>
      <c r="X1053" t="s">
        <v>1237</v>
      </c>
      <c r="Y1053" t="s">
        <v>129</v>
      </c>
      <c r="Z1053" t="s">
        <v>111</v>
      </c>
      <c r="AA1053" t="str">
        <f>"13790-2102"</f>
        <v>13790-2102</v>
      </c>
      <c r="AB1053" t="s">
        <v>123</v>
      </c>
      <c r="AC1053" t="s">
        <v>113</v>
      </c>
      <c r="AD1053" t="s">
        <v>108</v>
      </c>
      <c r="AE1053" t="s">
        <v>114</v>
      </c>
      <c r="AF1053" t="s">
        <v>115</v>
      </c>
      <c r="AG1053" t="s">
        <v>116</v>
      </c>
      <c r="AK1053" t="str">
        <f t="shared" si="107"/>
        <v/>
      </c>
      <c r="AL1053" t="s">
        <v>1885</v>
      </c>
      <c r="AM1053">
        <v>0</v>
      </c>
      <c r="AN1053">
        <v>0</v>
      </c>
      <c r="AO1053">
        <v>0</v>
      </c>
      <c r="AP1053">
        <v>0</v>
      </c>
      <c r="AQ1053">
        <v>0</v>
      </c>
      <c r="AR1053">
        <v>0</v>
      </c>
      <c r="AS1053">
        <v>0</v>
      </c>
      <c r="AT1053">
        <v>0</v>
      </c>
      <c r="AU1053">
        <v>0</v>
      </c>
      <c r="AV1053">
        <v>0</v>
      </c>
      <c r="AW1053">
        <v>0</v>
      </c>
      <c r="AX1053" s="24">
        <f t="shared" si="105"/>
        <v>1</v>
      </c>
      <c r="AY1053" s="24" t="str">
        <f t="shared" si="105"/>
        <v/>
      </c>
      <c r="AZ1053" s="24" t="str">
        <f t="shared" si="109"/>
        <v/>
      </c>
      <c r="BA1053" s="24" t="str">
        <f t="shared" si="109"/>
        <v/>
      </c>
      <c r="BB1053" s="24" t="str">
        <f t="shared" si="109"/>
        <v/>
      </c>
      <c r="BC1053" s="24" t="str">
        <f t="shared" si="109"/>
        <v/>
      </c>
      <c r="BD1053" s="24" t="str">
        <f t="shared" si="109"/>
        <v/>
      </c>
      <c r="BE1053" s="24" t="str">
        <f t="shared" si="109"/>
        <v/>
      </c>
      <c r="BF1053" s="24" t="str">
        <f t="shared" si="109"/>
        <v/>
      </c>
      <c r="BG1053" s="24" t="str">
        <f t="shared" si="109"/>
        <v/>
      </c>
      <c r="BH1053" s="24" t="str">
        <f t="shared" si="108"/>
        <v/>
      </c>
      <c r="BI1053" s="24">
        <f t="shared" si="109"/>
        <v>1</v>
      </c>
      <c r="BJ1053" s="24" t="str">
        <f t="shared" si="110"/>
        <v/>
      </c>
    </row>
    <row r="1054" spans="1:62" ht="15" customHeight="1" x14ac:dyDescent="0.25">
      <c r="A1054" t="str">
        <f>"1700887734"</f>
        <v>1700887734</v>
      </c>
      <c r="B1054" t="str">
        <f>"00605472"</f>
        <v>00605472</v>
      </c>
      <c r="C1054" t="s">
        <v>2454</v>
      </c>
      <c r="D1054" t="s">
        <v>2455</v>
      </c>
      <c r="E1054" t="s">
        <v>2456</v>
      </c>
      <c r="L1054" t="s">
        <v>247</v>
      </c>
      <c r="M1054" t="s">
        <v>108</v>
      </c>
      <c r="R1054" t="s">
        <v>2454</v>
      </c>
      <c r="W1054" t="s">
        <v>2456</v>
      </c>
      <c r="X1054" t="s">
        <v>2058</v>
      </c>
      <c r="Y1054" t="s">
        <v>110</v>
      </c>
      <c r="Z1054" t="s">
        <v>111</v>
      </c>
      <c r="AA1054" t="str">
        <f>"13903-1605"</f>
        <v>13903-1605</v>
      </c>
      <c r="AB1054" t="s">
        <v>123</v>
      </c>
      <c r="AC1054" t="s">
        <v>113</v>
      </c>
      <c r="AD1054" t="s">
        <v>108</v>
      </c>
      <c r="AE1054" t="s">
        <v>114</v>
      </c>
      <c r="AF1054" t="s">
        <v>115</v>
      </c>
      <c r="AG1054" t="s">
        <v>116</v>
      </c>
      <c r="AK1054" t="str">
        <f t="shared" si="107"/>
        <v/>
      </c>
      <c r="AL1054" t="s">
        <v>2455</v>
      </c>
      <c r="AM1054">
        <v>1</v>
      </c>
      <c r="AN1054">
        <v>1</v>
      </c>
      <c r="AO1054">
        <v>0</v>
      </c>
      <c r="AP1054">
        <v>1</v>
      </c>
      <c r="AQ1054">
        <v>1</v>
      </c>
      <c r="AR1054">
        <v>0</v>
      </c>
      <c r="AS1054">
        <v>0</v>
      </c>
      <c r="AT1054">
        <v>0</v>
      </c>
      <c r="AU1054">
        <v>0</v>
      </c>
      <c r="AV1054">
        <v>0</v>
      </c>
      <c r="AW1054">
        <v>0</v>
      </c>
      <c r="AX1054" s="24" t="str">
        <f t="shared" si="105"/>
        <v/>
      </c>
      <c r="AY1054" s="24">
        <f t="shared" si="105"/>
        <v>1</v>
      </c>
      <c r="AZ1054" s="24" t="str">
        <f t="shared" si="109"/>
        <v/>
      </c>
      <c r="BA1054" s="24" t="str">
        <f t="shared" si="109"/>
        <v/>
      </c>
      <c r="BB1054" s="24" t="str">
        <f t="shared" si="109"/>
        <v/>
      </c>
      <c r="BC1054" s="24" t="str">
        <f t="shared" si="109"/>
        <v/>
      </c>
      <c r="BD1054" s="24" t="str">
        <f t="shared" si="109"/>
        <v/>
      </c>
      <c r="BE1054" s="24" t="str">
        <f t="shared" si="109"/>
        <v/>
      </c>
      <c r="BF1054" s="24" t="str">
        <f t="shared" si="109"/>
        <v/>
      </c>
      <c r="BG1054" s="24" t="str">
        <f t="shared" si="109"/>
        <v/>
      </c>
      <c r="BH1054" s="24" t="str">
        <f t="shared" si="108"/>
        <v/>
      </c>
      <c r="BI1054" s="24" t="str">
        <f t="shared" si="109"/>
        <v/>
      </c>
      <c r="BJ1054" s="24" t="str">
        <f t="shared" si="110"/>
        <v/>
      </c>
    </row>
    <row r="1055" spans="1:62" ht="15" customHeight="1" x14ac:dyDescent="0.25">
      <c r="A1055" t="str">
        <f>"1669437943"</f>
        <v>1669437943</v>
      </c>
      <c r="B1055" t="str">
        <f>"03448340"</f>
        <v>03448340</v>
      </c>
      <c r="C1055" t="s">
        <v>2952</v>
      </c>
      <c r="D1055" t="s">
        <v>2953</v>
      </c>
      <c r="E1055" t="s">
        <v>2954</v>
      </c>
      <c r="G1055" t="s">
        <v>177</v>
      </c>
      <c r="H1055" t="s">
        <v>178</v>
      </c>
      <c r="J1055" t="s">
        <v>179</v>
      </c>
      <c r="L1055" t="s">
        <v>138</v>
      </c>
      <c r="M1055" t="s">
        <v>108</v>
      </c>
      <c r="R1055" t="s">
        <v>2952</v>
      </c>
      <c r="W1055" t="s">
        <v>2954</v>
      </c>
      <c r="X1055" t="s">
        <v>196</v>
      </c>
      <c r="Y1055" t="s">
        <v>181</v>
      </c>
      <c r="Z1055" t="s">
        <v>182</v>
      </c>
      <c r="AA1055" t="str">
        <f>"18840-1625"</f>
        <v>18840-1625</v>
      </c>
      <c r="AB1055" t="s">
        <v>123</v>
      </c>
      <c r="AC1055" t="s">
        <v>113</v>
      </c>
      <c r="AD1055" t="s">
        <v>108</v>
      </c>
      <c r="AE1055" t="s">
        <v>114</v>
      </c>
      <c r="AF1055" t="s">
        <v>115</v>
      </c>
      <c r="AG1055" t="s">
        <v>116</v>
      </c>
      <c r="AK1055" t="str">
        <f t="shared" si="107"/>
        <v/>
      </c>
      <c r="AL1055" t="s">
        <v>2953</v>
      </c>
      <c r="AM1055">
        <v>1</v>
      </c>
      <c r="AN1055">
        <v>1</v>
      </c>
      <c r="AO1055">
        <v>0</v>
      </c>
      <c r="AP1055">
        <v>0</v>
      </c>
      <c r="AQ1055">
        <v>0</v>
      </c>
      <c r="AR1055">
        <v>0</v>
      </c>
      <c r="AS1055">
        <v>0</v>
      </c>
      <c r="AT1055">
        <v>0</v>
      </c>
      <c r="AU1055">
        <v>0</v>
      </c>
      <c r="AV1055">
        <v>1</v>
      </c>
      <c r="AW1055">
        <v>0</v>
      </c>
      <c r="AX1055" s="24" t="str">
        <f t="shared" si="105"/>
        <v/>
      </c>
      <c r="AY1055" s="24">
        <f t="shared" si="105"/>
        <v>1</v>
      </c>
      <c r="AZ1055" s="24" t="str">
        <f t="shared" si="109"/>
        <v/>
      </c>
      <c r="BA1055" s="24" t="str">
        <f t="shared" si="109"/>
        <v/>
      </c>
      <c r="BB1055" s="24" t="str">
        <f t="shared" si="109"/>
        <v/>
      </c>
      <c r="BC1055" s="24" t="str">
        <f t="shared" si="109"/>
        <v/>
      </c>
      <c r="BD1055" s="24" t="str">
        <f t="shared" si="109"/>
        <v/>
      </c>
      <c r="BE1055" s="24" t="str">
        <f t="shared" si="109"/>
        <v/>
      </c>
      <c r="BF1055" s="24" t="str">
        <f t="shared" si="109"/>
        <v/>
      </c>
      <c r="BG1055" s="24" t="str">
        <f t="shared" si="109"/>
        <v/>
      </c>
      <c r="BH1055" s="24" t="str">
        <f t="shared" si="108"/>
        <v/>
      </c>
      <c r="BI1055" s="24">
        <f t="shared" si="109"/>
        <v>1</v>
      </c>
      <c r="BJ1055" s="24" t="str">
        <f t="shared" si="110"/>
        <v/>
      </c>
    </row>
    <row r="1056" spans="1:62" ht="15" customHeight="1" x14ac:dyDescent="0.25">
      <c r="A1056" t="str">
        <f>"1770810228"</f>
        <v>1770810228</v>
      </c>
      <c r="B1056" t="str">
        <f>"03169931"</f>
        <v>03169931</v>
      </c>
      <c r="C1056" t="s">
        <v>2687</v>
      </c>
      <c r="D1056" t="s">
        <v>2688</v>
      </c>
      <c r="E1056" t="s">
        <v>2687</v>
      </c>
      <c r="L1056" t="s">
        <v>138</v>
      </c>
      <c r="M1056" t="s">
        <v>108</v>
      </c>
      <c r="R1056" t="s">
        <v>2687</v>
      </c>
      <c r="W1056" t="s">
        <v>2687</v>
      </c>
      <c r="X1056" t="s">
        <v>204</v>
      </c>
      <c r="Y1056" t="s">
        <v>110</v>
      </c>
      <c r="Z1056" t="s">
        <v>111</v>
      </c>
      <c r="AA1056" t="str">
        <f>"13905-4246"</f>
        <v>13905-4246</v>
      </c>
      <c r="AB1056" t="s">
        <v>123</v>
      </c>
      <c r="AC1056" t="s">
        <v>113</v>
      </c>
      <c r="AD1056" t="s">
        <v>108</v>
      </c>
      <c r="AE1056" t="s">
        <v>114</v>
      </c>
      <c r="AF1056" t="s">
        <v>115</v>
      </c>
      <c r="AG1056" t="s">
        <v>116</v>
      </c>
      <c r="AK1056" t="str">
        <f t="shared" si="107"/>
        <v/>
      </c>
      <c r="AL1056" t="s">
        <v>2688</v>
      </c>
      <c r="AM1056">
        <v>0</v>
      </c>
      <c r="AN1056">
        <v>0</v>
      </c>
      <c r="AO1056">
        <v>0</v>
      </c>
      <c r="AP1056">
        <v>0</v>
      </c>
      <c r="AQ1056">
        <v>0</v>
      </c>
      <c r="AR1056">
        <v>0</v>
      </c>
      <c r="AS1056">
        <v>0</v>
      </c>
      <c r="AT1056">
        <v>0</v>
      </c>
      <c r="AU1056">
        <v>0</v>
      </c>
      <c r="AV1056">
        <v>0</v>
      </c>
      <c r="AW1056">
        <v>0</v>
      </c>
      <c r="AX1056" s="24" t="str">
        <f t="shared" si="105"/>
        <v/>
      </c>
      <c r="AY1056" s="24">
        <f t="shared" si="105"/>
        <v>1</v>
      </c>
      <c r="AZ1056" s="24" t="str">
        <f t="shared" si="109"/>
        <v/>
      </c>
      <c r="BA1056" s="24" t="str">
        <f t="shared" si="109"/>
        <v/>
      </c>
      <c r="BB1056" s="24" t="str">
        <f t="shared" si="109"/>
        <v/>
      </c>
      <c r="BC1056" s="24" t="str">
        <f t="shared" si="109"/>
        <v/>
      </c>
      <c r="BD1056" s="24" t="str">
        <f t="shared" si="109"/>
        <v/>
      </c>
      <c r="BE1056" s="24" t="str">
        <f t="shared" si="109"/>
        <v/>
      </c>
      <c r="BF1056" s="24" t="str">
        <f t="shared" si="109"/>
        <v/>
      </c>
      <c r="BG1056" s="24" t="str">
        <f t="shared" si="109"/>
        <v/>
      </c>
      <c r="BH1056" s="24" t="str">
        <f t="shared" si="108"/>
        <v/>
      </c>
      <c r="BI1056" s="24">
        <f t="shared" si="109"/>
        <v>1</v>
      </c>
      <c r="BJ1056" s="24" t="str">
        <f t="shared" si="110"/>
        <v/>
      </c>
    </row>
    <row r="1057" spans="1:62" ht="15" customHeight="1" x14ac:dyDescent="0.25">
      <c r="A1057" t="str">
        <f>"1760469290"</f>
        <v>1760469290</v>
      </c>
      <c r="B1057" t="str">
        <f>"01903199"</f>
        <v>01903199</v>
      </c>
      <c r="C1057" t="s">
        <v>3343</v>
      </c>
      <c r="D1057" t="s">
        <v>3344</v>
      </c>
      <c r="E1057" t="s">
        <v>3343</v>
      </c>
      <c r="G1057" t="s">
        <v>6330</v>
      </c>
      <c r="H1057" t="s">
        <v>6331</v>
      </c>
      <c r="J1057" t="s">
        <v>6332</v>
      </c>
      <c r="L1057" t="s">
        <v>120</v>
      </c>
      <c r="M1057" t="s">
        <v>139</v>
      </c>
      <c r="R1057" t="s">
        <v>3343</v>
      </c>
      <c r="W1057" t="s">
        <v>3343</v>
      </c>
      <c r="X1057" t="s">
        <v>3345</v>
      </c>
      <c r="Y1057" t="s">
        <v>1310</v>
      </c>
      <c r="Z1057" t="s">
        <v>111</v>
      </c>
      <c r="AA1057" t="str">
        <f>"13155"</f>
        <v>13155</v>
      </c>
      <c r="AB1057" t="s">
        <v>123</v>
      </c>
      <c r="AC1057" t="s">
        <v>113</v>
      </c>
      <c r="AD1057" t="s">
        <v>108</v>
      </c>
      <c r="AE1057" t="s">
        <v>114</v>
      </c>
      <c r="AF1057" t="s">
        <v>124</v>
      </c>
      <c r="AG1057" t="s">
        <v>116</v>
      </c>
      <c r="AK1057" t="str">
        <f t="shared" si="107"/>
        <v/>
      </c>
      <c r="AL1057" t="s">
        <v>3344</v>
      </c>
      <c r="AM1057">
        <v>1</v>
      </c>
      <c r="AN1057">
        <v>1</v>
      </c>
      <c r="AO1057">
        <v>0</v>
      </c>
      <c r="AP1057">
        <v>1</v>
      </c>
      <c r="AQ1057">
        <v>1</v>
      </c>
      <c r="AR1057">
        <v>0</v>
      </c>
      <c r="AS1057">
        <v>0</v>
      </c>
      <c r="AT1057">
        <v>0</v>
      </c>
      <c r="AU1057">
        <v>0</v>
      </c>
      <c r="AV1057">
        <v>0</v>
      </c>
      <c r="AW1057">
        <v>0</v>
      </c>
      <c r="AX1057" s="24">
        <f t="shared" si="105"/>
        <v>1</v>
      </c>
      <c r="AY1057" s="24" t="str">
        <f t="shared" si="105"/>
        <v/>
      </c>
      <c r="AZ1057" s="24" t="str">
        <f t="shared" si="109"/>
        <v/>
      </c>
      <c r="BA1057" s="24" t="str">
        <f t="shared" si="109"/>
        <v/>
      </c>
      <c r="BB1057" s="24" t="str">
        <f t="shared" si="109"/>
        <v/>
      </c>
      <c r="BC1057" s="24" t="str">
        <f t="shared" si="109"/>
        <v/>
      </c>
      <c r="BD1057" s="24" t="str">
        <f t="shared" si="109"/>
        <v/>
      </c>
      <c r="BE1057" s="24" t="str">
        <f t="shared" si="109"/>
        <v/>
      </c>
      <c r="BF1057" s="24" t="str">
        <f t="shared" si="109"/>
        <v/>
      </c>
      <c r="BG1057" s="24" t="str">
        <f t="shared" si="109"/>
        <v/>
      </c>
      <c r="BH1057" s="24" t="str">
        <f t="shared" si="108"/>
        <v/>
      </c>
      <c r="BI1057" s="24">
        <f t="shared" si="109"/>
        <v>1</v>
      </c>
      <c r="BJ1057" s="24" t="str">
        <f t="shared" si="110"/>
        <v/>
      </c>
    </row>
    <row r="1058" spans="1:62" ht="15" customHeight="1" x14ac:dyDescent="0.25">
      <c r="A1058" t="str">
        <f>"1003136052"</f>
        <v>1003136052</v>
      </c>
      <c r="B1058" t="str">
        <f>"03727951"</f>
        <v>03727951</v>
      </c>
      <c r="C1058" t="s">
        <v>5072</v>
      </c>
      <c r="D1058" t="s">
        <v>5073</v>
      </c>
      <c r="E1058" t="s">
        <v>5072</v>
      </c>
      <c r="G1058" t="s">
        <v>699</v>
      </c>
      <c r="H1058" t="s">
        <v>700</v>
      </c>
      <c r="J1058" t="s">
        <v>701</v>
      </c>
      <c r="L1058" t="s">
        <v>120</v>
      </c>
      <c r="M1058" t="s">
        <v>108</v>
      </c>
      <c r="W1058" t="s">
        <v>5072</v>
      </c>
      <c r="X1058" t="s">
        <v>5074</v>
      </c>
      <c r="Y1058" t="s">
        <v>148</v>
      </c>
      <c r="Z1058" t="s">
        <v>111</v>
      </c>
      <c r="AA1058" t="str">
        <f>"14845-8533"</f>
        <v>14845-8533</v>
      </c>
      <c r="AB1058" t="s">
        <v>123</v>
      </c>
      <c r="AC1058" t="s">
        <v>113</v>
      </c>
      <c r="AD1058" t="s">
        <v>108</v>
      </c>
      <c r="AE1058" t="s">
        <v>114</v>
      </c>
      <c r="AF1058" t="s">
        <v>149</v>
      </c>
      <c r="AG1058" t="s">
        <v>116</v>
      </c>
      <c r="AK1058" t="str">
        <f t="shared" si="107"/>
        <v/>
      </c>
      <c r="AL1058" t="s">
        <v>5073</v>
      </c>
      <c r="AM1058">
        <v>0</v>
      </c>
      <c r="AN1058">
        <v>0</v>
      </c>
      <c r="AO1058">
        <v>0</v>
      </c>
      <c r="AP1058">
        <v>0</v>
      </c>
      <c r="AQ1058">
        <v>0</v>
      </c>
      <c r="AR1058">
        <v>0</v>
      </c>
      <c r="AS1058">
        <v>0</v>
      </c>
      <c r="AT1058">
        <v>0</v>
      </c>
      <c r="AU1058">
        <v>0</v>
      </c>
      <c r="AV1058">
        <v>0</v>
      </c>
      <c r="AW1058">
        <v>0</v>
      </c>
      <c r="AX1058" s="24">
        <f t="shared" si="105"/>
        <v>1</v>
      </c>
      <c r="AY1058" s="24" t="str">
        <f t="shared" si="105"/>
        <v/>
      </c>
      <c r="AZ1058" s="24" t="str">
        <f t="shared" si="109"/>
        <v/>
      </c>
      <c r="BA1058" s="24" t="str">
        <f t="shared" si="109"/>
        <v/>
      </c>
      <c r="BB1058" s="24" t="str">
        <f t="shared" si="109"/>
        <v/>
      </c>
      <c r="BC1058" s="24" t="str">
        <f t="shared" si="109"/>
        <v/>
      </c>
      <c r="BD1058" s="24" t="str">
        <f t="shared" si="109"/>
        <v/>
      </c>
      <c r="BE1058" s="24" t="str">
        <f t="shared" si="109"/>
        <v/>
      </c>
      <c r="BF1058" s="24" t="str">
        <f t="shared" si="109"/>
        <v/>
      </c>
      <c r="BG1058" s="24" t="str">
        <f t="shared" si="109"/>
        <v/>
      </c>
      <c r="BH1058" s="24" t="str">
        <f t="shared" si="108"/>
        <v/>
      </c>
      <c r="BI1058" s="24">
        <f t="shared" si="109"/>
        <v>1</v>
      </c>
      <c r="BJ1058" s="24" t="str">
        <f t="shared" si="110"/>
        <v/>
      </c>
    </row>
    <row r="1059" spans="1:62" ht="15" customHeight="1" x14ac:dyDescent="0.25">
      <c r="A1059" t="str">
        <f>"1154321529"</f>
        <v>1154321529</v>
      </c>
      <c r="B1059" t="str">
        <f>"01026604"</f>
        <v>01026604</v>
      </c>
      <c r="C1059" t="s">
        <v>2886</v>
      </c>
      <c r="D1059" t="s">
        <v>2887</v>
      </c>
      <c r="E1059" t="s">
        <v>2888</v>
      </c>
      <c r="L1059" t="s">
        <v>6867</v>
      </c>
      <c r="M1059" t="s">
        <v>108</v>
      </c>
      <c r="R1059" t="s">
        <v>2886</v>
      </c>
      <c r="W1059" t="s">
        <v>2888</v>
      </c>
      <c r="X1059" t="s">
        <v>128</v>
      </c>
      <c r="Y1059" t="s">
        <v>129</v>
      </c>
      <c r="Z1059" t="s">
        <v>111</v>
      </c>
      <c r="AA1059" t="str">
        <f>"13790-2597"</f>
        <v>13790-2597</v>
      </c>
      <c r="AB1059" t="s">
        <v>123</v>
      </c>
      <c r="AC1059" t="s">
        <v>113</v>
      </c>
      <c r="AD1059" t="s">
        <v>108</v>
      </c>
      <c r="AE1059" t="s">
        <v>114</v>
      </c>
      <c r="AF1059" t="s">
        <v>115</v>
      </c>
      <c r="AG1059" t="s">
        <v>116</v>
      </c>
      <c r="AK1059" t="str">
        <f t="shared" si="107"/>
        <v/>
      </c>
      <c r="AL1059" t="s">
        <v>2887</v>
      </c>
      <c r="AM1059">
        <v>1</v>
      </c>
      <c r="AN1059">
        <v>1</v>
      </c>
      <c r="AO1059">
        <v>0</v>
      </c>
      <c r="AP1059">
        <v>1</v>
      </c>
      <c r="AQ1059">
        <v>1</v>
      </c>
      <c r="AR1059">
        <v>0</v>
      </c>
      <c r="AS1059">
        <v>0</v>
      </c>
      <c r="AT1059">
        <v>0</v>
      </c>
      <c r="AU1059">
        <v>0</v>
      </c>
      <c r="AV1059">
        <v>0</v>
      </c>
      <c r="AW1059">
        <v>0</v>
      </c>
      <c r="AX1059" s="24">
        <f t="shared" si="105"/>
        <v>1</v>
      </c>
      <c r="AY1059" s="24">
        <f t="shared" si="105"/>
        <v>1</v>
      </c>
      <c r="AZ1059" s="24" t="str">
        <f t="shared" si="109"/>
        <v/>
      </c>
      <c r="BA1059" s="24" t="str">
        <f t="shared" ref="AZ1059:BI1084" si="111">IF(ISERROR(FIND(BA$1,$L1059,1)),"",1)</f>
        <v/>
      </c>
      <c r="BB1059" s="24" t="str">
        <f t="shared" si="111"/>
        <v/>
      </c>
      <c r="BC1059" s="24" t="str">
        <f t="shared" si="111"/>
        <v/>
      </c>
      <c r="BD1059" s="24" t="str">
        <f t="shared" si="111"/>
        <v/>
      </c>
      <c r="BE1059" s="24" t="str">
        <f t="shared" si="111"/>
        <v/>
      </c>
      <c r="BF1059" s="24" t="str">
        <f t="shared" si="111"/>
        <v/>
      </c>
      <c r="BG1059" s="24" t="str">
        <f t="shared" si="111"/>
        <v/>
      </c>
      <c r="BH1059" s="24" t="str">
        <f t="shared" si="108"/>
        <v/>
      </c>
      <c r="BI1059" s="24">
        <f t="shared" si="111"/>
        <v>1</v>
      </c>
      <c r="BJ1059" s="24" t="str">
        <f t="shared" si="110"/>
        <v/>
      </c>
    </row>
    <row r="1060" spans="1:62" ht="15" customHeight="1" x14ac:dyDescent="0.25">
      <c r="A1060" t="str">
        <f>"1508885971"</f>
        <v>1508885971</v>
      </c>
      <c r="B1060" t="str">
        <f>"03104267"</f>
        <v>03104267</v>
      </c>
      <c r="C1060" t="s">
        <v>5075</v>
      </c>
      <c r="D1060" t="s">
        <v>5076</v>
      </c>
      <c r="E1060" t="s">
        <v>5075</v>
      </c>
      <c r="G1060" t="s">
        <v>699</v>
      </c>
      <c r="H1060" t="s">
        <v>700</v>
      </c>
      <c r="J1060" t="s">
        <v>701</v>
      </c>
      <c r="L1060" t="s">
        <v>120</v>
      </c>
      <c r="M1060" t="s">
        <v>108</v>
      </c>
      <c r="R1060" t="s">
        <v>5077</v>
      </c>
      <c r="W1060" t="s">
        <v>5078</v>
      </c>
      <c r="X1060" t="s">
        <v>5079</v>
      </c>
      <c r="Y1060" t="s">
        <v>2400</v>
      </c>
      <c r="Z1060" t="s">
        <v>111</v>
      </c>
      <c r="AA1060" t="str">
        <f>"14870-9094"</f>
        <v>14870-9094</v>
      </c>
      <c r="AB1060" t="s">
        <v>123</v>
      </c>
      <c r="AC1060" t="s">
        <v>113</v>
      </c>
      <c r="AD1060" t="s">
        <v>108</v>
      </c>
      <c r="AE1060" t="s">
        <v>114</v>
      </c>
      <c r="AF1060" t="s">
        <v>149</v>
      </c>
      <c r="AG1060" t="s">
        <v>116</v>
      </c>
      <c r="AK1060" t="str">
        <f t="shared" si="107"/>
        <v/>
      </c>
      <c r="AL1060" t="s">
        <v>5076</v>
      </c>
      <c r="AM1060">
        <v>1</v>
      </c>
      <c r="AN1060">
        <v>1</v>
      </c>
      <c r="AO1060">
        <v>0</v>
      </c>
      <c r="AP1060">
        <v>0</v>
      </c>
      <c r="AQ1060">
        <v>0</v>
      </c>
      <c r="AR1060">
        <v>0</v>
      </c>
      <c r="AS1060">
        <v>0</v>
      </c>
      <c r="AT1060">
        <v>1</v>
      </c>
      <c r="AU1060">
        <v>1</v>
      </c>
      <c r="AV1060">
        <v>1</v>
      </c>
      <c r="AW1060">
        <v>0</v>
      </c>
      <c r="AX1060" s="24">
        <f t="shared" si="105"/>
        <v>1</v>
      </c>
      <c r="AY1060" s="24" t="str">
        <f t="shared" si="105"/>
        <v/>
      </c>
      <c r="AZ1060" s="24" t="str">
        <f t="shared" si="111"/>
        <v/>
      </c>
      <c r="BA1060" s="24" t="str">
        <f t="shared" si="111"/>
        <v/>
      </c>
      <c r="BB1060" s="24" t="str">
        <f t="shared" si="111"/>
        <v/>
      </c>
      <c r="BC1060" s="24" t="str">
        <f t="shared" si="111"/>
        <v/>
      </c>
      <c r="BD1060" s="24" t="str">
        <f t="shared" si="111"/>
        <v/>
      </c>
      <c r="BE1060" s="24" t="str">
        <f t="shared" si="111"/>
        <v/>
      </c>
      <c r="BF1060" s="24" t="str">
        <f t="shared" si="111"/>
        <v/>
      </c>
      <c r="BG1060" s="24" t="str">
        <f t="shared" si="111"/>
        <v/>
      </c>
      <c r="BH1060" s="24" t="str">
        <f t="shared" si="108"/>
        <v/>
      </c>
      <c r="BI1060" s="24">
        <f t="shared" si="111"/>
        <v>1</v>
      </c>
      <c r="BJ1060" s="24" t="str">
        <f t="shared" si="110"/>
        <v/>
      </c>
    </row>
    <row r="1061" spans="1:62" ht="15" customHeight="1" x14ac:dyDescent="0.25">
      <c r="A1061" t="str">
        <f>"1942220223"</f>
        <v>1942220223</v>
      </c>
      <c r="B1061" t="str">
        <f>"01045812"</f>
        <v>01045812</v>
      </c>
      <c r="C1061" t="s">
        <v>6839</v>
      </c>
      <c r="D1061" t="s">
        <v>7129</v>
      </c>
      <c r="E1061" t="s">
        <v>6985</v>
      </c>
      <c r="G1061" t="s">
        <v>7184</v>
      </c>
      <c r="H1061" t="s">
        <v>2379</v>
      </c>
      <c r="J1061" t="s">
        <v>7185</v>
      </c>
      <c r="L1061" t="s">
        <v>120</v>
      </c>
      <c r="M1061" t="s">
        <v>108</v>
      </c>
      <c r="R1061" t="s">
        <v>6839</v>
      </c>
      <c r="W1061" t="s">
        <v>6985</v>
      </c>
      <c r="X1061" t="s">
        <v>2382</v>
      </c>
      <c r="Y1061" t="s">
        <v>979</v>
      </c>
      <c r="Z1061" t="s">
        <v>111</v>
      </c>
      <c r="AA1061" t="str">
        <f>"13760-3698"</f>
        <v>13760-3698</v>
      </c>
      <c r="AB1061" t="s">
        <v>123</v>
      </c>
      <c r="AC1061" t="s">
        <v>113</v>
      </c>
      <c r="AD1061" t="s">
        <v>108</v>
      </c>
      <c r="AE1061" t="s">
        <v>114</v>
      </c>
      <c r="AF1061" t="s">
        <v>115</v>
      </c>
      <c r="AG1061" t="s">
        <v>116</v>
      </c>
      <c r="AK1061" t="str">
        <f t="shared" si="107"/>
        <v>PERRY JOHN</v>
      </c>
      <c r="AL1061" t="s">
        <v>7129</v>
      </c>
      <c r="AM1061" t="s">
        <v>108</v>
      </c>
      <c r="AN1061" t="s">
        <v>108</v>
      </c>
      <c r="AO1061" t="s">
        <v>108</v>
      </c>
      <c r="AP1061" t="s">
        <v>108</v>
      </c>
      <c r="AQ1061" t="s">
        <v>108</v>
      </c>
      <c r="AR1061" t="s">
        <v>108</v>
      </c>
      <c r="AS1061" t="s">
        <v>108</v>
      </c>
      <c r="AT1061" t="s">
        <v>108</v>
      </c>
      <c r="AU1061" t="s">
        <v>108</v>
      </c>
      <c r="AV1061" t="s">
        <v>108</v>
      </c>
      <c r="AW1061" t="s">
        <v>108</v>
      </c>
      <c r="AX1061" s="24">
        <f t="shared" si="105"/>
        <v>1</v>
      </c>
      <c r="AY1061" s="24" t="str">
        <f t="shared" si="105"/>
        <v/>
      </c>
      <c r="AZ1061" s="24" t="str">
        <f t="shared" si="111"/>
        <v/>
      </c>
      <c r="BA1061" s="24" t="str">
        <f t="shared" si="111"/>
        <v/>
      </c>
      <c r="BB1061" s="24" t="str">
        <f t="shared" si="111"/>
        <v/>
      </c>
      <c r="BC1061" s="24" t="str">
        <f t="shared" si="111"/>
        <v/>
      </c>
      <c r="BD1061" s="24" t="str">
        <f t="shared" si="111"/>
        <v/>
      </c>
      <c r="BE1061" s="24" t="str">
        <f t="shared" si="111"/>
        <v/>
      </c>
      <c r="BF1061" s="24" t="str">
        <f t="shared" si="111"/>
        <v/>
      </c>
      <c r="BG1061" s="24" t="str">
        <f t="shared" si="111"/>
        <v/>
      </c>
      <c r="BH1061" s="24" t="str">
        <f t="shared" si="108"/>
        <v/>
      </c>
      <c r="BI1061" s="24">
        <f t="shared" si="111"/>
        <v>1</v>
      </c>
      <c r="BJ1061" s="24" t="str">
        <f t="shared" si="110"/>
        <v/>
      </c>
    </row>
    <row r="1062" spans="1:62" ht="15" customHeight="1" x14ac:dyDescent="0.25">
      <c r="A1062" t="str">
        <f>"1780655118"</f>
        <v>1780655118</v>
      </c>
      <c r="B1062" t="str">
        <f>"00904370"</f>
        <v>00904370</v>
      </c>
      <c r="C1062" t="s">
        <v>4518</v>
      </c>
      <c r="D1062" t="s">
        <v>4519</v>
      </c>
      <c r="E1062" t="s">
        <v>4520</v>
      </c>
      <c r="G1062" t="s">
        <v>1502</v>
      </c>
      <c r="H1062" t="s">
        <v>1503</v>
      </c>
      <c r="J1062" t="s">
        <v>4521</v>
      </c>
      <c r="L1062" t="s">
        <v>138</v>
      </c>
      <c r="M1062" t="s">
        <v>108</v>
      </c>
      <c r="R1062" t="s">
        <v>4522</v>
      </c>
      <c r="W1062" t="s">
        <v>4520</v>
      </c>
      <c r="X1062" t="s">
        <v>4523</v>
      </c>
      <c r="Y1062" t="s">
        <v>293</v>
      </c>
      <c r="Z1062" t="s">
        <v>111</v>
      </c>
      <c r="AA1062" t="str">
        <f>"14850-1345"</f>
        <v>14850-1345</v>
      </c>
      <c r="AB1062" t="s">
        <v>123</v>
      </c>
      <c r="AC1062" t="s">
        <v>113</v>
      </c>
      <c r="AD1062" t="s">
        <v>108</v>
      </c>
      <c r="AE1062" t="s">
        <v>114</v>
      </c>
      <c r="AF1062" t="s">
        <v>142</v>
      </c>
      <c r="AG1062" t="s">
        <v>116</v>
      </c>
      <c r="AK1062" t="str">
        <f t="shared" si="107"/>
        <v/>
      </c>
      <c r="AL1062" t="s">
        <v>4519</v>
      </c>
      <c r="AM1062">
        <v>1</v>
      </c>
      <c r="AN1062">
        <v>1</v>
      </c>
      <c r="AO1062">
        <v>0</v>
      </c>
      <c r="AP1062">
        <v>0</v>
      </c>
      <c r="AQ1062">
        <v>0</v>
      </c>
      <c r="AR1062">
        <v>0</v>
      </c>
      <c r="AS1062">
        <v>0</v>
      </c>
      <c r="AT1062">
        <v>0</v>
      </c>
      <c r="AU1062">
        <v>0</v>
      </c>
      <c r="AV1062">
        <v>0</v>
      </c>
      <c r="AW1062">
        <v>0</v>
      </c>
      <c r="AX1062" s="24" t="str">
        <f t="shared" si="105"/>
        <v/>
      </c>
      <c r="AY1062" s="24">
        <f t="shared" si="105"/>
        <v>1</v>
      </c>
      <c r="AZ1062" s="24" t="str">
        <f t="shared" si="111"/>
        <v/>
      </c>
      <c r="BA1062" s="24" t="str">
        <f t="shared" si="111"/>
        <v/>
      </c>
      <c r="BB1062" s="24" t="str">
        <f t="shared" si="111"/>
        <v/>
      </c>
      <c r="BC1062" s="24" t="str">
        <f t="shared" si="111"/>
        <v/>
      </c>
      <c r="BD1062" s="24" t="str">
        <f t="shared" si="111"/>
        <v/>
      </c>
      <c r="BE1062" s="24" t="str">
        <f t="shared" si="111"/>
        <v/>
      </c>
      <c r="BF1062" s="24" t="str">
        <f t="shared" si="111"/>
        <v/>
      </c>
      <c r="BG1062" s="24" t="str">
        <f t="shared" si="111"/>
        <v/>
      </c>
      <c r="BH1062" s="24" t="str">
        <f t="shared" si="108"/>
        <v/>
      </c>
      <c r="BI1062" s="24">
        <f t="shared" si="111"/>
        <v>1</v>
      </c>
      <c r="BJ1062" s="24" t="str">
        <f t="shared" si="110"/>
        <v/>
      </c>
    </row>
    <row r="1063" spans="1:62" ht="15" customHeight="1" x14ac:dyDescent="0.25">
      <c r="A1063" t="str">
        <f>"1275518839"</f>
        <v>1275518839</v>
      </c>
      <c r="B1063" t="str">
        <f>"01314507"</f>
        <v>01314507</v>
      </c>
      <c r="C1063" t="s">
        <v>5584</v>
      </c>
      <c r="D1063" t="s">
        <v>5585</v>
      </c>
      <c r="E1063" t="s">
        <v>5586</v>
      </c>
      <c r="G1063" t="s">
        <v>5587</v>
      </c>
      <c r="H1063" t="s">
        <v>5588</v>
      </c>
      <c r="J1063" t="s">
        <v>5589</v>
      </c>
      <c r="L1063" t="s">
        <v>120</v>
      </c>
      <c r="M1063" t="s">
        <v>108</v>
      </c>
      <c r="R1063" t="s">
        <v>5590</v>
      </c>
      <c r="W1063" t="s">
        <v>5591</v>
      </c>
      <c r="X1063" t="s">
        <v>5592</v>
      </c>
      <c r="Y1063" t="s">
        <v>1744</v>
      </c>
      <c r="Z1063" t="s">
        <v>111</v>
      </c>
      <c r="AA1063" t="str">
        <f>"13073-1237"</f>
        <v>13073-1237</v>
      </c>
      <c r="AB1063" t="s">
        <v>123</v>
      </c>
      <c r="AC1063" t="s">
        <v>113</v>
      </c>
      <c r="AD1063" t="s">
        <v>108</v>
      </c>
      <c r="AE1063" t="s">
        <v>114</v>
      </c>
      <c r="AF1063" t="s">
        <v>142</v>
      </c>
      <c r="AG1063" t="s">
        <v>116</v>
      </c>
      <c r="AK1063" t="str">
        <f t="shared" si="107"/>
        <v/>
      </c>
      <c r="AL1063" t="s">
        <v>5585</v>
      </c>
      <c r="AM1063">
        <v>1</v>
      </c>
      <c r="AN1063">
        <v>1</v>
      </c>
      <c r="AO1063">
        <v>0</v>
      </c>
      <c r="AP1063">
        <v>0</v>
      </c>
      <c r="AQ1063">
        <v>0</v>
      </c>
      <c r="AR1063">
        <v>0</v>
      </c>
      <c r="AS1063">
        <v>0</v>
      </c>
      <c r="AT1063">
        <v>0</v>
      </c>
      <c r="AU1063">
        <v>0</v>
      </c>
      <c r="AV1063">
        <v>0</v>
      </c>
      <c r="AW1063">
        <v>0</v>
      </c>
      <c r="AX1063" s="24">
        <f t="shared" si="105"/>
        <v>1</v>
      </c>
      <c r="AY1063" s="24" t="str">
        <f t="shared" si="105"/>
        <v/>
      </c>
      <c r="AZ1063" s="24" t="str">
        <f t="shared" si="111"/>
        <v/>
      </c>
      <c r="BA1063" s="24" t="str">
        <f t="shared" si="111"/>
        <v/>
      </c>
      <c r="BB1063" s="24" t="str">
        <f t="shared" si="111"/>
        <v/>
      </c>
      <c r="BC1063" s="24" t="str">
        <f t="shared" si="111"/>
        <v/>
      </c>
      <c r="BD1063" s="24" t="str">
        <f t="shared" si="111"/>
        <v/>
      </c>
      <c r="BE1063" s="24" t="str">
        <f t="shared" si="111"/>
        <v/>
      </c>
      <c r="BF1063" s="24" t="str">
        <f t="shared" si="111"/>
        <v/>
      </c>
      <c r="BG1063" s="24" t="str">
        <f t="shared" si="111"/>
        <v/>
      </c>
      <c r="BH1063" s="24" t="str">
        <f t="shared" si="108"/>
        <v/>
      </c>
      <c r="BI1063" s="24">
        <f t="shared" si="111"/>
        <v>1</v>
      </c>
      <c r="BJ1063" s="24" t="str">
        <f t="shared" si="110"/>
        <v/>
      </c>
    </row>
    <row r="1064" spans="1:62" ht="15" customHeight="1" x14ac:dyDescent="0.25">
      <c r="A1064" t="str">
        <f>"1538256136"</f>
        <v>1538256136</v>
      </c>
      <c r="B1064" t="str">
        <f>"01935639"</f>
        <v>01935639</v>
      </c>
      <c r="C1064" t="s">
        <v>6101</v>
      </c>
      <c r="D1064" t="s">
        <v>6102</v>
      </c>
      <c r="E1064" t="s">
        <v>6103</v>
      </c>
      <c r="G1064" t="s">
        <v>815</v>
      </c>
      <c r="H1064" t="s">
        <v>816</v>
      </c>
      <c r="J1064" t="s">
        <v>817</v>
      </c>
      <c r="L1064" t="s">
        <v>138</v>
      </c>
      <c r="M1064" t="s">
        <v>108</v>
      </c>
      <c r="R1064" t="s">
        <v>6104</v>
      </c>
      <c r="W1064" t="s">
        <v>6105</v>
      </c>
      <c r="X1064" t="s">
        <v>6106</v>
      </c>
      <c r="Y1064" t="s">
        <v>110</v>
      </c>
      <c r="Z1064" t="s">
        <v>111</v>
      </c>
      <c r="AA1064" t="str">
        <f>"13905-4246"</f>
        <v>13905-4246</v>
      </c>
      <c r="AB1064" t="s">
        <v>123</v>
      </c>
      <c r="AC1064" t="s">
        <v>113</v>
      </c>
      <c r="AD1064" t="s">
        <v>108</v>
      </c>
      <c r="AE1064" t="s">
        <v>114</v>
      </c>
      <c r="AF1064" t="s">
        <v>115</v>
      </c>
      <c r="AG1064" t="s">
        <v>116</v>
      </c>
      <c r="AK1064" t="str">
        <f t="shared" si="107"/>
        <v>Peter E. Lethin, MD, FACS</v>
      </c>
      <c r="AL1064" t="s">
        <v>6102</v>
      </c>
      <c r="AM1064" t="s">
        <v>108</v>
      </c>
      <c r="AN1064" t="s">
        <v>108</v>
      </c>
      <c r="AO1064" t="s">
        <v>108</v>
      </c>
      <c r="AP1064" t="s">
        <v>108</v>
      </c>
      <c r="AQ1064" t="s">
        <v>108</v>
      </c>
      <c r="AR1064" t="s">
        <v>108</v>
      </c>
      <c r="AS1064" t="s">
        <v>108</v>
      </c>
      <c r="AT1064" t="s">
        <v>108</v>
      </c>
      <c r="AU1064" t="s">
        <v>108</v>
      </c>
      <c r="AV1064" t="s">
        <v>108</v>
      </c>
      <c r="AW1064" t="s">
        <v>108</v>
      </c>
      <c r="AX1064" s="24" t="str">
        <f t="shared" ref="AX1064:AY1127" si="112">IF(ISERROR(FIND(AX$1,$L1064,1)),"",1)</f>
        <v/>
      </c>
      <c r="AY1064" s="24">
        <f t="shared" si="112"/>
        <v>1</v>
      </c>
      <c r="AZ1064" s="24" t="str">
        <f t="shared" si="111"/>
        <v/>
      </c>
      <c r="BA1064" s="24" t="str">
        <f t="shared" si="111"/>
        <v/>
      </c>
      <c r="BB1064" s="24" t="str">
        <f t="shared" si="111"/>
        <v/>
      </c>
      <c r="BC1064" s="24" t="str">
        <f t="shared" si="111"/>
        <v/>
      </c>
      <c r="BD1064" s="24" t="str">
        <f t="shared" si="111"/>
        <v/>
      </c>
      <c r="BE1064" s="24" t="str">
        <f t="shared" si="111"/>
        <v/>
      </c>
      <c r="BF1064" s="24" t="str">
        <f t="shared" si="111"/>
        <v/>
      </c>
      <c r="BG1064" s="24" t="str">
        <f t="shared" si="111"/>
        <v/>
      </c>
      <c r="BH1064" s="24" t="str">
        <f t="shared" si="108"/>
        <v/>
      </c>
      <c r="BI1064" s="24">
        <f t="shared" si="111"/>
        <v>1</v>
      </c>
      <c r="BJ1064" s="24" t="str">
        <f t="shared" si="110"/>
        <v/>
      </c>
    </row>
    <row r="1065" spans="1:62" ht="15" customHeight="1" x14ac:dyDescent="0.25">
      <c r="A1065" t="str">
        <f>"1811943335"</f>
        <v>1811943335</v>
      </c>
      <c r="B1065" t="str">
        <f>"02910474"</f>
        <v>02910474</v>
      </c>
      <c r="C1065" t="s">
        <v>2622</v>
      </c>
      <c r="D1065" t="s">
        <v>2623</v>
      </c>
      <c r="E1065" t="s">
        <v>2624</v>
      </c>
      <c r="G1065" t="s">
        <v>2625</v>
      </c>
      <c r="H1065" t="s">
        <v>2626</v>
      </c>
      <c r="J1065" t="s">
        <v>2627</v>
      </c>
      <c r="L1065" t="s">
        <v>6868</v>
      </c>
      <c r="M1065" t="s">
        <v>108</v>
      </c>
      <c r="R1065" t="s">
        <v>2628</v>
      </c>
      <c r="W1065" t="s">
        <v>2624</v>
      </c>
      <c r="X1065" t="s">
        <v>302</v>
      </c>
      <c r="Y1065" t="s">
        <v>293</v>
      </c>
      <c r="Z1065" t="s">
        <v>111</v>
      </c>
      <c r="AA1065" t="str">
        <f>"14850-1342"</f>
        <v>14850-1342</v>
      </c>
      <c r="AB1065" t="s">
        <v>123</v>
      </c>
      <c r="AC1065" t="s">
        <v>113</v>
      </c>
      <c r="AD1065" t="s">
        <v>108</v>
      </c>
      <c r="AE1065" t="s">
        <v>114</v>
      </c>
      <c r="AF1065" t="s">
        <v>142</v>
      </c>
      <c r="AG1065" t="s">
        <v>116</v>
      </c>
      <c r="AK1065" t="str">
        <f t="shared" si="107"/>
        <v/>
      </c>
      <c r="AL1065" t="s">
        <v>2623</v>
      </c>
      <c r="AM1065">
        <v>0</v>
      </c>
      <c r="AN1065">
        <v>0</v>
      </c>
      <c r="AO1065">
        <v>0</v>
      </c>
      <c r="AP1065">
        <v>0</v>
      </c>
      <c r="AQ1065">
        <v>0</v>
      </c>
      <c r="AR1065">
        <v>0</v>
      </c>
      <c r="AS1065">
        <v>0</v>
      </c>
      <c r="AT1065">
        <v>0</v>
      </c>
      <c r="AU1065">
        <v>0</v>
      </c>
      <c r="AV1065">
        <v>0</v>
      </c>
      <c r="AW1065">
        <v>0</v>
      </c>
      <c r="AX1065" s="24">
        <f t="shared" si="112"/>
        <v>1</v>
      </c>
      <c r="AY1065" s="24">
        <f t="shared" si="112"/>
        <v>1</v>
      </c>
      <c r="AZ1065" s="24" t="str">
        <f t="shared" si="111"/>
        <v/>
      </c>
      <c r="BA1065" s="24" t="str">
        <f t="shared" si="111"/>
        <v/>
      </c>
      <c r="BB1065" s="24" t="str">
        <f t="shared" si="111"/>
        <v/>
      </c>
      <c r="BC1065" s="24" t="str">
        <f t="shared" si="111"/>
        <v/>
      </c>
      <c r="BD1065" s="24" t="str">
        <f t="shared" si="111"/>
        <v/>
      </c>
      <c r="BE1065" s="24" t="str">
        <f t="shared" si="111"/>
        <v/>
      </c>
      <c r="BF1065" s="24" t="str">
        <f t="shared" si="111"/>
        <v/>
      </c>
      <c r="BG1065" s="24" t="str">
        <f t="shared" si="111"/>
        <v/>
      </c>
      <c r="BH1065" s="24" t="str">
        <f t="shared" si="108"/>
        <v/>
      </c>
      <c r="BI1065" s="24" t="str">
        <f t="shared" si="111"/>
        <v/>
      </c>
      <c r="BJ1065" s="24" t="str">
        <f t="shared" si="110"/>
        <v/>
      </c>
    </row>
    <row r="1066" spans="1:62" ht="15" customHeight="1" x14ac:dyDescent="0.25">
      <c r="A1066" t="str">
        <f>"1538154810"</f>
        <v>1538154810</v>
      </c>
      <c r="B1066" t="str">
        <f>"01936552"</f>
        <v>01936552</v>
      </c>
      <c r="C1066" t="s">
        <v>1217</v>
      </c>
      <c r="D1066" t="s">
        <v>1218</v>
      </c>
      <c r="E1066" t="s">
        <v>1219</v>
      </c>
      <c r="G1066" t="s">
        <v>1217</v>
      </c>
      <c r="H1066" t="s">
        <v>467</v>
      </c>
      <c r="J1066" t="s">
        <v>1220</v>
      </c>
      <c r="L1066" t="s">
        <v>138</v>
      </c>
      <c r="M1066" t="s">
        <v>108</v>
      </c>
      <c r="R1066" t="s">
        <v>1219</v>
      </c>
      <c r="W1066" t="s">
        <v>1219</v>
      </c>
      <c r="X1066" t="s">
        <v>1219</v>
      </c>
      <c r="Y1066" t="s">
        <v>321</v>
      </c>
      <c r="Z1066" t="s">
        <v>111</v>
      </c>
      <c r="AA1066" t="str">
        <f>"13760-5430"</f>
        <v>13760-5430</v>
      </c>
      <c r="AB1066" t="s">
        <v>123</v>
      </c>
      <c r="AC1066" t="s">
        <v>113</v>
      </c>
      <c r="AD1066" t="s">
        <v>108</v>
      </c>
      <c r="AE1066" t="s">
        <v>114</v>
      </c>
      <c r="AF1066" t="s">
        <v>115</v>
      </c>
      <c r="AG1066" t="s">
        <v>116</v>
      </c>
      <c r="AK1066" t="str">
        <f t="shared" si="107"/>
        <v/>
      </c>
      <c r="AL1066" t="s">
        <v>1218</v>
      </c>
      <c r="AM1066">
        <v>0</v>
      </c>
      <c r="AN1066">
        <v>0</v>
      </c>
      <c r="AO1066">
        <v>0</v>
      </c>
      <c r="AP1066">
        <v>0</v>
      </c>
      <c r="AQ1066">
        <v>0</v>
      </c>
      <c r="AR1066">
        <v>0</v>
      </c>
      <c r="AS1066">
        <v>0</v>
      </c>
      <c r="AT1066">
        <v>0</v>
      </c>
      <c r="AU1066">
        <v>0</v>
      </c>
      <c r="AV1066">
        <v>0</v>
      </c>
      <c r="AW1066">
        <v>0</v>
      </c>
      <c r="AX1066" s="24" t="str">
        <f t="shared" si="112"/>
        <v/>
      </c>
      <c r="AY1066" s="24">
        <f t="shared" si="112"/>
        <v>1</v>
      </c>
      <c r="AZ1066" s="24" t="str">
        <f t="shared" si="111"/>
        <v/>
      </c>
      <c r="BA1066" s="24" t="str">
        <f t="shared" si="111"/>
        <v/>
      </c>
      <c r="BB1066" s="24" t="str">
        <f t="shared" si="111"/>
        <v/>
      </c>
      <c r="BC1066" s="24" t="str">
        <f t="shared" si="111"/>
        <v/>
      </c>
      <c r="BD1066" s="24" t="str">
        <f t="shared" si="111"/>
        <v/>
      </c>
      <c r="BE1066" s="24" t="str">
        <f t="shared" si="111"/>
        <v/>
      </c>
      <c r="BF1066" s="24" t="str">
        <f t="shared" si="111"/>
        <v/>
      </c>
      <c r="BG1066" s="24" t="str">
        <f t="shared" si="111"/>
        <v/>
      </c>
      <c r="BH1066" s="24" t="str">
        <f t="shared" si="108"/>
        <v/>
      </c>
      <c r="BI1066" s="24">
        <f t="shared" si="111"/>
        <v>1</v>
      </c>
      <c r="BJ1066" s="24" t="str">
        <f t="shared" si="110"/>
        <v/>
      </c>
    </row>
    <row r="1067" spans="1:62" ht="15" customHeight="1" x14ac:dyDescent="0.25">
      <c r="A1067" t="str">
        <f>"1154371425"</f>
        <v>1154371425</v>
      </c>
      <c r="B1067" t="str">
        <f>"01679547"</f>
        <v>01679547</v>
      </c>
      <c r="C1067" t="s">
        <v>584</v>
      </c>
      <c r="D1067" t="s">
        <v>585</v>
      </c>
      <c r="E1067" t="s">
        <v>586</v>
      </c>
      <c r="G1067" t="s">
        <v>587</v>
      </c>
      <c r="H1067" t="s">
        <v>588</v>
      </c>
      <c r="J1067" t="s">
        <v>589</v>
      </c>
      <c r="L1067" t="s">
        <v>138</v>
      </c>
      <c r="M1067" t="s">
        <v>108</v>
      </c>
      <c r="R1067" t="s">
        <v>590</v>
      </c>
      <c r="W1067" t="s">
        <v>586</v>
      </c>
      <c r="X1067" t="s">
        <v>591</v>
      </c>
      <c r="Y1067" t="s">
        <v>592</v>
      </c>
      <c r="Z1067" t="s">
        <v>111</v>
      </c>
      <c r="AA1067" t="str">
        <f>"10451-5504"</f>
        <v>10451-5504</v>
      </c>
      <c r="AB1067" t="s">
        <v>123</v>
      </c>
      <c r="AC1067" t="s">
        <v>113</v>
      </c>
      <c r="AD1067" t="s">
        <v>108</v>
      </c>
      <c r="AE1067" t="s">
        <v>114</v>
      </c>
      <c r="AF1067" t="s">
        <v>142</v>
      </c>
      <c r="AG1067" t="s">
        <v>116</v>
      </c>
      <c r="AK1067" t="str">
        <f t="shared" si="107"/>
        <v/>
      </c>
      <c r="AL1067" t="s">
        <v>585</v>
      </c>
      <c r="AM1067">
        <v>0</v>
      </c>
      <c r="AN1067">
        <v>0</v>
      </c>
      <c r="AO1067">
        <v>0</v>
      </c>
      <c r="AP1067">
        <v>0</v>
      </c>
      <c r="AQ1067">
        <v>0</v>
      </c>
      <c r="AR1067">
        <v>0</v>
      </c>
      <c r="AS1067">
        <v>0</v>
      </c>
      <c r="AT1067">
        <v>0</v>
      </c>
      <c r="AU1067">
        <v>0</v>
      </c>
      <c r="AV1067">
        <v>0</v>
      </c>
      <c r="AW1067">
        <v>0</v>
      </c>
      <c r="AX1067" s="24" t="str">
        <f t="shared" si="112"/>
        <v/>
      </c>
      <c r="AY1067" s="24">
        <f t="shared" si="112"/>
        <v>1</v>
      </c>
      <c r="AZ1067" s="24" t="str">
        <f t="shared" si="111"/>
        <v/>
      </c>
      <c r="BA1067" s="24" t="str">
        <f t="shared" si="111"/>
        <v/>
      </c>
      <c r="BB1067" s="24" t="str">
        <f t="shared" si="111"/>
        <v/>
      </c>
      <c r="BC1067" s="24" t="str">
        <f t="shared" si="111"/>
        <v/>
      </c>
      <c r="BD1067" s="24" t="str">
        <f t="shared" si="111"/>
        <v/>
      </c>
      <c r="BE1067" s="24" t="str">
        <f t="shared" si="111"/>
        <v/>
      </c>
      <c r="BF1067" s="24" t="str">
        <f t="shared" si="111"/>
        <v/>
      </c>
      <c r="BG1067" s="24" t="str">
        <f t="shared" si="111"/>
        <v/>
      </c>
      <c r="BH1067" s="24" t="str">
        <f t="shared" si="108"/>
        <v/>
      </c>
      <c r="BI1067" s="24">
        <f t="shared" si="111"/>
        <v>1</v>
      </c>
      <c r="BJ1067" s="24" t="str">
        <f t="shared" si="110"/>
        <v/>
      </c>
    </row>
    <row r="1068" spans="1:62" ht="15" customHeight="1" x14ac:dyDescent="0.25">
      <c r="A1068" t="str">
        <f>"1417920398"</f>
        <v>1417920398</v>
      </c>
      <c r="B1068" t="str">
        <f>"01665145"</f>
        <v>01665145</v>
      </c>
      <c r="C1068" t="s">
        <v>5080</v>
      </c>
      <c r="D1068" t="s">
        <v>5081</v>
      </c>
      <c r="E1068" t="s">
        <v>5080</v>
      </c>
      <c r="G1068" t="s">
        <v>699</v>
      </c>
      <c r="H1068" t="s">
        <v>700</v>
      </c>
      <c r="J1068" t="s">
        <v>701</v>
      </c>
      <c r="L1068" t="s">
        <v>138</v>
      </c>
      <c r="M1068" t="s">
        <v>108</v>
      </c>
      <c r="R1068" t="s">
        <v>5082</v>
      </c>
      <c r="W1068" t="s">
        <v>5083</v>
      </c>
      <c r="X1068" t="s">
        <v>5084</v>
      </c>
      <c r="Y1068" t="s">
        <v>3992</v>
      </c>
      <c r="Z1068" t="s">
        <v>182</v>
      </c>
      <c r="AA1068" t="str">
        <f>"16901-1773"</f>
        <v>16901-1773</v>
      </c>
      <c r="AB1068" t="s">
        <v>123</v>
      </c>
      <c r="AC1068" t="s">
        <v>113</v>
      </c>
      <c r="AD1068" t="s">
        <v>108</v>
      </c>
      <c r="AE1068" t="s">
        <v>114</v>
      </c>
      <c r="AF1068" t="s">
        <v>149</v>
      </c>
      <c r="AG1068" t="s">
        <v>116</v>
      </c>
      <c r="AK1068" t="str">
        <f t="shared" si="107"/>
        <v/>
      </c>
      <c r="AL1068" t="s">
        <v>5081</v>
      </c>
      <c r="AM1068">
        <v>1</v>
      </c>
      <c r="AN1068">
        <v>1</v>
      </c>
      <c r="AO1068">
        <v>0</v>
      </c>
      <c r="AP1068">
        <v>0</v>
      </c>
      <c r="AQ1068">
        <v>0</v>
      </c>
      <c r="AR1068">
        <v>0</v>
      </c>
      <c r="AS1068">
        <v>0</v>
      </c>
      <c r="AT1068">
        <v>0</v>
      </c>
      <c r="AU1068">
        <v>0</v>
      </c>
      <c r="AV1068">
        <v>1</v>
      </c>
      <c r="AW1068">
        <v>0</v>
      </c>
      <c r="AX1068" s="24" t="str">
        <f t="shared" si="112"/>
        <v/>
      </c>
      <c r="AY1068" s="24">
        <f t="shared" si="112"/>
        <v>1</v>
      </c>
      <c r="AZ1068" s="24" t="str">
        <f t="shared" si="111"/>
        <v/>
      </c>
      <c r="BA1068" s="24" t="str">
        <f t="shared" si="111"/>
        <v/>
      </c>
      <c r="BB1068" s="24" t="str">
        <f t="shared" si="111"/>
        <v/>
      </c>
      <c r="BC1068" s="24" t="str">
        <f t="shared" si="111"/>
        <v/>
      </c>
      <c r="BD1068" s="24" t="str">
        <f t="shared" si="111"/>
        <v/>
      </c>
      <c r="BE1068" s="24" t="str">
        <f t="shared" si="111"/>
        <v/>
      </c>
      <c r="BF1068" s="24" t="str">
        <f t="shared" si="111"/>
        <v/>
      </c>
      <c r="BG1068" s="24" t="str">
        <f t="shared" si="111"/>
        <v/>
      </c>
      <c r="BH1068" s="24" t="str">
        <f t="shared" si="108"/>
        <v/>
      </c>
      <c r="BI1068" s="24">
        <f t="shared" si="111"/>
        <v>1</v>
      </c>
      <c r="BJ1068" s="24" t="str">
        <f t="shared" si="110"/>
        <v/>
      </c>
    </row>
    <row r="1069" spans="1:62" ht="15" customHeight="1" x14ac:dyDescent="0.25">
      <c r="A1069" t="str">
        <f>"1225028285"</f>
        <v>1225028285</v>
      </c>
      <c r="B1069" t="str">
        <f>"03479930"</f>
        <v>03479930</v>
      </c>
      <c r="C1069" t="s">
        <v>3199</v>
      </c>
      <c r="D1069" t="s">
        <v>3200</v>
      </c>
      <c r="E1069" t="s">
        <v>3201</v>
      </c>
      <c r="G1069" t="s">
        <v>3174</v>
      </c>
      <c r="H1069" t="s">
        <v>3175</v>
      </c>
      <c r="J1069" t="s">
        <v>3202</v>
      </c>
      <c r="L1069" t="s">
        <v>138</v>
      </c>
      <c r="M1069" t="s">
        <v>108</v>
      </c>
      <c r="R1069" t="s">
        <v>3203</v>
      </c>
      <c r="W1069" t="s">
        <v>3201</v>
      </c>
      <c r="X1069" t="s">
        <v>3178</v>
      </c>
      <c r="Y1069" t="s">
        <v>293</v>
      </c>
      <c r="Z1069" t="s">
        <v>111</v>
      </c>
      <c r="AA1069" t="str">
        <f>"14850-1869"</f>
        <v>14850-1869</v>
      </c>
      <c r="AB1069" t="s">
        <v>123</v>
      </c>
      <c r="AC1069" t="s">
        <v>113</v>
      </c>
      <c r="AD1069" t="s">
        <v>108</v>
      </c>
      <c r="AE1069" t="s">
        <v>114</v>
      </c>
      <c r="AF1069" t="s">
        <v>142</v>
      </c>
      <c r="AG1069" t="s">
        <v>116</v>
      </c>
      <c r="AK1069" t="str">
        <f t="shared" si="107"/>
        <v/>
      </c>
      <c r="AL1069" t="s">
        <v>3200</v>
      </c>
      <c r="AM1069">
        <v>1</v>
      </c>
      <c r="AN1069">
        <v>1</v>
      </c>
      <c r="AO1069">
        <v>0</v>
      </c>
      <c r="AP1069">
        <v>0</v>
      </c>
      <c r="AQ1069">
        <v>0</v>
      </c>
      <c r="AR1069">
        <v>0</v>
      </c>
      <c r="AS1069">
        <v>0</v>
      </c>
      <c r="AT1069">
        <v>0</v>
      </c>
      <c r="AU1069">
        <v>0</v>
      </c>
      <c r="AV1069">
        <v>0</v>
      </c>
      <c r="AW1069">
        <v>0</v>
      </c>
      <c r="AX1069" s="24" t="str">
        <f t="shared" si="112"/>
        <v/>
      </c>
      <c r="AY1069" s="24">
        <f t="shared" si="112"/>
        <v>1</v>
      </c>
      <c r="AZ1069" s="24" t="str">
        <f t="shared" si="111"/>
        <v/>
      </c>
      <c r="BA1069" s="24" t="str">
        <f t="shared" si="111"/>
        <v/>
      </c>
      <c r="BB1069" s="24" t="str">
        <f t="shared" si="111"/>
        <v/>
      </c>
      <c r="BC1069" s="24" t="str">
        <f t="shared" si="111"/>
        <v/>
      </c>
      <c r="BD1069" s="24" t="str">
        <f t="shared" si="111"/>
        <v/>
      </c>
      <c r="BE1069" s="24" t="str">
        <f t="shared" si="111"/>
        <v/>
      </c>
      <c r="BF1069" s="24" t="str">
        <f t="shared" si="111"/>
        <v/>
      </c>
      <c r="BG1069" s="24" t="str">
        <f t="shared" si="111"/>
        <v/>
      </c>
      <c r="BH1069" s="24" t="str">
        <f t="shared" si="108"/>
        <v/>
      </c>
      <c r="BI1069" s="24">
        <f t="shared" si="111"/>
        <v>1</v>
      </c>
      <c r="BJ1069" s="24" t="str">
        <f t="shared" si="110"/>
        <v/>
      </c>
    </row>
    <row r="1070" spans="1:62" ht="15" customHeight="1" x14ac:dyDescent="0.25">
      <c r="A1070" t="str">
        <f>"1386192318"</f>
        <v>1386192318</v>
      </c>
      <c r="B1070" t="str">
        <f>"04588309"</f>
        <v>04588309</v>
      </c>
      <c r="C1070" t="s">
        <v>6371</v>
      </c>
      <c r="D1070" t="s">
        <v>6372</v>
      </c>
      <c r="E1070" t="s">
        <v>6373</v>
      </c>
      <c r="G1070" t="s">
        <v>6330</v>
      </c>
      <c r="H1070" t="s">
        <v>6331</v>
      </c>
      <c r="J1070" t="s">
        <v>6332</v>
      </c>
      <c r="L1070" t="s">
        <v>247</v>
      </c>
      <c r="M1070" t="s">
        <v>108</v>
      </c>
      <c r="R1070" t="s">
        <v>6374</v>
      </c>
      <c r="W1070" t="s">
        <v>6373</v>
      </c>
      <c r="AB1070" t="s">
        <v>123</v>
      </c>
      <c r="AC1070" t="s">
        <v>113</v>
      </c>
      <c r="AD1070" t="s">
        <v>108</v>
      </c>
      <c r="AE1070" t="s">
        <v>114</v>
      </c>
      <c r="AF1070" t="s">
        <v>115</v>
      </c>
      <c r="AG1070" t="s">
        <v>116</v>
      </c>
      <c r="AK1070" t="str">
        <f t="shared" si="107"/>
        <v>Phelan Eric</v>
      </c>
      <c r="AL1070" t="s">
        <v>6372</v>
      </c>
      <c r="AM1070" t="s">
        <v>108</v>
      </c>
      <c r="AN1070" t="s">
        <v>108</v>
      </c>
      <c r="AO1070" t="s">
        <v>108</v>
      </c>
      <c r="AP1070" t="s">
        <v>108</v>
      </c>
      <c r="AQ1070" t="s">
        <v>108</v>
      </c>
      <c r="AR1070" t="s">
        <v>108</v>
      </c>
      <c r="AS1070" t="s">
        <v>108</v>
      </c>
      <c r="AT1070" t="s">
        <v>108</v>
      </c>
      <c r="AU1070" t="s">
        <v>108</v>
      </c>
      <c r="AV1070" t="s">
        <v>108</v>
      </c>
      <c r="AW1070" t="s">
        <v>108</v>
      </c>
      <c r="AX1070" s="24" t="str">
        <f t="shared" si="112"/>
        <v/>
      </c>
      <c r="AY1070" s="24">
        <f t="shared" si="112"/>
        <v>1</v>
      </c>
      <c r="AZ1070" s="24" t="str">
        <f t="shared" si="111"/>
        <v/>
      </c>
      <c r="BA1070" s="24" t="str">
        <f t="shared" si="111"/>
        <v/>
      </c>
      <c r="BB1070" s="24" t="str">
        <f t="shared" si="111"/>
        <v/>
      </c>
      <c r="BC1070" s="24" t="str">
        <f t="shared" si="111"/>
        <v/>
      </c>
      <c r="BD1070" s="24" t="str">
        <f t="shared" si="111"/>
        <v/>
      </c>
      <c r="BE1070" s="24" t="str">
        <f t="shared" si="111"/>
        <v/>
      </c>
      <c r="BF1070" s="24" t="str">
        <f t="shared" si="111"/>
        <v/>
      </c>
      <c r="BG1070" s="24" t="str">
        <f t="shared" si="111"/>
        <v/>
      </c>
      <c r="BH1070" s="24" t="str">
        <f t="shared" si="108"/>
        <v/>
      </c>
      <c r="BI1070" s="24" t="str">
        <f t="shared" si="111"/>
        <v/>
      </c>
      <c r="BJ1070" s="24" t="str">
        <f t="shared" si="110"/>
        <v/>
      </c>
    </row>
    <row r="1071" spans="1:62" ht="15" customHeight="1" x14ac:dyDescent="0.25">
      <c r="A1071" t="str">
        <f>"1669587119"</f>
        <v>1669587119</v>
      </c>
      <c r="B1071" t="str">
        <f>"00465178"</f>
        <v>00465178</v>
      </c>
      <c r="C1071" t="s">
        <v>3028</v>
      </c>
      <c r="D1071" t="s">
        <v>3029</v>
      </c>
      <c r="E1071" t="s">
        <v>3030</v>
      </c>
      <c r="G1071" t="s">
        <v>3018</v>
      </c>
      <c r="H1071" t="s">
        <v>3019</v>
      </c>
      <c r="J1071" t="s">
        <v>3031</v>
      </c>
      <c r="L1071" t="s">
        <v>247</v>
      </c>
      <c r="M1071" t="s">
        <v>108</v>
      </c>
      <c r="R1071" t="s">
        <v>3032</v>
      </c>
      <c r="W1071" t="s">
        <v>3033</v>
      </c>
      <c r="X1071" t="s">
        <v>3022</v>
      </c>
      <c r="Y1071" t="s">
        <v>293</v>
      </c>
      <c r="Z1071" t="s">
        <v>111</v>
      </c>
      <c r="AA1071" t="str">
        <f>"14850-1632"</f>
        <v>14850-1632</v>
      </c>
      <c r="AB1071" t="s">
        <v>123</v>
      </c>
      <c r="AC1071" t="s">
        <v>113</v>
      </c>
      <c r="AD1071" t="s">
        <v>108</v>
      </c>
      <c r="AE1071" t="s">
        <v>114</v>
      </c>
      <c r="AF1071" t="s">
        <v>142</v>
      </c>
      <c r="AG1071" t="s">
        <v>116</v>
      </c>
      <c r="AK1071" t="str">
        <f t="shared" si="107"/>
        <v/>
      </c>
      <c r="AL1071" t="s">
        <v>3029</v>
      </c>
      <c r="AM1071">
        <v>0</v>
      </c>
      <c r="AN1071">
        <v>0</v>
      </c>
      <c r="AO1071">
        <v>0</v>
      </c>
      <c r="AP1071">
        <v>0</v>
      </c>
      <c r="AQ1071">
        <v>0</v>
      </c>
      <c r="AR1071">
        <v>0</v>
      </c>
      <c r="AS1071">
        <v>0</v>
      </c>
      <c r="AT1071">
        <v>0</v>
      </c>
      <c r="AU1071">
        <v>0</v>
      </c>
      <c r="AV1071">
        <v>0</v>
      </c>
      <c r="AW1071">
        <v>0</v>
      </c>
      <c r="AX1071" s="24" t="str">
        <f t="shared" si="112"/>
        <v/>
      </c>
      <c r="AY1071" s="24">
        <f t="shared" si="112"/>
        <v>1</v>
      </c>
      <c r="AZ1071" s="24" t="str">
        <f t="shared" si="111"/>
        <v/>
      </c>
      <c r="BA1071" s="24" t="str">
        <f t="shared" si="111"/>
        <v/>
      </c>
      <c r="BB1071" s="24" t="str">
        <f t="shared" si="111"/>
        <v/>
      </c>
      <c r="BC1071" s="24" t="str">
        <f t="shared" si="111"/>
        <v/>
      </c>
      <c r="BD1071" s="24" t="str">
        <f t="shared" si="111"/>
        <v/>
      </c>
      <c r="BE1071" s="24" t="str">
        <f t="shared" si="111"/>
        <v/>
      </c>
      <c r="BF1071" s="24" t="str">
        <f t="shared" si="111"/>
        <v/>
      </c>
      <c r="BG1071" s="24" t="str">
        <f t="shared" si="111"/>
        <v/>
      </c>
      <c r="BH1071" s="24" t="str">
        <f t="shared" si="108"/>
        <v/>
      </c>
      <c r="BI1071" s="24" t="str">
        <f t="shared" si="111"/>
        <v/>
      </c>
      <c r="BJ1071" s="24" t="str">
        <f t="shared" si="110"/>
        <v/>
      </c>
    </row>
    <row r="1072" spans="1:62" ht="15" customHeight="1" x14ac:dyDescent="0.25">
      <c r="A1072" t="str">
        <f>"1255549598"</f>
        <v>1255549598</v>
      </c>
      <c r="B1072" t="str">
        <f>"03309051"</f>
        <v>03309051</v>
      </c>
      <c r="C1072" t="s">
        <v>432</v>
      </c>
      <c r="D1072" t="s">
        <v>433</v>
      </c>
      <c r="E1072" t="s">
        <v>434</v>
      </c>
      <c r="G1072" t="s">
        <v>229</v>
      </c>
      <c r="H1072" t="s">
        <v>230</v>
      </c>
      <c r="J1072" t="s">
        <v>231</v>
      </c>
      <c r="L1072" t="s">
        <v>247</v>
      </c>
      <c r="M1072" t="s">
        <v>108</v>
      </c>
      <c r="R1072" t="s">
        <v>435</v>
      </c>
      <c r="W1072" t="s">
        <v>436</v>
      </c>
      <c r="X1072" t="s">
        <v>238</v>
      </c>
      <c r="Y1072" t="s">
        <v>239</v>
      </c>
      <c r="Z1072" t="s">
        <v>111</v>
      </c>
      <c r="AA1072" t="str">
        <f>"13045-1206"</f>
        <v>13045-1206</v>
      </c>
      <c r="AB1072" t="s">
        <v>123</v>
      </c>
      <c r="AC1072" t="s">
        <v>113</v>
      </c>
      <c r="AD1072" t="s">
        <v>108</v>
      </c>
      <c r="AE1072" t="s">
        <v>114</v>
      </c>
      <c r="AF1072" t="s">
        <v>142</v>
      </c>
      <c r="AG1072" t="s">
        <v>116</v>
      </c>
      <c r="AK1072" t="str">
        <f t="shared" si="107"/>
        <v/>
      </c>
      <c r="AL1072" t="s">
        <v>433</v>
      </c>
      <c r="AM1072">
        <v>1</v>
      </c>
      <c r="AN1072">
        <v>1</v>
      </c>
      <c r="AO1072">
        <v>0</v>
      </c>
      <c r="AP1072">
        <v>0</v>
      </c>
      <c r="AQ1072">
        <v>1</v>
      </c>
      <c r="AR1072">
        <v>0</v>
      </c>
      <c r="AS1072">
        <v>0</v>
      </c>
      <c r="AT1072">
        <v>0</v>
      </c>
      <c r="AU1072">
        <v>0</v>
      </c>
      <c r="AV1072">
        <v>0</v>
      </c>
      <c r="AW1072">
        <v>0</v>
      </c>
      <c r="AX1072" s="24" t="str">
        <f t="shared" si="112"/>
        <v/>
      </c>
      <c r="AY1072" s="24">
        <f t="shared" si="112"/>
        <v>1</v>
      </c>
      <c r="AZ1072" s="24" t="str">
        <f t="shared" si="111"/>
        <v/>
      </c>
      <c r="BA1072" s="24" t="str">
        <f t="shared" si="111"/>
        <v/>
      </c>
      <c r="BB1072" s="24" t="str">
        <f t="shared" si="111"/>
        <v/>
      </c>
      <c r="BC1072" s="24" t="str">
        <f t="shared" si="111"/>
        <v/>
      </c>
      <c r="BD1072" s="24" t="str">
        <f t="shared" si="111"/>
        <v/>
      </c>
      <c r="BE1072" s="24" t="str">
        <f t="shared" si="111"/>
        <v/>
      </c>
      <c r="BF1072" s="24" t="str">
        <f t="shared" si="111"/>
        <v/>
      </c>
      <c r="BG1072" s="24" t="str">
        <f t="shared" si="111"/>
        <v/>
      </c>
      <c r="BH1072" s="24" t="str">
        <f t="shared" si="108"/>
        <v/>
      </c>
      <c r="BI1072" s="24" t="str">
        <f t="shared" si="111"/>
        <v/>
      </c>
      <c r="BJ1072" s="24" t="str">
        <f t="shared" si="110"/>
        <v/>
      </c>
    </row>
    <row r="1073" spans="1:62" ht="15" customHeight="1" x14ac:dyDescent="0.25">
      <c r="A1073" t="str">
        <f>"1639142391"</f>
        <v>1639142391</v>
      </c>
      <c r="B1073" t="str">
        <f>"01431630"</f>
        <v>01431630</v>
      </c>
      <c r="C1073" t="s">
        <v>5085</v>
      </c>
      <c r="D1073" t="s">
        <v>5086</v>
      </c>
      <c r="E1073" t="s">
        <v>5085</v>
      </c>
      <c r="G1073" t="s">
        <v>699</v>
      </c>
      <c r="H1073" t="s">
        <v>700</v>
      </c>
      <c r="J1073" t="s">
        <v>701</v>
      </c>
      <c r="L1073" t="s">
        <v>120</v>
      </c>
      <c r="M1073" t="s">
        <v>108</v>
      </c>
      <c r="R1073" t="s">
        <v>5087</v>
      </c>
      <c r="W1073" t="s">
        <v>5088</v>
      </c>
      <c r="X1073" t="s">
        <v>3988</v>
      </c>
      <c r="Y1073" t="s">
        <v>157</v>
      </c>
      <c r="Z1073" t="s">
        <v>111</v>
      </c>
      <c r="AA1073" t="str">
        <f>"14830-2287"</f>
        <v>14830-2287</v>
      </c>
      <c r="AB1073" t="s">
        <v>123</v>
      </c>
      <c r="AC1073" t="s">
        <v>113</v>
      </c>
      <c r="AD1073" t="s">
        <v>108</v>
      </c>
      <c r="AE1073" t="s">
        <v>114</v>
      </c>
      <c r="AF1073" t="s">
        <v>149</v>
      </c>
      <c r="AG1073" t="s">
        <v>116</v>
      </c>
      <c r="AK1073" t="str">
        <f t="shared" si="107"/>
        <v/>
      </c>
      <c r="AL1073" t="s">
        <v>5086</v>
      </c>
      <c r="AM1073">
        <v>0</v>
      </c>
      <c r="AN1073">
        <v>0</v>
      </c>
      <c r="AO1073">
        <v>0</v>
      </c>
      <c r="AP1073">
        <v>0</v>
      </c>
      <c r="AQ1073">
        <v>0</v>
      </c>
      <c r="AR1073">
        <v>0</v>
      </c>
      <c r="AS1073">
        <v>0</v>
      </c>
      <c r="AT1073">
        <v>0</v>
      </c>
      <c r="AU1073">
        <v>0</v>
      </c>
      <c r="AV1073">
        <v>0</v>
      </c>
      <c r="AW1073">
        <v>0</v>
      </c>
      <c r="AX1073" s="24">
        <f t="shared" si="112"/>
        <v>1</v>
      </c>
      <c r="AY1073" s="24" t="str">
        <f t="shared" si="112"/>
        <v/>
      </c>
      <c r="AZ1073" s="24" t="str">
        <f t="shared" si="111"/>
        <v/>
      </c>
      <c r="BA1073" s="24" t="str">
        <f t="shared" si="111"/>
        <v/>
      </c>
      <c r="BB1073" s="24" t="str">
        <f t="shared" si="111"/>
        <v/>
      </c>
      <c r="BC1073" s="24" t="str">
        <f t="shared" si="111"/>
        <v/>
      </c>
      <c r="BD1073" s="24" t="str">
        <f t="shared" si="111"/>
        <v/>
      </c>
      <c r="BE1073" s="24" t="str">
        <f t="shared" si="111"/>
        <v/>
      </c>
      <c r="BF1073" s="24" t="str">
        <f t="shared" si="111"/>
        <v/>
      </c>
      <c r="BG1073" s="24" t="str">
        <f t="shared" si="111"/>
        <v/>
      </c>
      <c r="BH1073" s="24" t="str">
        <f t="shared" si="108"/>
        <v/>
      </c>
      <c r="BI1073" s="24">
        <f t="shared" si="111"/>
        <v>1</v>
      </c>
      <c r="BJ1073" s="24" t="str">
        <f t="shared" si="110"/>
        <v/>
      </c>
    </row>
    <row r="1074" spans="1:62" x14ac:dyDescent="0.25">
      <c r="A1074" t="str">
        <f>"1134297153"</f>
        <v>1134297153</v>
      </c>
      <c r="B1074" t="str">
        <f>"02994250"</f>
        <v>02994250</v>
      </c>
      <c r="C1074" t="s">
        <v>3879</v>
      </c>
      <c r="D1074" t="s">
        <v>3880</v>
      </c>
      <c r="E1074" t="s">
        <v>3881</v>
      </c>
      <c r="G1074" t="s">
        <v>3882</v>
      </c>
      <c r="H1074" t="s">
        <v>3883</v>
      </c>
      <c r="J1074" t="s">
        <v>3884</v>
      </c>
      <c r="L1074" t="s">
        <v>6873</v>
      </c>
      <c r="M1074" t="s">
        <v>139</v>
      </c>
      <c r="R1074" t="s">
        <v>3885</v>
      </c>
      <c r="W1074" t="s">
        <v>3886</v>
      </c>
      <c r="X1074" t="s">
        <v>3887</v>
      </c>
      <c r="Y1074" t="s">
        <v>3888</v>
      </c>
      <c r="Z1074" t="s">
        <v>111</v>
      </c>
      <c r="AA1074" t="str">
        <f>"10588-0458"</f>
        <v>10588-0458</v>
      </c>
      <c r="AB1074" t="s">
        <v>385</v>
      </c>
      <c r="AC1074" t="s">
        <v>113</v>
      </c>
      <c r="AD1074" t="s">
        <v>108</v>
      </c>
      <c r="AE1074" t="s">
        <v>114</v>
      </c>
      <c r="AF1074" t="s">
        <v>115</v>
      </c>
      <c r="AG1074" t="s">
        <v>116</v>
      </c>
      <c r="AK1074" t="str">
        <f t="shared" si="107"/>
        <v/>
      </c>
      <c r="AL1074" t="s">
        <v>3880</v>
      </c>
      <c r="AM1074">
        <v>0</v>
      </c>
      <c r="AN1074">
        <v>0</v>
      </c>
      <c r="AO1074">
        <v>0</v>
      </c>
      <c r="AP1074">
        <v>0</v>
      </c>
      <c r="AQ1074">
        <v>0</v>
      </c>
      <c r="AR1074">
        <v>0</v>
      </c>
      <c r="AS1074">
        <v>0</v>
      </c>
      <c r="AT1074">
        <v>0</v>
      </c>
      <c r="AU1074">
        <v>0</v>
      </c>
      <c r="AV1074">
        <v>0</v>
      </c>
      <c r="AW1074">
        <v>0</v>
      </c>
      <c r="AX1074" s="24" t="str">
        <f t="shared" si="112"/>
        <v/>
      </c>
      <c r="AY1074" s="24" t="str">
        <f t="shared" si="112"/>
        <v/>
      </c>
      <c r="AZ1074" s="24" t="str">
        <f t="shared" si="111"/>
        <v/>
      </c>
      <c r="BA1074" s="24">
        <f t="shared" si="111"/>
        <v>1</v>
      </c>
      <c r="BB1074" s="24" t="str">
        <f t="shared" si="111"/>
        <v/>
      </c>
      <c r="BC1074" s="24" t="str">
        <f t="shared" si="111"/>
        <v/>
      </c>
      <c r="BD1074" s="24">
        <f t="shared" si="111"/>
        <v>1</v>
      </c>
      <c r="BE1074" s="24" t="str">
        <f t="shared" si="111"/>
        <v/>
      </c>
      <c r="BF1074" s="24" t="str">
        <f t="shared" si="111"/>
        <v/>
      </c>
      <c r="BG1074" s="24" t="str">
        <f t="shared" si="111"/>
        <v/>
      </c>
      <c r="BH1074" s="24" t="str">
        <f t="shared" si="108"/>
        <v/>
      </c>
      <c r="BI1074" s="24">
        <f t="shared" si="111"/>
        <v>1</v>
      </c>
      <c r="BJ1074" s="24" t="str">
        <f t="shared" si="110"/>
        <v/>
      </c>
    </row>
    <row r="1075" spans="1:62" ht="15" customHeight="1" x14ac:dyDescent="0.25">
      <c r="A1075" t="str">
        <f>"1295709970"</f>
        <v>1295709970</v>
      </c>
      <c r="B1075" t="str">
        <f>"01488893"</f>
        <v>01488893</v>
      </c>
      <c r="C1075" t="s">
        <v>5334</v>
      </c>
      <c r="D1075" t="s">
        <v>5335</v>
      </c>
      <c r="E1075" t="s">
        <v>5334</v>
      </c>
      <c r="G1075" t="s">
        <v>699</v>
      </c>
      <c r="H1075" t="s">
        <v>700</v>
      </c>
      <c r="J1075" t="s">
        <v>701</v>
      </c>
      <c r="L1075" t="s">
        <v>120</v>
      </c>
      <c r="M1075" t="s">
        <v>108</v>
      </c>
      <c r="R1075" t="s">
        <v>5336</v>
      </c>
      <c r="W1075" t="s">
        <v>5337</v>
      </c>
      <c r="X1075" t="s">
        <v>180</v>
      </c>
      <c r="Y1075" t="s">
        <v>181</v>
      </c>
      <c r="Z1075" t="s">
        <v>182</v>
      </c>
      <c r="AA1075" t="str">
        <f>"18840"</f>
        <v>18840</v>
      </c>
      <c r="AB1075" t="s">
        <v>123</v>
      </c>
      <c r="AC1075" t="s">
        <v>113</v>
      </c>
      <c r="AD1075" t="s">
        <v>108</v>
      </c>
      <c r="AE1075" t="s">
        <v>114</v>
      </c>
      <c r="AF1075" t="s">
        <v>115</v>
      </c>
      <c r="AG1075" t="s">
        <v>116</v>
      </c>
      <c r="AK1075" t="str">
        <f t="shared" si="107"/>
        <v/>
      </c>
      <c r="AL1075" t="s">
        <v>5335</v>
      </c>
      <c r="AM1075">
        <v>1</v>
      </c>
      <c r="AN1075">
        <v>1</v>
      </c>
      <c r="AO1075">
        <v>0</v>
      </c>
      <c r="AP1075">
        <v>0</v>
      </c>
      <c r="AQ1075">
        <v>0</v>
      </c>
      <c r="AR1075">
        <v>0</v>
      </c>
      <c r="AS1075">
        <v>0</v>
      </c>
      <c r="AT1075">
        <v>1</v>
      </c>
      <c r="AU1075">
        <v>1</v>
      </c>
      <c r="AV1075">
        <v>1</v>
      </c>
      <c r="AW1075">
        <v>0</v>
      </c>
      <c r="AX1075" s="24">
        <f t="shared" si="112"/>
        <v>1</v>
      </c>
      <c r="AY1075" s="24" t="str">
        <f t="shared" si="112"/>
        <v/>
      </c>
      <c r="AZ1075" s="24" t="str">
        <f t="shared" si="111"/>
        <v/>
      </c>
      <c r="BA1075" s="24" t="str">
        <f t="shared" si="111"/>
        <v/>
      </c>
      <c r="BB1075" s="24" t="str">
        <f t="shared" si="111"/>
        <v/>
      </c>
      <c r="BC1075" s="24" t="str">
        <f t="shared" si="111"/>
        <v/>
      </c>
      <c r="BD1075" s="24" t="str">
        <f t="shared" si="111"/>
        <v/>
      </c>
      <c r="BE1075" s="24" t="str">
        <f t="shared" si="111"/>
        <v/>
      </c>
      <c r="BF1075" s="24" t="str">
        <f t="shared" si="111"/>
        <v/>
      </c>
      <c r="BG1075" s="24" t="str">
        <f t="shared" si="111"/>
        <v/>
      </c>
      <c r="BH1075" s="24" t="str">
        <f t="shared" si="108"/>
        <v/>
      </c>
      <c r="BI1075" s="24">
        <f t="shared" si="111"/>
        <v>1</v>
      </c>
      <c r="BJ1075" s="24" t="str">
        <f t="shared" si="110"/>
        <v/>
      </c>
    </row>
    <row r="1076" spans="1:62" ht="15" customHeight="1" x14ac:dyDescent="0.25">
      <c r="A1076" t="str">
        <f>"1710057864"</f>
        <v>1710057864</v>
      </c>
      <c r="B1076" t="str">
        <f>"02722190"</f>
        <v>02722190</v>
      </c>
      <c r="C1076" t="s">
        <v>2460</v>
      </c>
      <c r="D1076" t="s">
        <v>2461</v>
      </c>
      <c r="E1076" t="s">
        <v>2462</v>
      </c>
      <c r="L1076" t="s">
        <v>120</v>
      </c>
      <c r="M1076" t="s">
        <v>139</v>
      </c>
      <c r="R1076" t="s">
        <v>2460</v>
      </c>
      <c r="W1076" t="s">
        <v>2462</v>
      </c>
      <c r="X1076" t="s">
        <v>2463</v>
      </c>
      <c r="Y1076" t="s">
        <v>966</v>
      </c>
      <c r="Z1076" t="s">
        <v>111</v>
      </c>
      <c r="AA1076" t="str">
        <f>"13850-3670"</f>
        <v>13850-3670</v>
      </c>
      <c r="AB1076" t="s">
        <v>123</v>
      </c>
      <c r="AC1076" t="s">
        <v>113</v>
      </c>
      <c r="AD1076" t="s">
        <v>108</v>
      </c>
      <c r="AE1076" t="s">
        <v>114</v>
      </c>
      <c r="AF1076" t="s">
        <v>115</v>
      </c>
      <c r="AG1076" t="s">
        <v>116</v>
      </c>
      <c r="AK1076" t="str">
        <f t="shared" si="107"/>
        <v/>
      </c>
      <c r="AL1076" t="s">
        <v>2461</v>
      </c>
      <c r="AM1076">
        <v>0</v>
      </c>
      <c r="AN1076">
        <v>0</v>
      </c>
      <c r="AO1076">
        <v>0</v>
      </c>
      <c r="AP1076">
        <v>0</v>
      </c>
      <c r="AQ1076">
        <v>0</v>
      </c>
      <c r="AR1076">
        <v>0</v>
      </c>
      <c r="AS1076">
        <v>0</v>
      </c>
      <c r="AT1076">
        <v>0</v>
      </c>
      <c r="AU1076">
        <v>0</v>
      </c>
      <c r="AV1076">
        <v>0</v>
      </c>
      <c r="AW1076">
        <v>0</v>
      </c>
      <c r="AX1076" s="24">
        <f t="shared" si="112"/>
        <v>1</v>
      </c>
      <c r="AY1076" s="24" t="str">
        <f t="shared" si="112"/>
        <v/>
      </c>
      <c r="AZ1076" s="24" t="str">
        <f t="shared" si="111"/>
        <v/>
      </c>
      <c r="BA1076" s="24" t="str">
        <f t="shared" si="111"/>
        <v/>
      </c>
      <c r="BB1076" s="24" t="str">
        <f t="shared" si="111"/>
        <v/>
      </c>
      <c r="BC1076" s="24" t="str">
        <f t="shared" si="111"/>
        <v/>
      </c>
      <c r="BD1076" s="24" t="str">
        <f t="shared" si="111"/>
        <v/>
      </c>
      <c r="BE1076" s="24" t="str">
        <f t="shared" si="111"/>
        <v/>
      </c>
      <c r="BF1076" s="24" t="str">
        <f t="shared" si="111"/>
        <v/>
      </c>
      <c r="BG1076" s="24" t="str">
        <f t="shared" si="111"/>
        <v/>
      </c>
      <c r="BH1076" s="24" t="str">
        <f t="shared" si="108"/>
        <v/>
      </c>
      <c r="BI1076" s="24">
        <f t="shared" si="111"/>
        <v>1</v>
      </c>
      <c r="BJ1076" s="24" t="str">
        <f t="shared" si="110"/>
        <v/>
      </c>
    </row>
    <row r="1077" spans="1:62" ht="15" customHeight="1" x14ac:dyDescent="0.25">
      <c r="A1077" t="str">
        <f>"1679559520"</f>
        <v>1679559520</v>
      </c>
      <c r="B1077" t="str">
        <f>"00353773"</f>
        <v>00353773</v>
      </c>
      <c r="C1077" t="s">
        <v>4659</v>
      </c>
      <c r="D1077" t="s">
        <v>4660</v>
      </c>
      <c r="E1077" t="s">
        <v>4661</v>
      </c>
      <c r="G1077" t="s">
        <v>4662</v>
      </c>
      <c r="H1077" t="s">
        <v>4663</v>
      </c>
      <c r="J1077" t="s">
        <v>4664</v>
      </c>
      <c r="L1077" t="s">
        <v>1382</v>
      </c>
      <c r="M1077" t="s">
        <v>139</v>
      </c>
      <c r="R1077" t="s">
        <v>4665</v>
      </c>
      <c r="W1077" t="s">
        <v>4661</v>
      </c>
      <c r="X1077" t="s">
        <v>4666</v>
      </c>
      <c r="Y1077" t="s">
        <v>281</v>
      </c>
      <c r="Z1077" t="s">
        <v>111</v>
      </c>
      <c r="AA1077" t="str">
        <f>"13827-1620"</f>
        <v>13827-1620</v>
      </c>
      <c r="AB1077" t="s">
        <v>312</v>
      </c>
      <c r="AC1077" t="s">
        <v>113</v>
      </c>
      <c r="AD1077" t="s">
        <v>108</v>
      </c>
      <c r="AE1077" t="s">
        <v>114</v>
      </c>
      <c r="AF1077" t="s">
        <v>115</v>
      </c>
      <c r="AG1077" t="s">
        <v>116</v>
      </c>
      <c r="AK1077" t="str">
        <f t="shared" si="107"/>
        <v/>
      </c>
      <c r="AL1077" t="s">
        <v>4660</v>
      </c>
      <c r="AM1077">
        <v>0</v>
      </c>
      <c r="AN1077">
        <v>0</v>
      </c>
      <c r="AO1077">
        <v>0</v>
      </c>
      <c r="AP1077">
        <v>0</v>
      </c>
      <c r="AQ1077">
        <v>0</v>
      </c>
      <c r="AR1077">
        <v>0</v>
      </c>
      <c r="AS1077">
        <v>0</v>
      </c>
      <c r="AT1077">
        <v>0</v>
      </c>
      <c r="AU1077">
        <v>0</v>
      </c>
      <c r="AV1077">
        <v>0</v>
      </c>
      <c r="AW1077">
        <v>0</v>
      </c>
      <c r="AX1077" s="24" t="str">
        <f t="shared" si="112"/>
        <v/>
      </c>
      <c r="AY1077" s="24" t="str">
        <f t="shared" si="112"/>
        <v/>
      </c>
      <c r="AZ1077" s="24" t="str">
        <f t="shared" si="111"/>
        <v/>
      </c>
      <c r="BA1077" s="24" t="str">
        <f t="shared" si="111"/>
        <v/>
      </c>
      <c r="BB1077" s="24" t="str">
        <f t="shared" si="111"/>
        <v/>
      </c>
      <c r="BC1077" s="24" t="str">
        <f t="shared" si="111"/>
        <v/>
      </c>
      <c r="BD1077" s="24" t="str">
        <f t="shared" si="111"/>
        <v/>
      </c>
      <c r="BE1077" s="24">
        <f t="shared" si="111"/>
        <v>1</v>
      </c>
      <c r="BF1077" s="24" t="str">
        <f t="shared" si="111"/>
        <v/>
      </c>
      <c r="BG1077" s="24" t="str">
        <f t="shared" si="111"/>
        <v/>
      </c>
      <c r="BH1077" s="24" t="str">
        <f t="shared" si="108"/>
        <v/>
      </c>
      <c r="BI1077" s="24">
        <f t="shared" si="111"/>
        <v>1</v>
      </c>
      <c r="BJ1077" s="24" t="str">
        <f t="shared" si="110"/>
        <v/>
      </c>
    </row>
    <row r="1078" spans="1:62" ht="15" customHeight="1" x14ac:dyDescent="0.25">
      <c r="A1078" t="str">
        <f>"1134311152"</f>
        <v>1134311152</v>
      </c>
      <c r="B1078" t="str">
        <f>"02940421"</f>
        <v>02940421</v>
      </c>
      <c r="C1078" t="s">
        <v>4471</v>
      </c>
      <c r="D1078" t="s">
        <v>4472</v>
      </c>
      <c r="E1078" t="s">
        <v>4473</v>
      </c>
      <c r="G1078" t="s">
        <v>4447</v>
      </c>
      <c r="H1078" t="s">
        <v>4448</v>
      </c>
      <c r="J1078" t="s">
        <v>4449</v>
      </c>
      <c r="L1078" t="s">
        <v>138</v>
      </c>
      <c r="M1078" t="s">
        <v>108</v>
      </c>
      <c r="R1078" t="s">
        <v>4471</v>
      </c>
      <c r="W1078" t="s">
        <v>4473</v>
      </c>
      <c r="X1078" t="s">
        <v>121</v>
      </c>
      <c r="Y1078" t="s">
        <v>122</v>
      </c>
      <c r="Z1078" t="s">
        <v>111</v>
      </c>
      <c r="AA1078" t="str">
        <f>"13815-1097"</f>
        <v>13815-1097</v>
      </c>
      <c r="AB1078" t="s">
        <v>123</v>
      </c>
      <c r="AC1078" t="s">
        <v>113</v>
      </c>
      <c r="AD1078" t="s">
        <v>108</v>
      </c>
      <c r="AE1078" t="s">
        <v>114</v>
      </c>
      <c r="AF1078" t="s">
        <v>124</v>
      </c>
      <c r="AG1078" t="s">
        <v>116</v>
      </c>
      <c r="AK1078" t="str">
        <f t="shared" si="107"/>
        <v/>
      </c>
      <c r="AL1078" t="s">
        <v>4472</v>
      </c>
      <c r="AM1078">
        <v>1</v>
      </c>
      <c r="AN1078">
        <v>1</v>
      </c>
      <c r="AO1078">
        <v>0</v>
      </c>
      <c r="AP1078">
        <v>1</v>
      </c>
      <c r="AQ1078">
        <v>1</v>
      </c>
      <c r="AR1078">
        <v>0</v>
      </c>
      <c r="AS1078">
        <v>0</v>
      </c>
      <c r="AT1078">
        <v>0</v>
      </c>
      <c r="AU1078">
        <v>0</v>
      </c>
      <c r="AV1078">
        <v>0</v>
      </c>
      <c r="AW1078">
        <v>0</v>
      </c>
      <c r="AX1078" s="24" t="str">
        <f t="shared" si="112"/>
        <v/>
      </c>
      <c r="AY1078" s="24">
        <f t="shared" si="112"/>
        <v>1</v>
      </c>
      <c r="AZ1078" s="24" t="str">
        <f t="shared" si="111"/>
        <v/>
      </c>
      <c r="BA1078" s="24" t="str">
        <f t="shared" si="111"/>
        <v/>
      </c>
      <c r="BB1078" s="24" t="str">
        <f t="shared" si="111"/>
        <v/>
      </c>
      <c r="BC1078" s="24" t="str">
        <f t="shared" si="111"/>
        <v/>
      </c>
      <c r="BD1078" s="24" t="str">
        <f t="shared" si="111"/>
        <v/>
      </c>
      <c r="BE1078" s="24" t="str">
        <f t="shared" si="111"/>
        <v/>
      </c>
      <c r="BF1078" s="24" t="str">
        <f t="shared" si="111"/>
        <v/>
      </c>
      <c r="BG1078" s="24" t="str">
        <f t="shared" si="111"/>
        <v/>
      </c>
      <c r="BH1078" s="24" t="str">
        <f t="shared" si="108"/>
        <v/>
      </c>
      <c r="BI1078" s="24">
        <f t="shared" si="111"/>
        <v>1</v>
      </c>
      <c r="BJ1078" s="24" t="str">
        <f t="shared" si="110"/>
        <v/>
      </c>
    </row>
    <row r="1079" spans="1:62" ht="15" customHeight="1" x14ac:dyDescent="0.25">
      <c r="A1079" t="str">
        <f>"1902822240"</f>
        <v>1902822240</v>
      </c>
      <c r="B1079" t="str">
        <f>"03104198"</f>
        <v>03104198</v>
      </c>
      <c r="C1079" t="s">
        <v>3861</v>
      </c>
      <c r="D1079" t="s">
        <v>3862</v>
      </c>
      <c r="E1079" t="s">
        <v>3863</v>
      </c>
      <c r="L1079" t="s">
        <v>6868</v>
      </c>
      <c r="M1079" t="s">
        <v>108</v>
      </c>
      <c r="R1079" t="s">
        <v>3861</v>
      </c>
      <c r="W1079" t="s">
        <v>3861</v>
      </c>
      <c r="X1079" t="s">
        <v>3864</v>
      </c>
      <c r="Y1079" t="s">
        <v>991</v>
      </c>
      <c r="Z1079" t="s">
        <v>111</v>
      </c>
      <c r="AA1079" t="str">
        <f>"13838-1325"</f>
        <v>13838-1325</v>
      </c>
      <c r="AB1079" t="s">
        <v>123</v>
      </c>
      <c r="AC1079" t="s">
        <v>113</v>
      </c>
      <c r="AD1079" t="s">
        <v>108</v>
      </c>
      <c r="AE1079" t="s">
        <v>114</v>
      </c>
      <c r="AF1079" t="s">
        <v>124</v>
      </c>
      <c r="AG1079" t="s">
        <v>116</v>
      </c>
      <c r="AK1079" t="str">
        <f t="shared" si="107"/>
        <v/>
      </c>
      <c r="AL1079" t="s">
        <v>3862</v>
      </c>
      <c r="AM1079">
        <v>0</v>
      </c>
      <c r="AN1079">
        <v>0</v>
      </c>
      <c r="AO1079">
        <v>0</v>
      </c>
      <c r="AP1079">
        <v>0</v>
      </c>
      <c r="AQ1079">
        <v>0</v>
      </c>
      <c r="AR1079">
        <v>0</v>
      </c>
      <c r="AS1079">
        <v>0</v>
      </c>
      <c r="AT1079">
        <v>0</v>
      </c>
      <c r="AU1079">
        <v>0</v>
      </c>
      <c r="AV1079">
        <v>0</v>
      </c>
      <c r="AW1079">
        <v>0</v>
      </c>
      <c r="AX1079" s="24">
        <f t="shared" si="112"/>
        <v>1</v>
      </c>
      <c r="AY1079" s="24">
        <f t="shared" si="112"/>
        <v>1</v>
      </c>
      <c r="AZ1079" s="24" t="str">
        <f t="shared" si="111"/>
        <v/>
      </c>
      <c r="BA1079" s="24" t="str">
        <f t="shared" si="111"/>
        <v/>
      </c>
      <c r="BB1079" s="24" t="str">
        <f t="shared" si="111"/>
        <v/>
      </c>
      <c r="BC1079" s="24" t="str">
        <f t="shared" si="111"/>
        <v/>
      </c>
      <c r="BD1079" s="24" t="str">
        <f t="shared" si="111"/>
        <v/>
      </c>
      <c r="BE1079" s="24" t="str">
        <f t="shared" si="111"/>
        <v/>
      </c>
      <c r="BF1079" s="24" t="str">
        <f t="shared" si="111"/>
        <v/>
      </c>
      <c r="BG1079" s="24" t="str">
        <f t="shared" si="111"/>
        <v/>
      </c>
      <c r="BH1079" s="24" t="str">
        <f t="shared" si="108"/>
        <v/>
      </c>
      <c r="BI1079" s="24" t="str">
        <f t="shared" si="111"/>
        <v/>
      </c>
      <c r="BJ1079" s="24" t="str">
        <f t="shared" si="110"/>
        <v/>
      </c>
    </row>
    <row r="1080" spans="1:62" x14ac:dyDescent="0.25">
      <c r="A1080" t="str">
        <f>"1881761484"</f>
        <v>1881761484</v>
      </c>
      <c r="B1080" t="str">
        <f>"00362863"</f>
        <v>00362863</v>
      </c>
      <c r="C1080" t="s">
        <v>2529</v>
      </c>
      <c r="D1080" t="s">
        <v>2530</v>
      </c>
      <c r="E1080" t="s">
        <v>2531</v>
      </c>
      <c r="G1080" t="s">
        <v>2532</v>
      </c>
      <c r="H1080" t="s">
        <v>2533</v>
      </c>
      <c r="J1080" t="s">
        <v>2534</v>
      </c>
      <c r="L1080" t="s">
        <v>2535</v>
      </c>
      <c r="M1080" t="s">
        <v>139</v>
      </c>
      <c r="R1080" t="s">
        <v>2536</v>
      </c>
      <c r="W1080" t="s">
        <v>2531</v>
      </c>
      <c r="X1080" t="s">
        <v>2537</v>
      </c>
      <c r="Y1080" t="s">
        <v>293</v>
      </c>
      <c r="Z1080" t="s">
        <v>111</v>
      </c>
      <c r="AA1080" t="str">
        <f>"14850-3326"</f>
        <v>14850-3326</v>
      </c>
      <c r="AB1080" t="s">
        <v>282</v>
      </c>
      <c r="AC1080" t="s">
        <v>113</v>
      </c>
      <c r="AD1080" t="s">
        <v>108</v>
      </c>
      <c r="AE1080" t="s">
        <v>114</v>
      </c>
      <c r="AF1080" t="s">
        <v>142</v>
      </c>
      <c r="AG1080" t="s">
        <v>116</v>
      </c>
      <c r="AK1080" t="str">
        <f t="shared" si="107"/>
        <v/>
      </c>
      <c r="AL1080" t="s">
        <v>2530</v>
      </c>
      <c r="AM1080">
        <v>1</v>
      </c>
      <c r="AN1080">
        <v>0</v>
      </c>
      <c r="AO1080">
        <v>0</v>
      </c>
      <c r="AP1080">
        <v>0</v>
      </c>
      <c r="AQ1080">
        <v>1</v>
      </c>
      <c r="AR1080">
        <v>0</v>
      </c>
      <c r="AS1080">
        <v>0</v>
      </c>
      <c r="AT1080">
        <v>0</v>
      </c>
      <c r="AU1080">
        <v>0</v>
      </c>
      <c r="AV1080">
        <v>0</v>
      </c>
      <c r="AW1080">
        <v>0</v>
      </c>
      <c r="AX1080" s="24" t="str">
        <f t="shared" si="112"/>
        <v/>
      </c>
      <c r="AY1080" s="24" t="str">
        <f t="shared" si="112"/>
        <v/>
      </c>
      <c r="AZ1080" s="24" t="str">
        <f t="shared" si="111"/>
        <v/>
      </c>
      <c r="BA1080" s="24">
        <f t="shared" si="111"/>
        <v>1</v>
      </c>
      <c r="BB1080" s="24" t="str">
        <f t="shared" si="111"/>
        <v/>
      </c>
      <c r="BC1080" s="24" t="str">
        <f t="shared" si="111"/>
        <v/>
      </c>
      <c r="BD1080" s="24" t="str">
        <f t="shared" si="111"/>
        <v/>
      </c>
      <c r="BE1080" s="24" t="str">
        <f t="shared" si="111"/>
        <v/>
      </c>
      <c r="BF1080" s="24">
        <f t="shared" si="111"/>
        <v>1</v>
      </c>
      <c r="BG1080" s="24" t="str">
        <f t="shared" si="111"/>
        <v/>
      </c>
      <c r="BH1080" s="24" t="str">
        <f t="shared" si="108"/>
        <v/>
      </c>
      <c r="BI1080" s="24">
        <f t="shared" si="111"/>
        <v>1</v>
      </c>
      <c r="BJ1080" s="24" t="str">
        <f t="shared" si="110"/>
        <v/>
      </c>
    </row>
    <row r="1081" spans="1:62" ht="15" customHeight="1" x14ac:dyDescent="0.25">
      <c r="A1081" t="str">
        <f>"1679544969"</f>
        <v>1679544969</v>
      </c>
      <c r="B1081" t="str">
        <f>"01510705"</f>
        <v>01510705</v>
      </c>
      <c r="C1081" t="s">
        <v>263</v>
      </c>
      <c r="D1081" t="s">
        <v>264</v>
      </c>
      <c r="E1081" t="s">
        <v>265</v>
      </c>
      <c r="G1081" t="s">
        <v>229</v>
      </c>
      <c r="H1081" t="s">
        <v>230</v>
      </c>
      <c r="J1081" t="s">
        <v>231</v>
      </c>
      <c r="L1081" t="s">
        <v>138</v>
      </c>
      <c r="M1081" t="s">
        <v>108</v>
      </c>
      <c r="R1081" t="s">
        <v>266</v>
      </c>
      <c r="W1081" t="s">
        <v>265</v>
      </c>
      <c r="X1081" t="s">
        <v>238</v>
      </c>
      <c r="Y1081" t="s">
        <v>239</v>
      </c>
      <c r="Z1081" t="s">
        <v>111</v>
      </c>
      <c r="AA1081" t="str">
        <f>"13045-1206"</f>
        <v>13045-1206</v>
      </c>
      <c r="AB1081" t="s">
        <v>123</v>
      </c>
      <c r="AC1081" t="s">
        <v>113</v>
      </c>
      <c r="AD1081" t="s">
        <v>108</v>
      </c>
      <c r="AE1081" t="s">
        <v>114</v>
      </c>
      <c r="AF1081" t="s">
        <v>142</v>
      </c>
      <c r="AG1081" t="s">
        <v>116</v>
      </c>
      <c r="AK1081" t="str">
        <f t="shared" si="107"/>
        <v/>
      </c>
      <c r="AL1081" t="s">
        <v>264</v>
      </c>
      <c r="AM1081">
        <v>1</v>
      </c>
      <c r="AN1081">
        <v>1</v>
      </c>
      <c r="AO1081">
        <v>0</v>
      </c>
      <c r="AP1081">
        <v>0</v>
      </c>
      <c r="AQ1081">
        <v>1</v>
      </c>
      <c r="AR1081">
        <v>0</v>
      </c>
      <c r="AS1081">
        <v>0</v>
      </c>
      <c r="AT1081">
        <v>0</v>
      </c>
      <c r="AU1081">
        <v>0</v>
      </c>
      <c r="AV1081">
        <v>0</v>
      </c>
      <c r="AW1081">
        <v>0</v>
      </c>
      <c r="AX1081" s="24" t="str">
        <f t="shared" si="112"/>
        <v/>
      </c>
      <c r="AY1081" s="24">
        <f t="shared" si="112"/>
        <v>1</v>
      </c>
      <c r="AZ1081" s="24" t="str">
        <f t="shared" si="111"/>
        <v/>
      </c>
      <c r="BA1081" s="24" t="str">
        <f t="shared" si="111"/>
        <v/>
      </c>
      <c r="BB1081" s="24" t="str">
        <f t="shared" si="111"/>
        <v/>
      </c>
      <c r="BC1081" s="24" t="str">
        <f t="shared" si="111"/>
        <v/>
      </c>
      <c r="BD1081" s="24" t="str">
        <f t="shared" si="111"/>
        <v/>
      </c>
      <c r="BE1081" s="24" t="str">
        <f t="shared" si="111"/>
        <v/>
      </c>
      <c r="BF1081" s="24" t="str">
        <f t="shared" si="111"/>
        <v/>
      </c>
      <c r="BG1081" s="24" t="str">
        <f t="shared" si="111"/>
        <v/>
      </c>
      <c r="BH1081" s="24" t="str">
        <f t="shared" si="108"/>
        <v/>
      </c>
      <c r="BI1081" s="24">
        <f t="shared" si="111"/>
        <v>1</v>
      </c>
      <c r="BJ1081" s="24" t="str">
        <f t="shared" si="110"/>
        <v/>
      </c>
    </row>
    <row r="1082" spans="1:62" ht="15" customHeight="1" x14ac:dyDescent="0.25">
      <c r="A1082" t="str">
        <f>"1093919805"</f>
        <v>1093919805</v>
      </c>
      <c r="B1082" t="str">
        <f>"04037270"</f>
        <v>04037270</v>
      </c>
      <c r="C1082" t="s">
        <v>6808</v>
      </c>
      <c r="D1082" t="s">
        <v>7088</v>
      </c>
      <c r="E1082" t="s">
        <v>6949</v>
      </c>
      <c r="G1082" t="s">
        <v>1352</v>
      </c>
      <c r="H1082" t="s">
        <v>1301</v>
      </c>
      <c r="J1082" t="s">
        <v>1354</v>
      </c>
      <c r="L1082" t="s">
        <v>138</v>
      </c>
      <c r="M1082" t="s">
        <v>108</v>
      </c>
      <c r="R1082" t="s">
        <v>6808</v>
      </c>
      <c r="W1082" t="s">
        <v>6949</v>
      </c>
      <c r="X1082" t="s">
        <v>2601</v>
      </c>
      <c r="Y1082" t="s">
        <v>239</v>
      </c>
      <c r="Z1082" t="s">
        <v>111</v>
      </c>
      <c r="AA1082" t="str">
        <f>"13045-1643"</f>
        <v>13045-1643</v>
      </c>
      <c r="AB1082" t="s">
        <v>123</v>
      </c>
      <c r="AC1082" t="s">
        <v>113</v>
      </c>
      <c r="AD1082" t="s">
        <v>108</v>
      </c>
      <c r="AE1082" t="s">
        <v>114</v>
      </c>
      <c r="AF1082" t="s">
        <v>142</v>
      </c>
      <c r="AG1082" t="s">
        <v>116</v>
      </c>
      <c r="AK1082" t="str">
        <f t="shared" si="107"/>
        <v>POMPO FRANK</v>
      </c>
      <c r="AL1082" t="s">
        <v>7088</v>
      </c>
      <c r="AM1082" t="s">
        <v>108</v>
      </c>
      <c r="AN1082" t="s">
        <v>108</v>
      </c>
      <c r="AO1082" t="s">
        <v>108</v>
      </c>
      <c r="AP1082" t="s">
        <v>108</v>
      </c>
      <c r="AQ1082" t="s">
        <v>108</v>
      </c>
      <c r="AR1082" t="s">
        <v>108</v>
      </c>
      <c r="AS1082" t="s">
        <v>108</v>
      </c>
      <c r="AT1082" t="s">
        <v>108</v>
      </c>
      <c r="AU1082" t="s">
        <v>108</v>
      </c>
      <c r="AV1082" t="s">
        <v>108</v>
      </c>
      <c r="AW1082" t="s">
        <v>108</v>
      </c>
      <c r="AX1082" s="24" t="str">
        <f t="shared" si="112"/>
        <v/>
      </c>
      <c r="AY1082" s="24">
        <f t="shared" si="112"/>
        <v>1</v>
      </c>
      <c r="AZ1082" s="24" t="str">
        <f t="shared" si="111"/>
        <v/>
      </c>
      <c r="BA1082" s="24" t="str">
        <f t="shared" si="111"/>
        <v/>
      </c>
      <c r="BB1082" s="24" t="str">
        <f t="shared" si="111"/>
        <v/>
      </c>
      <c r="BC1082" s="24" t="str">
        <f t="shared" si="111"/>
        <v/>
      </c>
      <c r="BD1082" s="24" t="str">
        <f t="shared" si="111"/>
        <v/>
      </c>
      <c r="BE1082" s="24" t="str">
        <f t="shared" si="111"/>
        <v/>
      </c>
      <c r="BF1082" s="24" t="str">
        <f t="shared" si="111"/>
        <v/>
      </c>
      <c r="BG1082" s="24" t="str">
        <f t="shared" si="111"/>
        <v/>
      </c>
      <c r="BH1082" s="24" t="str">
        <f t="shared" si="108"/>
        <v/>
      </c>
      <c r="BI1082" s="24">
        <f t="shared" si="111"/>
        <v>1</v>
      </c>
      <c r="BJ1082" s="24" t="str">
        <f t="shared" si="110"/>
        <v/>
      </c>
    </row>
    <row r="1083" spans="1:62" ht="15" customHeight="1" x14ac:dyDescent="0.25">
      <c r="A1083" t="str">
        <f>"1548421720"</f>
        <v>1548421720</v>
      </c>
      <c r="B1083" t="str">
        <f>"04078231"</f>
        <v>04078231</v>
      </c>
      <c r="C1083" t="s">
        <v>6530</v>
      </c>
      <c r="D1083" t="s">
        <v>6531</v>
      </c>
      <c r="E1083" t="s">
        <v>6532</v>
      </c>
      <c r="G1083" t="s">
        <v>1352</v>
      </c>
      <c r="H1083" t="s">
        <v>1683</v>
      </c>
      <c r="J1083" t="s">
        <v>1354</v>
      </c>
      <c r="L1083" t="s">
        <v>6868</v>
      </c>
      <c r="M1083" t="s">
        <v>108</v>
      </c>
      <c r="R1083" t="s">
        <v>6533</v>
      </c>
      <c r="W1083" t="s">
        <v>6532</v>
      </c>
      <c r="X1083" t="s">
        <v>6534</v>
      </c>
      <c r="Y1083" t="s">
        <v>239</v>
      </c>
      <c r="Z1083" t="s">
        <v>111</v>
      </c>
      <c r="AA1083" t="str">
        <f>"13045-1208"</f>
        <v>13045-1208</v>
      </c>
      <c r="AB1083" t="s">
        <v>123</v>
      </c>
      <c r="AC1083" t="s">
        <v>113</v>
      </c>
      <c r="AD1083" t="s">
        <v>108</v>
      </c>
      <c r="AE1083" t="s">
        <v>114</v>
      </c>
      <c r="AF1083" t="s">
        <v>142</v>
      </c>
      <c r="AG1083" t="s">
        <v>116</v>
      </c>
      <c r="AK1083" t="str">
        <f t="shared" si="107"/>
        <v>Pompo Rebecca</v>
      </c>
      <c r="AL1083" t="s">
        <v>6531</v>
      </c>
      <c r="AM1083" t="s">
        <v>108</v>
      </c>
      <c r="AN1083" t="s">
        <v>108</v>
      </c>
      <c r="AO1083" t="s">
        <v>108</v>
      </c>
      <c r="AP1083" t="s">
        <v>108</v>
      </c>
      <c r="AQ1083" t="s">
        <v>108</v>
      </c>
      <c r="AR1083" t="s">
        <v>108</v>
      </c>
      <c r="AS1083" t="s">
        <v>108</v>
      </c>
      <c r="AT1083" t="s">
        <v>108</v>
      </c>
      <c r="AU1083" t="s">
        <v>108</v>
      </c>
      <c r="AV1083" t="s">
        <v>108</v>
      </c>
      <c r="AW1083" t="s">
        <v>108</v>
      </c>
      <c r="AX1083" s="24">
        <f t="shared" si="112"/>
        <v>1</v>
      </c>
      <c r="AY1083" s="24">
        <f t="shared" si="112"/>
        <v>1</v>
      </c>
      <c r="AZ1083" s="24" t="str">
        <f t="shared" si="111"/>
        <v/>
      </c>
      <c r="BA1083" s="24" t="str">
        <f t="shared" si="111"/>
        <v/>
      </c>
      <c r="BB1083" s="24" t="str">
        <f t="shared" si="111"/>
        <v/>
      </c>
      <c r="BC1083" s="24" t="str">
        <f t="shared" si="111"/>
        <v/>
      </c>
      <c r="BD1083" s="24" t="str">
        <f t="shared" si="111"/>
        <v/>
      </c>
      <c r="BE1083" s="24" t="str">
        <f t="shared" si="111"/>
        <v/>
      </c>
      <c r="BF1083" s="24" t="str">
        <f t="shared" si="111"/>
        <v/>
      </c>
      <c r="BG1083" s="24" t="str">
        <f t="shared" si="111"/>
        <v/>
      </c>
      <c r="BH1083" s="24" t="str">
        <f t="shared" si="108"/>
        <v/>
      </c>
      <c r="BI1083" s="24" t="str">
        <f t="shared" si="111"/>
        <v/>
      </c>
      <c r="BJ1083" s="24" t="str">
        <f t="shared" si="110"/>
        <v/>
      </c>
    </row>
    <row r="1084" spans="1:62" ht="15" customHeight="1" x14ac:dyDescent="0.25">
      <c r="A1084" t="str">
        <f>"1922022839"</f>
        <v>1922022839</v>
      </c>
      <c r="B1084" t="str">
        <f>"02639201"</f>
        <v>02639201</v>
      </c>
      <c r="C1084" t="s">
        <v>3346</v>
      </c>
      <c r="D1084" t="s">
        <v>3347</v>
      </c>
      <c r="E1084" t="s">
        <v>3348</v>
      </c>
      <c r="G1084" t="s">
        <v>786</v>
      </c>
      <c r="H1084" t="s">
        <v>787</v>
      </c>
      <c r="J1084" t="s">
        <v>788</v>
      </c>
      <c r="L1084" t="s">
        <v>6867</v>
      </c>
      <c r="M1084" t="s">
        <v>108</v>
      </c>
      <c r="R1084" t="s">
        <v>3346</v>
      </c>
      <c r="W1084" t="s">
        <v>3349</v>
      </c>
      <c r="X1084" t="s">
        <v>3350</v>
      </c>
      <c r="Y1084" t="s">
        <v>1272</v>
      </c>
      <c r="Z1084" t="s">
        <v>111</v>
      </c>
      <c r="AA1084" t="str">
        <f>"13021-1945"</f>
        <v>13021-1945</v>
      </c>
      <c r="AB1084" t="s">
        <v>123</v>
      </c>
      <c r="AC1084" t="s">
        <v>113</v>
      </c>
      <c r="AD1084" t="s">
        <v>108</v>
      </c>
      <c r="AE1084" t="s">
        <v>114</v>
      </c>
      <c r="AF1084" t="s">
        <v>142</v>
      </c>
      <c r="AG1084" t="s">
        <v>116</v>
      </c>
      <c r="AK1084" t="str">
        <f t="shared" si="107"/>
        <v/>
      </c>
      <c r="AL1084" t="s">
        <v>3347</v>
      </c>
      <c r="AM1084">
        <v>0</v>
      </c>
      <c r="AN1084">
        <v>0</v>
      </c>
      <c r="AO1084">
        <v>0</v>
      </c>
      <c r="AP1084">
        <v>0</v>
      </c>
      <c r="AQ1084">
        <v>0</v>
      </c>
      <c r="AR1084">
        <v>0</v>
      </c>
      <c r="AS1084">
        <v>0</v>
      </c>
      <c r="AT1084">
        <v>0</v>
      </c>
      <c r="AU1084">
        <v>0</v>
      </c>
      <c r="AV1084">
        <v>0</v>
      </c>
      <c r="AW1084">
        <v>0</v>
      </c>
      <c r="AX1084" s="24">
        <f t="shared" si="112"/>
        <v>1</v>
      </c>
      <c r="AY1084" s="24">
        <f t="shared" si="112"/>
        <v>1</v>
      </c>
      <c r="AZ1084" s="24" t="str">
        <f t="shared" si="111"/>
        <v/>
      </c>
      <c r="BA1084" s="24" t="str">
        <f t="shared" si="111"/>
        <v/>
      </c>
      <c r="BB1084" s="24" t="str">
        <f t="shared" si="111"/>
        <v/>
      </c>
      <c r="BC1084" s="24" t="str">
        <f t="shared" si="111"/>
        <v/>
      </c>
      <c r="BD1084" s="24" t="str">
        <f t="shared" si="111"/>
        <v/>
      </c>
      <c r="BE1084" s="24" t="str">
        <f t="shared" si="111"/>
        <v/>
      </c>
      <c r="BF1084" s="24" t="str">
        <f t="shared" ref="AZ1084:BI1110" si="113">IF(ISERROR(FIND(BF$1,$L1084,1)),"",1)</f>
        <v/>
      </c>
      <c r="BG1084" s="24" t="str">
        <f t="shared" si="113"/>
        <v/>
      </c>
      <c r="BH1084" s="24" t="str">
        <f t="shared" si="108"/>
        <v/>
      </c>
      <c r="BI1084" s="24">
        <f t="shared" si="113"/>
        <v>1</v>
      </c>
      <c r="BJ1084" s="24" t="str">
        <f t="shared" si="110"/>
        <v/>
      </c>
    </row>
    <row r="1085" spans="1:62" ht="15" customHeight="1" x14ac:dyDescent="0.25">
      <c r="A1085" t="str">
        <f>"1194798819"</f>
        <v>1194798819</v>
      </c>
      <c r="B1085" t="str">
        <f>"01950201"</f>
        <v>01950201</v>
      </c>
      <c r="C1085" t="s">
        <v>2724</v>
      </c>
      <c r="D1085" t="s">
        <v>2725</v>
      </c>
      <c r="E1085" t="s">
        <v>2726</v>
      </c>
      <c r="G1085" t="s">
        <v>177</v>
      </c>
      <c r="H1085" t="s">
        <v>178</v>
      </c>
      <c r="J1085" t="s">
        <v>179</v>
      </c>
      <c r="L1085" t="s">
        <v>138</v>
      </c>
      <c r="M1085" t="s">
        <v>108</v>
      </c>
      <c r="R1085" t="s">
        <v>2724</v>
      </c>
      <c r="W1085" t="s">
        <v>2727</v>
      </c>
      <c r="X1085" t="s">
        <v>186</v>
      </c>
      <c r="Y1085" t="s">
        <v>181</v>
      </c>
      <c r="Z1085" t="s">
        <v>182</v>
      </c>
      <c r="AA1085" t="str">
        <f>"18840"</f>
        <v>18840</v>
      </c>
      <c r="AB1085" t="s">
        <v>123</v>
      </c>
      <c r="AC1085" t="s">
        <v>113</v>
      </c>
      <c r="AD1085" t="s">
        <v>108</v>
      </c>
      <c r="AE1085" t="s">
        <v>114</v>
      </c>
      <c r="AF1085" t="s">
        <v>115</v>
      </c>
      <c r="AG1085" t="s">
        <v>116</v>
      </c>
      <c r="AK1085" t="str">
        <f t="shared" si="107"/>
        <v/>
      </c>
      <c r="AL1085" t="s">
        <v>2725</v>
      </c>
      <c r="AM1085">
        <v>1</v>
      </c>
      <c r="AN1085">
        <v>1</v>
      </c>
      <c r="AO1085">
        <v>0</v>
      </c>
      <c r="AP1085">
        <v>0</v>
      </c>
      <c r="AQ1085">
        <v>0</v>
      </c>
      <c r="AR1085">
        <v>0</v>
      </c>
      <c r="AS1085">
        <v>0</v>
      </c>
      <c r="AT1085">
        <v>0</v>
      </c>
      <c r="AU1085">
        <v>0</v>
      </c>
      <c r="AV1085">
        <v>1</v>
      </c>
      <c r="AW1085">
        <v>0</v>
      </c>
      <c r="AX1085" s="24" t="str">
        <f t="shared" si="112"/>
        <v/>
      </c>
      <c r="AY1085" s="24">
        <f t="shared" si="112"/>
        <v>1</v>
      </c>
      <c r="AZ1085" s="24" t="str">
        <f t="shared" si="113"/>
        <v/>
      </c>
      <c r="BA1085" s="24" t="str">
        <f t="shared" si="113"/>
        <v/>
      </c>
      <c r="BB1085" s="24" t="str">
        <f t="shared" si="113"/>
        <v/>
      </c>
      <c r="BC1085" s="24" t="str">
        <f t="shared" si="113"/>
        <v/>
      </c>
      <c r="BD1085" s="24" t="str">
        <f t="shared" si="113"/>
        <v/>
      </c>
      <c r="BE1085" s="24" t="str">
        <f t="shared" si="113"/>
        <v/>
      </c>
      <c r="BF1085" s="24" t="str">
        <f t="shared" si="113"/>
        <v/>
      </c>
      <c r="BG1085" s="24" t="str">
        <f t="shared" si="113"/>
        <v/>
      </c>
      <c r="BH1085" s="24" t="str">
        <f t="shared" si="108"/>
        <v/>
      </c>
      <c r="BI1085" s="24">
        <f t="shared" si="113"/>
        <v>1</v>
      </c>
      <c r="BJ1085" s="24" t="str">
        <f t="shared" si="110"/>
        <v/>
      </c>
    </row>
    <row r="1086" spans="1:62" ht="15" customHeight="1" x14ac:dyDescent="0.25">
      <c r="A1086" t="str">
        <f>"1215989538"</f>
        <v>1215989538</v>
      </c>
      <c r="B1086" t="str">
        <f>"01493970"</f>
        <v>01493970</v>
      </c>
      <c r="C1086" t="s">
        <v>4090</v>
      </c>
      <c r="D1086" t="s">
        <v>4091</v>
      </c>
      <c r="E1086" t="s">
        <v>4092</v>
      </c>
      <c r="G1086" t="s">
        <v>6330</v>
      </c>
      <c r="H1086" t="s">
        <v>6331</v>
      </c>
      <c r="J1086" t="s">
        <v>6332</v>
      </c>
      <c r="L1086" t="s">
        <v>120</v>
      </c>
      <c r="M1086" t="s">
        <v>108</v>
      </c>
      <c r="R1086" t="s">
        <v>4090</v>
      </c>
      <c r="W1086" t="s">
        <v>4092</v>
      </c>
      <c r="X1086" t="s">
        <v>4093</v>
      </c>
      <c r="Y1086" t="s">
        <v>110</v>
      </c>
      <c r="Z1086" t="s">
        <v>111</v>
      </c>
      <c r="AA1086" t="str">
        <f>"13905-4176"</f>
        <v>13905-4176</v>
      </c>
      <c r="AB1086" t="s">
        <v>123</v>
      </c>
      <c r="AC1086" t="s">
        <v>113</v>
      </c>
      <c r="AD1086" t="s">
        <v>108</v>
      </c>
      <c r="AE1086" t="s">
        <v>114</v>
      </c>
      <c r="AF1086" t="s">
        <v>115</v>
      </c>
      <c r="AG1086" t="s">
        <v>116</v>
      </c>
      <c r="AK1086" t="str">
        <f t="shared" si="107"/>
        <v/>
      </c>
      <c r="AL1086" t="s">
        <v>4091</v>
      </c>
      <c r="AM1086">
        <v>1</v>
      </c>
      <c r="AN1086">
        <v>1</v>
      </c>
      <c r="AO1086">
        <v>0</v>
      </c>
      <c r="AP1086">
        <v>1</v>
      </c>
      <c r="AQ1086">
        <v>1</v>
      </c>
      <c r="AR1086">
        <v>1</v>
      </c>
      <c r="AS1086">
        <v>0</v>
      </c>
      <c r="AT1086">
        <v>0</v>
      </c>
      <c r="AU1086">
        <v>0</v>
      </c>
      <c r="AV1086">
        <v>0</v>
      </c>
      <c r="AW1086">
        <v>0</v>
      </c>
      <c r="AX1086" s="24">
        <f t="shared" si="112"/>
        <v>1</v>
      </c>
      <c r="AY1086" s="24" t="str">
        <f t="shared" si="112"/>
        <v/>
      </c>
      <c r="AZ1086" s="24" t="str">
        <f t="shared" si="113"/>
        <v/>
      </c>
      <c r="BA1086" s="24" t="str">
        <f t="shared" si="113"/>
        <v/>
      </c>
      <c r="BB1086" s="24" t="str">
        <f t="shared" si="113"/>
        <v/>
      </c>
      <c r="BC1086" s="24" t="str">
        <f t="shared" si="113"/>
        <v/>
      </c>
      <c r="BD1086" s="24" t="str">
        <f t="shared" si="113"/>
        <v/>
      </c>
      <c r="BE1086" s="24" t="str">
        <f t="shared" si="113"/>
        <v/>
      </c>
      <c r="BF1086" s="24" t="str">
        <f t="shared" si="113"/>
        <v/>
      </c>
      <c r="BG1086" s="24" t="str">
        <f t="shared" si="113"/>
        <v/>
      </c>
      <c r="BH1086" s="24" t="str">
        <f t="shared" si="108"/>
        <v/>
      </c>
      <c r="BI1086" s="24">
        <f t="shared" si="113"/>
        <v>1</v>
      </c>
      <c r="BJ1086" s="24" t="str">
        <f t="shared" si="110"/>
        <v/>
      </c>
    </row>
    <row r="1087" spans="1:62" ht="15" customHeight="1" x14ac:dyDescent="0.25">
      <c r="A1087" t="str">
        <f>"1750354718"</f>
        <v>1750354718</v>
      </c>
      <c r="B1087" t="str">
        <f>"02574243"</f>
        <v>02574243</v>
      </c>
      <c r="C1087" t="s">
        <v>5338</v>
      </c>
      <c r="D1087" t="s">
        <v>5339</v>
      </c>
      <c r="E1087" t="s">
        <v>5338</v>
      </c>
      <c r="G1087" t="s">
        <v>699</v>
      </c>
      <c r="H1087" t="s">
        <v>700</v>
      </c>
      <c r="J1087" t="s">
        <v>701</v>
      </c>
      <c r="L1087" t="s">
        <v>120</v>
      </c>
      <c r="M1087" t="s">
        <v>108</v>
      </c>
      <c r="R1087" t="s">
        <v>5340</v>
      </c>
      <c r="W1087" t="s">
        <v>5341</v>
      </c>
      <c r="X1087" t="s">
        <v>740</v>
      </c>
      <c r="Y1087" t="s">
        <v>181</v>
      </c>
      <c r="Z1087" t="s">
        <v>182</v>
      </c>
      <c r="AA1087" t="str">
        <f>"18840"</f>
        <v>18840</v>
      </c>
      <c r="AB1087" t="s">
        <v>123</v>
      </c>
      <c r="AC1087" t="s">
        <v>113</v>
      </c>
      <c r="AD1087" t="s">
        <v>108</v>
      </c>
      <c r="AE1087" t="s">
        <v>114</v>
      </c>
      <c r="AF1087" t="s">
        <v>115</v>
      </c>
      <c r="AG1087" t="s">
        <v>116</v>
      </c>
      <c r="AK1087" t="str">
        <f t="shared" si="107"/>
        <v/>
      </c>
      <c r="AL1087" t="s">
        <v>5339</v>
      </c>
      <c r="AM1087">
        <v>1</v>
      </c>
      <c r="AN1087">
        <v>1</v>
      </c>
      <c r="AO1087">
        <v>0</v>
      </c>
      <c r="AP1087">
        <v>0</v>
      </c>
      <c r="AQ1087">
        <v>0</v>
      </c>
      <c r="AR1087">
        <v>0</v>
      </c>
      <c r="AS1087">
        <v>0</v>
      </c>
      <c r="AT1087">
        <v>1</v>
      </c>
      <c r="AU1087">
        <v>1</v>
      </c>
      <c r="AV1087">
        <v>1</v>
      </c>
      <c r="AW1087">
        <v>0</v>
      </c>
      <c r="AX1087" s="24">
        <f t="shared" si="112"/>
        <v>1</v>
      </c>
      <c r="AY1087" s="24" t="str">
        <f t="shared" si="112"/>
        <v/>
      </c>
      <c r="AZ1087" s="24" t="str">
        <f t="shared" si="113"/>
        <v/>
      </c>
      <c r="BA1087" s="24" t="str">
        <f t="shared" si="113"/>
        <v/>
      </c>
      <c r="BB1087" s="24" t="str">
        <f t="shared" si="113"/>
        <v/>
      </c>
      <c r="BC1087" s="24" t="str">
        <f t="shared" si="113"/>
        <v/>
      </c>
      <c r="BD1087" s="24" t="str">
        <f t="shared" si="113"/>
        <v/>
      </c>
      <c r="BE1087" s="24" t="str">
        <f t="shared" si="113"/>
        <v/>
      </c>
      <c r="BF1087" s="24" t="str">
        <f t="shared" si="113"/>
        <v/>
      </c>
      <c r="BG1087" s="24" t="str">
        <f t="shared" si="113"/>
        <v/>
      </c>
      <c r="BH1087" s="24" t="str">
        <f t="shared" si="108"/>
        <v/>
      </c>
      <c r="BI1087" s="24">
        <f t="shared" si="113"/>
        <v>1</v>
      </c>
      <c r="BJ1087" s="24" t="str">
        <f t="shared" si="110"/>
        <v/>
      </c>
    </row>
    <row r="1088" spans="1:62" ht="15" customHeight="1" x14ac:dyDescent="0.25">
      <c r="A1088" t="str">
        <f>"1033323274"</f>
        <v>1033323274</v>
      </c>
      <c r="B1088" t="str">
        <f>"04411345"</f>
        <v>04411345</v>
      </c>
      <c r="C1088" t="s">
        <v>6033</v>
      </c>
      <c r="D1088" t="s">
        <v>6034</v>
      </c>
      <c r="E1088" t="s">
        <v>6035</v>
      </c>
      <c r="G1088" t="s">
        <v>815</v>
      </c>
      <c r="H1088" t="s">
        <v>816</v>
      </c>
      <c r="J1088" t="s">
        <v>817</v>
      </c>
      <c r="L1088" t="s">
        <v>247</v>
      </c>
      <c r="M1088" t="s">
        <v>108</v>
      </c>
      <c r="R1088" t="s">
        <v>6036</v>
      </c>
      <c r="W1088" t="s">
        <v>6035</v>
      </c>
      <c r="X1088" t="s">
        <v>204</v>
      </c>
      <c r="Y1088" t="s">
        <v>110</v>
      </c>
      <c r="Z1088" t="s">
        <v>111</v>
      </c>
      <c r="AA1088" t="str">
        <f>"13905-4246"</f>
        <v>13905-4246</v>
      </c>
      <c r="AB1088" t="s">
        <v>123</v>
      </c>
      <c r="AC1088" t="s">
        <v>113</v>
      </c>
      <c r="AD1088" t="s">
        <v>108</v>
      </c>
      <c r="AE1088" t="s">
        <v>114</v>
      </c>
      <c r="AF1088" t="s">
        <v>115</v>
      </c>
      <c r="AG1088" t="s">
        <v>116</v>
      </c>
      <c r="AK1088" t="str">
        <f t="shared" si="107"/>
        <v>Pradeep K. Pallati, MBBS, MD, FACS</v>
      </c>
      <c r="AL1088" t="s">
        <v>6034</v>
      </c>
      <c r="AM1088" t="s">
        <v>108</v>
      </c>
      <c r="AN1088" t="s">
        <v>108</v>
      </c>
      <c r="AO1088" t="s">
        <v>108</v>
      </c>
      <c r="AP1088" t="s">
        <v>108</v>
      </c>
      <c r="AQ1088" t="s">
        <v>108</v>
      </c>
      <c r="AR1088" t="s">
        <v>108</v>
      </c>
      <c r="AS1088" t="s">
        <v>108</v>
      </c>
      <c r="AT1088" t="s">
        <v>108</v>
      </c>
      <c r="AU1088" t="s">
        <v>108</v>
      </c>
      <c r="AV1088" t="s">
        <v>108</v>
      </c>
      <c r="AW1088" t="s">
        <v>108</v>
      </c>
      <c r="AX1088" s="24" t="str">
        <f t="shared" si="112"/>
        <v/>
      </c>
      <c r="AY1088" s="24">
        <f t="shared" si="112"/>
        <v>1</v>
      </c>
      <c r="AZ1088" s="24" t="str">
        <f t="shared" si="113"/>
        <v/>
      </c>
      <c r="BA1088" s="24" t="str">
        <f t="shared" si="113"/>
        <v/>
      </c>
      <c r="BB1088" s="24" t="str">
        <f t="shared" si="113"/>
        <v/>
      </c>
      <c r="BC1088" s="24" t="str">
        <f t="shared" si="113"/>
        <v/>
      </c>
      <c r="BD1088" s="24" t="str">
        <f t="shared" si="113"/>
        <v/>
      </c>
      <c r="BE1088" s="24" t="str">
        <f t="shared" si="113"/>
        <v/>
      </c>
      <c r="BF1088" s="24" t="str">
        <f t="shared" si="113"/>
        <v/>
      </c>
      <c r="BG1088" s="24" t="str">
        <f t="shared" si="113"/>
        <v/>
      </c>
      <c r="BH1088" s="24" t="str">
        <f t="shared" si="108"/>
        <v/>
      </c>
      <c r="BI1088" s="24" t="str">
        <f t="shared" si="113"/>
        <v/>
      </c>
      <c r="BJ1088" s="24" t="str">
        <f t="shared" si="110"/>
        <v/>
      </c>
    </row>
    <row r="1089" spans="1:62" ht="15" customHeight="1" x14ac:dyDescent="0.25">
      <c r="A1089" t="str">
        <f>"1548287576"</f>
        <v>1548287576</v>
      </c>
      <c r="B1089" t="str">
        <f>"00598687"</f>
        <v>00598687</v>
      </c>
      <c r="C1089" t="s">
        <v>6365</v>
      </c>
      <c r="D1089" t="s">
        <v>6366</v>
      </c>
      <c r="E1089" t="s">
        <v>6367</v>
      </c>
      <c r="G1089" t="s">
        <v>6330</v>
      </c>
      <c r="H1089" t="s">
        <v>6331</v>
      </c>
      <c r="J1089" t="s">
        <v>6332</v>
      </c>
      <c r="L1089" t="s">
        <v>247</v>
      </c>
      <c r="M1089" t="s">
        <v>108</v>
      </c>
      <c r="R1089" t="s">
        <v>6368</v>
      </c>
      <c r="W1089" t="s">
        <v>6369</v>
      </c>
      <c r="X1089" t="s">
        <v>6370</v>
      </c>
      <c r="Y1089" t="s">
        <v>110</v>
      </c>
      <c r="Z1089" t="s">
        <v>111</v>
      </c>
      <c r="AA1089" t="str">
        <f>"13905-1931"</f>
        <v>13905-1931</v>
      </c>
      <c r="AB1089" t="s">
        <v>123</v>
      </c>
      <c r="AC1089" t="s">
        <v>113</v>
      </c>
      <c r="AD1089" t="s">
        <v>108</v>
      </c>
      <c r="AE1089" t="s">
        <v>114</v>
      </c>
      <c r="AF1089" t="s">
        <v>115</v>
      </c>
      <c r="AG1089" t="s">
        <v>116</v>
      </c>
      <c r="AK1089" t="str">
        <f t="shared" si="107"/>
        <v>Prato Domenico</v>
      </c>
      <c r="AL1089" t="s">
        <v>6366</v>
      </c>
      <c r="AM1089" t="s">
        <v>108</v>
      </c>
      <c r="AN1089" t="s">
        <v>108</v>
      </c>
      <c r="AO1089" t="s">
        <v>108</v>
      </c>
      <c r="AP1089" t="s">
        <v>108</v>
      </c>
      <c r="AQ1089" t="s">
        <v>108</v>
      </c>
      <c r="AR1089" t="s">
        <v>108</v>
      </c>
      <c r="AS1089" t="s">
        <v>108</v>
      </c>
      <c r="AT1089" t="s">
        <v>108</v>
      </c>
      <c r="AU1089" t="s">
        <v>108</v>
      </c>
      <c r="AV1089" t="s">
        <v>108</v>
      </c>
      <c r="AW1089" t="s">
        <v>108</v>
      </c>
      <c r="AX1089" s="24" t="str">
        <f t="shared" si="112"/>
        <v/>
      </c>
      <c r="AY1089" s="24">
        <f t="shared" si="112"/>
        <v>1</v>
      </c>
      <c r="AZ1089" s="24" t="str">
        <f t="shared" si="113"/>
        <v/>
      </c>
      <c r="BA1089" s="24" t="str">
        <f t="shared" si="113"/>
        <v/>
      </c>
      <c r="BB1089" s="24" t="str">
        <f t="shared" si="113"/>
        <v/>
      </c>
      <c r="BC1089" s="24" t="str">
        <f t="shared" si="113"/>
        <v/>
      </c>
      <c r="BD1089" s="24" t="str">
        <f t="shared" si="113"/>
        <v/>
      </c>
      <c r="BE1089" s="24" t="str">
        <f t="shared" si="113"/>
        <v/>
      </c>
      <c r="BF1089" s="24" t="str">
        <f t="shared" si="113"/>
        <v/>
      </c>
      <c r="BG1089" s="24" t="str">
        <f t="shared" si="113"/>
        <v/>
      </c>
      <c r="BH1089" s="24" t="str">
        <f t="shared" si="108"/>
        <v/>
      </c>
      <c r="BI1089" s="24" t="str">
        <f t="shared" si="113"/>
        <v/>
      </c>
      <c r="BJ1089" s="24" t="str">
        <f t="shared" si="110"/>
        <v/>
      </c>
    </row>
    <row r="1090" spans="1:62" ht="15" customHeight="1" x14ac:dyDescent="0.25">
      <c r="A1090" t="str">
        <f>"1598962623"</f>
        <v>1598962623</v>
      </c>
      <c r="B1090" t="str">
        <f>"03225129"</f>
        <v>03225129</v>
      </c>
      <c r="C1090" t="s">
        <v>6227</v>
      </c>
      <c r="D1090" t="s">
        <v>6228</v>
      </c>
      <c r="E1090" t="s">
        <v>6229</v>
      </c>
      <c r="G1090" t="s">
        <v>815</v>
      </c>
      <c r="H1090" t="s">
        <v>816</v>
      </c>
      <c r="J1090" t="s">
        <v>817</v>
      </c>
      <c r="L1090" t="s">
        <v>247</v>
      </c>
      <c r="M1090" t="s">
        <v>108</v>
      </c>
      <c r="R1090" t="s">
        <v>6230</v>
      </c>
      <c r="W1090" t="s">
        <v>6229</v>
      </c>
      <c r="X1090" t="s">
        <v>6231</v>
      </c>
      <c r="Y1090" t="s">
        <v>110</v>
      </c>
      <c r="Z1090" t="s">
        <v>111</v>
      </c>
      <c r="AA1090" t="str">
        <f>"13905-4246"</f>
        <v>13905-4246</v>
      </c>
      <c r="AB1090" t="s">
        <v>123</v>
      </c>
      <c r="AC1090" t="s">
        <v>113</v>
      </c>
      <c r="AD1090" t="s">
        <v>108</v>
      </c>
      <c r="AE1090" t="s">
        <v>114</v>
      </c>
      <c r="AF1090" t="s">
        <v>115</v>
      </c>
      <c r="AG1090" t="s">
        <v>116</v>
      </c>
      <c r="AK1090" t="str">
        <f t="shared" ref="AK1090:AK1153" si="114">IF(AM1090="No",C1090,"")</f>
        <v>Praveen R. Bondalapati, MD</v>
      </c>
      <c r="AL1090" t="s">
        <v>6228</v>
      </c>
      <c r="AM1090" t="s">
        <v>108</v>
      </c>
      <c r="AN1090" t="s">
        <v>108</v>
      </c>
      <c r="AO1090" t="s">
        <v>108</v>
      </c>
      <c r="AP1090" t="s">
        <v>108</v>
      </c>
      <c r="AQ1090" t="s">
        <v>108</v>
      </c>
      <c r="AR1090" t="s">
        <v>108</v>
      </c>
      <c r="AS1090" t="s">
        <v>108</v>
      </c>
      <c r="AT1090" t="s">
        <v>108</v>
      </c>
      <c r="AU1090" t="s">
        <v>108</v>
      </c>
      <c r="AV1090" t="s">
        <v>108</v>
      </c>
      <c r="AW1090" t="s">
        <v>108</v>
      </c>
      <c r="AX1090" s="24" t="str">
        <f t="shared" si="112"/>
        <v/>
      </c>
      <c r="AY1090" s="24">
        <f t="shared" si="112"/>
        <v>1</v>
      </c>
      <c r="AZ1090" s="24" t="str">
        <f t="shared" si="113"/>
        <v/>
      </c>
      <c r="BA1090" s="24" t="str">
        <f t="shared" si="113"/>
        <v/>
      </c>
      <c r="BB1090" s="24" t="str">
        <f t="shared" si="113"/>
        <v/>
      </c>
      <c r="BC1090" s="24" t="str">
        <f t="shared" si="113"/>
        <v/>
      </c>
      <c r="BD1090" s="24" t="str">
        <f t="shared" si="113"/>
        <v/>
      </c>
      <c r="BE1090" s="24" t="str">
        <f t="shared" si="113"/>
        <v/>
      </c>
      <c r="BF1090" s="24" t="str">
        <f t="shared" si="113"/>
        <v/>
      </c>
      <c r="BG1090" s="24" t="str">
        <f t="shared" si="113"/>
        <v/>
      </c>
      <c r="BH1090" s="24" t="str">
        <f t="shared" si="108"/>
        <v/>
      </c>
      <c r="BI1090" s="24" t="str">
        <f t="shared" si="113"/>
        <v/>
      </c>
      <c r="BJ1090" s="24" t="str">
        <f t="shared" si="110"/>
        <v/>
      </c>
    </row>
    <row r="1091" spans="1:62" ht="15" customHeight="1" x14ac:dyDescent="0.25">
      <c r="A1091" t="str">
        <f>"1982699252"</f>
        <v>1982699252</v>
      </c>
      <c r="B1091" t="str">
        <f>"03009556"</f>
        <v>03009556</v>
      </c>
      <c r="C1091" t="s">
        <v>3679</v>
      </c>
      <c r="D1091" t="s">
        <v>3680</v>
      </c>
      <c r="E1091" t="s">
        <v>3681</v>
      </c>
      <c r="G1091" t="s">
        <v>2866</v>
      </c>
      <c r="H1091" t="s">
        <v>2867</v>
      </c>
      <c r="J1091" t="s">
        <v>2868</v>
      </c>
      <c r="L1091" t="s">
        <v>3682</v>
      </c>
      <c r="M1091" t="s">
        <v>108</v>
      </c>
      <c r="R1091" t="s">
        <v>3681</v>
      </c>
      <c r="W1091" t="s">
        <v>3681</v>
      </c>
      <c r="X1091" t="s">
        <v>1048</v>
      </c>
      <c r="Y1091" t="s">
        <v>966</v>
      </c>
      <c r="Z1091" t="s">
        <v>111</v>
      </c>
      <c r="AA1091" t="str">
        <f>"13850-3514"</f>
        <v>13850-3514</v>
      </c>
      <c r="AB1091" t="s">
        <v>3683</v>
      </c>
      <c r="AC1091" t="s">
        <v>113</v>
      </c>
      <c r="AD1091" t="s">
        <v>108</v>
      </c>
      <c r="AE1091" t="s">
        <v>114</v>
      </c>
      <c r="AF1091" t="s">
        <v>115</v>
      </c>
      <c r="AG1091" t="s">
        <v>116</v>
      </c>
      <c r="AK1091" t="str">
        <f t="shared" si="114"/>
        <v/>
      </c>
      <c r="AL1091" t="s">
        <v>3680</v>
      </c>
      <c r="AM1091">
        <v>0</v>
      </c>
      <c r="AN1091">
        <v>0</v>
      </c>
      <c r="AO1091">
        <v>0</v>
      </c>
      <c r="AP1091">
        <v>0</v>
      </c>
      <c r="AQ1091">
        <v>0</v>
      </c>
      <c r="AR1091">
        <v>0</v>
      </c>
      <c r="AS1091">
        <v>0</v>
      </c>
      <c r="AT1091">
        <v>0</v>
      </c>
      <c r="AU1091">
        <v>0</v>
      </c>
      <c r="AV1091">
        <v>0</v>
      </c>
      <c r="AW1091">
        <v>0</v>
      </c>
      <c r="AX1091" s="24" t="str">
        <f t="shared" si="112"/>
        <v/>
      </c>
      <c r="AY1091" s="24" t="str">
        <f t="shared" si="112"/>
        <v/>
      </c>
      <c r="AZ1091" s="24" t="str">
        <f t="shared" si="113"/>
        <v/>
      </c>
      <c r="BA1091" s="24" t="str">
        <f t="shared" si="113"/>
        <v/>
      </c>
      <c r="BB1091" s="24" t="str">
        <f t="shared" si="113"/>
        <v/>
      </c>
      <c r="BC1091" s="24" t="str">
        <f t="shared" si="113"/>
        <v/>
      </c>
      <c r="BD1091" s="24" t="str">
        <f t="shared" si="113"/>
        <v/>
      </c>
      <c r="BE1091" s="24" t="str">
        <f t="shared" si="113"/>
        <v/>
      </c>
      <c r="BF1091" s="24">
        <f t="shared" si="113"/>
        <v>1</v>
      </c>
      <c r="BG1091" s="24" t="str">
        <f t="shared" si="113"/>
        <v/>
      </c>
      <c r="BH1091" s="24" t="str">
        <f t="shared" ref="BH1091:BH1154" si="115">IF(ISERROR(FIND("CBO",$L1091,1)),"",1)</f>
        <v/>
      </c>
      <c r="BI1091" s="24">
        <f t="shared" si="113"/>
        <v>1</v>
      </c>
      <c r="BJ1091" s="24" t="str">
        <f t="shared" si="110"/>
        <v/>
      </c>
    </row>
    <row r="1092" spans="1:62" ht="15" customHeight="1" x14ac:dyDescent="0.25">
      <c r="A1092" t="str">
        <f>"1972501682"</f>
        <v>1972501682</v>
      </c>
      <c r="B1092" t="str">
        <f>"04236155"</f>
        <v>04236155</v>
      </c>
      <c r="C1092" t="s">
        <v>6814</v>
      </c>
      <c r="D1092" t="s">
        <v>7096</v>
      </c>
      <c r="E1092" t="s">
        <v>6814</v>
      </c>
      <c r="G1092" t="s">
        <v>1352</v>
      </c>
      <c r="H1092" t="s">
        <v>1301</v>
      </c>
      <c r="J1092" t="s">
        <v>1354</v>
      </c>
      <c r="L1092" t="s">
        <v>247</v>
      </c>
      <c r="M1092" t="s">
        <v>108</v>
      </c>
      <c r="R1092" t="s">
        <v>6955</v>
      </c>
      <c r="W1092" t="s">
        <v>6814</v>
      </c>
      <c r="X1092" t="s">
        <v>2601</v>
      </c>
      <c r="Y1092" t="s">
        <v>239</v>
      </c>
      <c r="Z1092" t="s">
        <v>111</v>
      </c>
      <c r="AA1092" t="str">
        <f>"13045-1643"</f>
        <v>13045-1643</v>
      </c>
      <c r="AB1092" t="s">
        <v>123</v>
      </c>
      <c r="AC1092" t="s">
        <v>113</v>
      </c>
      <c r="AD1092" t="s">
        <v>108</v>
      </c>
      <c r="AE1092" t="s">
        <v>114</v>
      </c>
      <c r="AF1092" t="s">
        <v>142</v>
      </c>
      <c r="AG1092" t="s">
        <v>116</v>
      </c>
      <c r="AK1092" t="str">
        <f t="shared" si="114"/>
        <v>PRYCE MICHAEL LINDSEY</v>
      </c>
      <c r="AL1092" t="s">
        <v>7096</v>
      </c>
      <c r="AM1092" t="s">
        <v>108</v>
      </c>
      <c r="AN1092" t="s">
        <v>108</v>
      </c>
      <c r="AO1092" t="s">
        <v>108</v>
      </c>
      <c r="AP1092" t="s">
        <v>108</v>
      </c>
      <c r="AQ1092" t="s">
        <v>108</v>
      </c>
      <c r="AR1092" t="s">
        <v>108</v>
      </c>
      <c r="AS1092" t="s">
        <v>108</v>
      </c>
      <c r="AT1092" t="s">
        <v>108</v>
      </c>
      <c r="AU1092" t="s">
        <v>108</v>
      </c>
      <c r="AV1092" t="s">
        <v>108</v>
      </c>
      <c r="AW1092" t="s">
        <v>108</v>
      </c>
      <c r="AX1092" s="24" t="str">
        <f t="shared" si="112"/>
        <v/>
      </c>
      <c r="AY1092" s="24">
        <f t="shared" si="112"/>
        <v>1</v>
      </c>
      <c r="AZ1092" s="24" t="str">
        <f t="shared" si="113"/>
        <v/>
      </c>
      <c r="BA1092" s="24" t="str">
        <f t="shared" si="113"/>
        <v/>
      </c>
      <c r="BB1092" s="24" t="str">
        <f t="shared" si="113"/>
        <v/>
      </c>
      <c r="BC1092" s="24" t="str">
        <f t="shared" si="113"/>
        <v/>
      </c>
      <c r="BD1092" s="24" t="str">
        <f t="shared" si="113"/>
        <v/>
      </c>
      <c r="BE1092" s="24" t="str">
        <f t="shared" si="113"/>
        <v/>
      </c>
      <c r="BF1092" s="24" t="str">
        <f t="shared" si="113"/>
        <v/>
      </c>
      <c r="BG1092" s="24" t="str">
        <f t="shared" si="113"/>
        <v/>
      </c>
      <c r="BH1092" s="24" t="str">
        <f t="shared" si="115"/>
        <v/>
      </c>
      <c r="BI1092" s="24" t="str">
        <f t="shared" si="113"/>
        <v/>
      </c>
      <c r="BJ1092" s="24" t="str">
        <f t="shared" si="110"/>
        <v/>
      </c>
    </row>
    <row r="1093" spans="1:62" ht="15" customHeight="1" x14ac:dyDescent="0.25">
      <c r="A1093" t="str">
        <f>"1821019670"</f>
        <v>1821019670</v>
      </c>
      <c r="B1093" t="str">
        <f>"02328292"</f>
        <v>02328292</v>
      </c>
      <c r="C1093" t="s">
        <v>6768</v>
      </c>
      <c r="D1093" t="s">
        <v>7040</v>
      </c>
      <c r="E1093" t="s">
        <v>6895</v>
      </c>
      <c r="G1093" t="s">
        <v>7184</v>
      </c>
      <c r="H1093" t="s">
        <v>2379</v>
      </c>
      <c r="J1093" t="s">
        <v>7185</v>
      </c>
      <c r="L1093" t="s">
        <v>120</v>
      </c>
      <c r="M1093" t="s">
        <v>108</v>
      </c>
      <c r="R1093" t="s">
        <v>6768</v>
      </c>
      <c r="W1093" t="s">
        <v>6895</v>
      </c>
      <c r="X1093" t="s">
        <v>2382</v>
      </c>
      <c r="Y1093" t="s">
        <v>979</v>
      </c>
      <c r="Z1093" t="s">
        <v>111</v>
      </c>
      <c r="AA1093" t="str">
        <f>"13760-3646"</f>
        <v>13760-3646</v>
      </c>
      <c r="AB1093" t="s">
        <v>123</v>
      </c>
      <c r="AC1093" t="s">
        <v>113</v>
      </c>
      <c r="AD1093" t="s">
        <v>108</v>
      </c>
      <c r="AE1093" t="s">
        <v>114</v>
      </c>
      <c r="AF1093" t="s">
        <v>115</v>
      </c>
      <c r="AG1093" t="s">
        <v>116</v>
      </c>
      <c r="AK1093" t="str">
        <f t="shared" si="114"/>
        <v>PUGLISI SUSAN</v>
      </c>
      <c r="AL1093" t="s">
        <v>7040</v>
      </c>
      <c r="AM1093" t="s">
        <v>108</v>
      </c>
      <c r="AN1093" t="s">
        <v>108</v>
      </c>
      <c r="AO1093" t="s">
        <v>108</v>
      </c>
      <c r="AP1093" t="s">
        <v>108</v>
      </c>
      <c r="AQ1093" t="s">
        <v>108</v>
      </c>
      <c r="AR1093" t="s">
        <v>108</v>
      </c>
      <c r="AS1093" t="s">
        <v>108</v>
      </c>
      <c r="AT1093" t="s">
        <v>108</v>
      </c>
      <c r="AU1093" t="s">
        <v>108</v>
      </c>
      <c r="AV1093" t="s">
        <v>108</v>
      </c>
      <c r="AW1093" t="s">
        <v>108</v>
      </c>
      <c r="AX1093" s="24">
        <f t="shared" si="112"/>
        <v>1</v>
      </c>
      <c r="AY1093" s="24" t="str">
        <f t="shared" si="112"/>
        <v/>
      </c>
      <c r="AZ1093" s="24" t="str">
        <f t="shared" si="113"/>
        <v/>
      </c>
      <c r="BA1093" s="24" t="str">
        <f t="shared" si="113"/>
        <v/>
      </c>
      <c r="BB1093" s="24" t="str">
        <f t="shared" si="113"/>
        <v/>
      </c>
      <c r="BC1093" s="24" t="str">
        <f t="shared" si="113"/>
        <v/>
      </c>
      <c r="BD1093" s="24" t="str">
        <f t="shared" si="113"/>
        <v/>
      </c>
      <c r="BE1093" s="24" t="str">
        <f t="shared" si="113"/>
        <v/>
      </c>
      <c r="BF1093" s="24" t="str">
        <f t="shared" si="113"/>
        <v/>
      </c>
      <c r="BG1093" s="24" t="str">
        <f t="shared" si="113"/>
        <v/>
      </c>
      <c r="BH1093" s="24" t="str">
        <f t="shared" si="115"/>
        <v/>
      </c>
      <c r="BI1093" s="24">
        <f t="shared" si="113"/>
        <v>1</v>
      </c>
      <c r="BJ1093" s="24" t="str">
        <f t="shared" si="110"/>
        <v/>
      </c>
    </row>
    <row r="1094" spans="1:62" ht="15" customHeight="1" x14ac:dyDescent="0.25">
      <c r="A1094" t="str">
        <f>"1780685693"</f>
        <v>1780685693</v>
      </c>
      <c r="B1094" t="str">
        <f>"00435465"</f>
        <v>00435465</v>
      </c>
      <c r="C1094" t="s">
        <v>6756</v>
      </c>
      <c r="D1094" t="s">
        <v>7025</v>
      </c>
      <c r="E1094" t="s">
        <v>6877</v>
      </c>
      <c r="G1094" t="s">
        <v>6330</v>
      </c>
      <c r="H1094" t="s">
        <v>6331</v>
      </c>
      <c r="J1094" t="s">
        <v>6332</v>
      </c>
      <c r="L1094" t="s">
        <v>120</v>
      </c>
      <c r="M1094" t="s">
        <v>139</v>
      </c>
      <c r="R1094" t="s">
        <v>6756</v>
      </c>
      <c r="W1094" t="s">
        <v>6877</v>
      </c>
      <c r="X1094" t="s">
        <v>6878</v>
      </c>
      <c r="Y1094" t="s">
        <v>110</v>
      </c>
      <c r="Z1094" t="s">
        <v>111</v>
      </c>
      <c r="AA1094" t="str">
        <f>"13901-1293"</f>
        <v>13901-1293</v>
      </c>
      <c r="AB1094" t="s">
        <v>123</v>
      </c>
      <c r="AC1094" t="s">
        <v>113</v>
      </c>
      <c r="AD1094" t="s">
        <v>108</v>
      </c>
      <c r="AE1094" t="s">
        <v>114</v>
      </c>
      <c r="AF1094" t="s">
        <v>115</v>
      </c>
      <c r="AG1094" t="s">
        <v>116</v>
      </c>
      <c r="AK1094" t="str">
        <f t="shared" si="114"/>
        <v>PUTTANNIAH MANGALA</v>
      </c>
      <c r="AL1094" t="s">
        <v>7025</v>
      </c>
      <c r="AM1094" t="s">
        <v>108</v>
      </c>
      <c r="AN1094" t="s">
        <v>108</v>
      </c>
      <c r="AO1094" t="s">
        <v>108</v>
      </c>
      <c r="AP1094" t="s">
        <v>108</v>
      </c>
      <c r="AQ1094" t="s">
        <v>108</v>
      </c>
      <c r="AR1094" t="s">
        <v>108</v>
      </c>
      <c r="AS1094" t="s">
        <v>108</v>
      </c>
      <c r="AT1094" t="s">
        <v>108</v>
      </c>
      <c r="AU1094" t="s">
        <v>108</v>
      </c>
      <c r="AV1094" t="s">
        <v>108</v>
      </c>
      <c r="AW1094" t="s">
        <v>108</v>
      </c>
      <c r="AX1094" s="24">
        <f t="shared" si="112"/>
        <v>1</v>
      </c>
      <c r="AY1094" s="24" t="str">
        <f t="shared" si="112"/>
        <v/>
      </c>
      <c r="AZ1094" s="24" t="str">
        <f t="shared" si="113"/>
        <v/>
      </c>
      <c r="BA1094" s="24" t="str">
        <f t="shared" si="113"/>
        <v/>
      </c>
      <c r="BB1094" s="24" t="str">
        <f t="shared" si="113"/>
        <v/>
      </c>
      <c r="BC1094" s="24" t="str">
        <f t="shared" si="113"/>
        <v/>
      </c>
      <c r="BD1094" s="24" t="str">
        <f t="shared" si="113"/>
        <v/>
      </c>
      <c r="BE1094" s="24" t="str">
        <f t="shared" si="113"/>
        <v/>
      </c>
      <c r="BF1094" s="24" t="str">
        <f t="shared" si="113"/>
        <v/>
      </c>
      <c r="BG1094" s="24" t="str">
        <f t="shared" si="113"/>
        <v/>
      </c>
      <c r="BH1094" s="24" t="str">
        <f t="shared" si="115"/>
        <v/>
      </c>
      <c r="BI1094" s="24">
        <f t="shared" si="113"/>
        <v>1</v>
      </c>
      <c r="BJ1094" s="24" t="str">
        <f t="shared" si="110"/>
        <v/>
      </c>
    </row>
    <row r="1095" spans="1:62" ht="15" customHeight="1" x14ac:dyDescent="0.25">
      <c r="A1095" t="str">
        <f>"1659345189"</f>
        <v>1659345189</v>
      </c>
      <c r="B1095" t="str">
        <f>"00689318"</f>
        <v>00689318</v>
      </c>
      <c r="C1095" t="s">
        <v>5342</v>
      </c>
      <c r="D1095" t="s">
        <v>5343</v>
      </c>
      <c r="E1095" t="s">
        <v>5342</v>
      </c>
      <c r="G1095" t="s">
        <v>699</v>
      </c>
      <c r="H1095" t="s">
        <v>700</v>
      </c>
      <c r="J1095" t="s">
        <v>701</v>
      </c>
      <c r="L1095" t="s">
        <v>120</v>
      </c>
      <c r="M1095" t="s">
        <v>139</v>
      </c>
      <c r="R1095" t="s">
        <v>5344</v>
      </c>
      <c r="W1095" t="s">
        <v>5345</v>
      </c>
      <c r="Y1095" t="s">
        <v>157</v>
      </c>
      <c r="Z1095" t="s">
        <v>111</v>
      </c>
      <c r="AA1095" t="str">
        <f>"14830-2899"</f>
        <v>14830-2899</v>
      </c>
      <c r="AB1095" t="s">
        <v>123</v>
      </c>
      <c r="AC1095" t="s">
        <v>113</v>
      </c>
      <c r="AD1095" t="s">
        <v>108</v>
      </c>
      <c r="AE1095" t="s">
        <v>114</v>
      </c>
      <c r="AF1095" t="s">
        <v>149</v>
      </c>
      <c r="AG1095" t="s">
        <v>116</v>
      </c>
      <c r="AK1095" t="str">
        <f t="shared" si="114"/>
        <v/>
      </c>
      <c r="AL1095" t="s">
        <v>5343</v>
      </c>
      <c r="AM1095">
        <v>1</v>
      </c>
      <c r="AN1095">
        <v>1</v>
      </c>
      <c r="AO1095">
        <v>0</v>
      </c>
      <c r="AP1095">
        <v>0</v>
      </c>
      <c r="AQ1095">
        <v>0</v>
      </c>
      <c r="AR1095">
        <v>0</v>
      </c>
      <c r="AS1095">
        <v>0</v>
      </c>
      <c r="AT1095">
        <v>1</v>
      </c>
      <c r="AU1095">
        <v>1</v>
      </c>
      <c r="AV1095">
        <v>1</v>
      </c>
      <c r="AW1095">
        <v>0</v>
      </c>
      <c r="AX1095" s="24">
        <f t="shared" si="112"/>
        <v>1</v>
      </c>
      <c r="AY1095" s="24" t="str">
        <f t="shared" si="112"/>
        <v/>
      </c>
      <c r="AZ1095" s="24" t="str">
        <f t="shared" si="113"/>
        <v/>
      </c>
      <c r="BA1095" s="24" t="str">
        <f t="shared" si="113"/>
        <v/>
      </c>
      <c r="BB1095" s="24" t="str">
        <f t="shared" si="113"/>
        <v/>
      </c>
      <c r="BC1095" s="24" t="str">
        <f t="shared" si="113"/>
        <v/>
      </c>
      <c r="BD1095" s="24" t="str">
        <f t="shared" si="113"/>
        <v/>
      </c>
      <c r="BE1095" s="24" t="str">
        <f t="shared" si="113"/>
        <v/>
      </c>
      <c r="BF1095" s="24" t="str">
        <f t="shared" si="113"/>
        <v/>
      </c>
      <c r="BG1095" s="24" t="str">
        <f t="shared" si="113"/>
        <v/>
      </c>
      <c r="BH1095" s="24" t="str">
        <f t="shared" si="115"/>
        <v/>
      </c>
      <c r="BI1095" s="24">
        <f t="shared" si="113"/>
        <v>1</v>
      </c>
      <c r="BJ1095" s="24" t="str">
        <f t="shared" si="110"/>
        <v/>
      </c>
    </row>
    <row r="1096" spans="1:62" ht="15" customHeight="1" x14ac:dyDescent="0.25">
      <c r="A1096" t="str">
        <f>"1083651285"</f>
        <v>1083651285</v>
      </c>
      <c r="B1096" t="str">
        <f>"02594838"</f>
        <v>02594838</v>
      </c>
      <c r="C1096" t="s">
        <v>5252</v>
      </c>
      <c r="D1096" t="s">
        <v>5253</v>
      </c>
      <c r="E1096" t="s">
        <v>5254</v>
      </c>
      <c r="G1096" t="s">
        <v>3437</v>
      </c>
      <c r="H1096" t="s">
        <v>3438</v>
      </c>
      <c r="J1096" t="s">
        <v>5255</v>
      </c>
      <c r="L1096" t="s">
        <v>138</v>
      </c>
      <c r="M1096" t="s">
        <v>108</v>
      </c>
      <c r="R1096" t="s">
        <v>5256</v>
      </c>
      <c r="W1096" t="s">
        <v>5254</v>
      </c>
      <c r="X1096" t="s">
        <v>5257</v>
      </c>
      <c r="Y1096" t="s">
        <v>2853</v>
      </c>
      <c r="Z1096" t="s">
        <v>111</v>
      </c>
      <c r="AA1096" t="str">
        <f>"14456-2061"</f>
        <v>14456-2061</v>
      </c>
      <c r="AB1096" t="s">
        <v>123</v>
      </c>
      <c r="AC1096" t="s">
        <v>113</v>
      </c>
      <c r="AD1096" t="s">
        <v>108</v>
      </c>
      <c r="AE1096" t="s">
        <v>114</v>
      </c>
      <c r="AF1096" t="s">
        <v>142</v>
      </c>
      <c r="AG1096" t="s">
        <v>116</v>
      </c>
      <c r="AK1096" t="str">
        <f t="shared" si="114"/>
        <v/>
      </c>
      <c r="AL1096" t="s">
        <v>5253</v>
      </c>
      <c r="AM1096">
        <v>1</v>
      </c>
      <c r="AN1096">
        <v>1</v>
      </c>
      <c r="AO1096">
        <v>0</v>
      </c>
      <c r="AP1096">
        <v>0</v>
      </c>
      <c r="AQ1096">
        <v>0</v>
      </c>
      <c r="AR1096">
        <v>0</v>
      </c>
      <c r="AS1096">
        <v>0</v>
      </c>
      <c r="AT1096">
        <v>0</v>
      </c>
      <c r="AU1096">
        <v>0</v>
      </c>
      <c r="AV1096">
        <v>0</v>
      </c>
      <c r="AW1096">
        <v>0</v>
      </c>
      <c r="AX1096" s="24" t="str">
        <f t="shared" si="112"/>
        <v/>
      </c>
      <c r="AY1096" s="24">
        <f t="shared" si="112"/>
        <v>1</v>
      </c>
      <c r="AZ1096" s="24" t="str">
        <f t="shared" si="113"/>
        <v/>
      </c>
      <c r="BA1096" s="24" t="str">
        <f t="shared" si="113"/>
        <v/>
      </c>
      <c r="BB1096" s="24" t="str">
        <f t="shared" si="113"/>
        <v/>
      </c>
      <c r="BC1096" s="24" t="str">
        <f t="shared" si="113"/>
        <v/>
      </c>
      <c r="BD1096" s="24" t="str">
        <f t="shared" si="113"/>
        <v/>
      </c>
      <c r="BE1096" s="24" t="str">
        <f t="shared" si="113"/>
        <v/>
      </c>
      <c r="BF1096" s="24" t="str">
        <f t="shared" si="113"/>
        <v/>
      </c>
      <c r="BG1096" s="24" t="str">
        <f t="shared" si="113"/>
        <v/>
      </c>
      <c r="BH1096" s="24" t="str">
        <f t="shared" si="115"/>
        <v/>
      </c>
      <c r="BI1096" s="24">
        <f t="shared" si="113"/>
        <v>1</v>
      </c>
      <c r="BJ1096" s="24" t="str">
        <f t="shared" si="110"/>
        <v/>
      </c>
    </row>
    <row r="1097" spans="1:62" ht="15" customHeight="1" x14ac:dyDescent="0.25">
      <c r="A1097" t="str">
        <f>"1063684579"</f>
        <v>1063684579</v>
      </c>
      <c r="B1097" t="str">
        <f>"03783933"</f>
        <v>03783933</v>
      </c>
      <c r="C1097" t="s">
        <v>6179</v>
      </c>
      <c r="D1097" t="s">
        <v>6180</v>
      </c>
      <c r="E1097" t="s">
        <v>6181</v>
      </c>
      <c r="G1097" t="s">
        <v>815</v>
      </c>
      <c r="H1097" t="s">
        <v>816</v>
      </c>
      <c r="J1097" t="s">
        <v>817</v>
      </c>
      <c r="L1097" t="s">
        <v>138</v>
      </c>
      <c r="M1097" t="s">
        <v>108</v>
      </c>
      <c r="R1097" t="s">
        <v>6182</v>
      </c>
      <c r="W1097" t="s">
        <v>6181</v>
      </c>
      <c r="X1097" t="s">
        <v>6183</v>
      </c>
      <c r="Y1097" t="s">
        <v>110</v>
      </c>
      <c r="Z1097" t="s">
        <v>111</v>
      </c>
      <c r="AA1097" t="str">
        <f>"13903-1710"</f>
        <v>13903-1710</v>
      </c>
      <c r="AB1097" t="s">
        <v>123</v>
      </c>
      <c r="AC1097" t="s">
        <v>113</v>
      </c>
      <c r="AD1097" t="s">
        <v>108</v>
      </c>
      <c r="AE1097" t="s">
        <v>114</v>
      </c>
      <c r="AF1097" t="s">
        <v>115</v>
      </c>
      <c r="AG1097" t="s">
        <v>116</v>
      </c>
      <c r="AK1097" t="str">
        <f t="shared" si="114"/>
        <v>Rachel Garner, MD</v>
      </c>
      <c r="AL1097" t="s">
        <v>6180</v>
      </c>
      <c r="AM1097" t="s">
        <v>108</v>
      </c>
      <c r="AN1097" t="s">
        <v>108</v>
      </c>
      <c r="AO1097" t="s">
        <v>108</v>
      </c>
      <c r="AP1097" t="s">
        <v>108</v>
      </c>
      <c r="AQ1097" t="s">
        <v>108</v>
      </c>
      <c r="AR1097" t="s">
        <v>108</v>
      </c>
      <c r="AS1097" t="s">
        <v>108</v>
      </c>
      <c r="AT1097" t="s">
        <v>108</v>
      </c>
      <c r="AU1097" t="s">
        <v>108</v>
      </c>
      <c r="AV1097" t="s">
        <v>108</v>
      </c>
      <c r="AW1097" t="s">
        <v>108</v>
      </c>
      <c r="AX1097" s="24" t="str">
        <f t="shared" si="112"/>
        <v/>
      </c>
      <c r="AY1097" s="24">
        <f t="shared" si="112"/>
        <v>1</v>
      </c>
      <c r="AZ1097" s="24" t="str">
        <f t="shared" si="113"/>
        <v/>
      </c>
      <c r="BA1097" s="24" t="str">
        <f t="shared" si="113"/>
        <v/>
      </c>
      <c r="BB1097" s="24" t="str">
        <f t="shared" si="113"/>
        <v/>
      </c>
      <c r="BC1097" s="24" t="str">
        <f t="shared" si="113"/>
        <v/>
      </c>
      <c r="BD1097" s="24" t="str">
        <f t="shared" si="113"/>
        <v/>
      </c>
      <c r="BE1097" s="24" t="str">
        <f t="shared" si="113"/>
        <v/>
      </c>
      <c r="BF1097" s="24" t="str">
        <f t="shared" si="113"/>
        <v/>
      </c>
      <c r="BG1097" s="24" t="str">
        <f t="shared" si="113"/>
        <v/>
      </c>
      <c r="BH1097" s="24" t="str">
        <f t="shared" si="115"/>
        <v/>
      </c>
      <c r="BI1097" s="24">
        <f t="shared" si="113"/>
        <v>1</v>
      </c>
      <c r="BJ1097" s="24" t="str">
        <f t="shared" si="110"/>
        <v/>
      </c>
    </row>
    <row r="1098" spans="1:62" ht="15" customHeight="1" x14ac:dyDescent="0.25">
      <c r="A1098" t="str">
        <f>"1043524549"</f>
        <v>1043524549</v>
      </c>
      <c r="B1098" t="str">
        <f>"03272268"</f>
        <v>03272268</v>
      </c>
      <c r="C1098" t="s">
        <v>6262</v>
      </c>
      <c r="D1098" t="s">
        <v>6263</v>
      </c>
      <c r="E1098" t="s">
        <v>6262</v>
      </c>
      <c r="G1098" t="s">
        <v>6264</v>
      </c>
      <c r="H1098" t="s">
        <v>2567</v>
      </c>
      <c r="J1098" t="s">
        <v>6265</v>
      </c>
      <c r="L1098" t="s">
        <v>68</v>
      </c>
      <c r="M1098" t="s">
        <v>108</v>
      </c>
      <c r="R1098" t="s">
        <v>6262</v>
      </c>
      <c r="W1098" t="s">
        <v>6262</v>
      </c>
      <c r="X1098" t="s">
        <v>6266</v>
      </c>
      <c r="Y1098" t="s">
        <v>293</v>
      </c>
      <c r="Z1098" t="s">
        <v>111</v>
      </c>
      <c r="AA1098" t="str">
        <f>"14850-1092"</f>
        <v>14850-1092</v>
      </c>
      <c r="AB1098" t="s">
        <v>112</v>
      </c>
      <c r="AC1098" t="s">
        <v>113</v>
      </c>
      <c r="AD1098" t="s">
        <v>108</v>
      </c>
      <c r="AE1098" t="s">
        <v>114</v>
      </c>
      <c r="AF1098" t="s">
        <v>142</v>
      </c>
      <c r="AG1098" t="s">
        <v>116</v>
      </c>
      <c r="AK1098" t="str">
        <f t="shared" si="114"/>
        <v>RADOMIR D STEVANOVIC MD PC</v>
      </c>
      <c r="AL1098" t="s">
        <v>6263</v>
      </c>
      <c r="AM1098" t="s">
        <v>108</v>
      </c>
      <c r="AN1098" t="s">
        <v>108</v>
      </c>
      <c r="AO1098" t="s">
        <v>108</v>
      </c>
      <c r="AP1098" t="s">
        <v>108</v>
      </c>
      <c r="AQ1098" t="s">
        <v>108</v>
      </c>
      <c r="AR1098" t="s">
        <v>108</v>
      </c>
      <c r="AS1098" t="s">
        <v>108</v>
      </c>
      <c r="AT1098" t="s">
        <v>108</v>
      </c>
      <c r="AU1098" t="s">
        <v>108</v>
      </c>
      <c r="AV1098" t="s">
        <v>108</v>
      </c>
      <c r="AW1098" t="s">
        <v>108</v>
      </c>
      <c r="AX1098" s="24" t="str">
        <f t="shared" si="112"/>
        <v/>
      </c>
      <c r="AY1098" s="24" t="str">
        <f t="shared" si="112"/>
        <v/>
      </c>
      <c r="AZ1098" s="24" t="str">
        <f t="shared" si="113"/>
        <v/>
      </c>
      <c r="BA1098" s="24" t="str">
        <f t="shared" si="113"/>
        <v/>
      </c>
      <c r="BB1098" s="24" t="str">
        <f t="shared" si="113"/>
        <v/>
      </c>
      <c r="BC1098" s="24" t="str">
        <f t="shared" si="113"/>
        <v/>
      </c>
      <c r="BD1098" s="24" t="str">
        <f t="shared" si="113"/>
        <v/>
      </c>
      <c r="BE1098" s="24" t="str">
        <f t="shared" si="113"/>
        <v/>
      </c>
      <c r="BF1098" s="24" t="str">
        <f t="shared" si="113"/>
        <v/>
      </c>
      <c r="BG1098" s="24" t="str">
        <f t="shared" si="113"/>
        <v/>
      </c>
      <c r="BH1098" s="24" t="str">
        <f t="shared" si="115"/>
        <v/>
      </c>
      <c r="BI1098" s="24">
        <f t="shared" si="113"/>
        <v>1</v>
      </c>
      <c r="BJ1098" s="24" t="str">
        <f t="shared" si="110"/>
        <v/>
      </c>
    </row>
    <row r="1099" spans="1:62" ht="15" customHeight="1" x14ac:dyDescent="0.25">
      <c r="A1099" t="str">
        <f>"1508883208"</f>
        <v>1508883208</v>
      </c>
      <c r="B1099" t="str">
        <f>"01122458"</f>
        <v>01122458</v>
      </c>
      <c r="C1099" t="s">
        <v>2563</v>
      </c>
      <c r="D1099" t="s">
        <v>2564</v>
      </c>
      <c r="E1099" t="s">
        <v>2565</v>
      </c>
      <c r="G1099" t="s">
        <v>2566</v>
      </c>
      <c r="H1099" t="s">
        <v>2567</v>
      </c>
      <c r="J1099" t="s">
        <v>2568</v>
      </c>
      <c r="L1099" t="s">
        <v>120</v>
      </c>
      <c r="M1099" t="s">
        <v>139</v>
      </c>
      <c r="R1099" t="s">
        <v>2569</v>
      </c>
      <c r="W1099" t="s">
        <v>2570</v>
      </c>
      <c r="X1099" t="s">
        <v>2571</v>
      </c>
      <c r="Y1099" t="s">
        <v>293</v>
      </c>
      <c r="Z1099" t="s">
        <v>111</v>
      </c>
      <c r="AA1099" t="str">
        <f>"14850-2017"</f>
        <v>14850-2017</v>
      </c>
      <c r="AB1099" t="s">
        <v>123</v>
      </c>
      <c r="AC1099" t="s">
        <v>113</v>
      </c>
      <c r="AD1099" t="s">
        <v>108</v>
      </c>
      <c r="AE1099" t="s">
        <v>114</v>
      </c>
      <c r="AF1099" t="s">
        <v>142</v>
      </c>
      <c r="AG1099" t="s">
        <v>116</v>
      </c>
      <c r="AK1099" t="str">
        <f t="shared" si="114"/>
        <v/>
      </c>
      <c r="AL1099" t="s">
        <v>2564</v>
      </c>
      <c r="AM1099">
        <v>1</v>
      </c>
      <c r="AN1099">
        <v>0</v>
      </c>
      <c r="AO1099">
        <v>0</v>
      </c>
      <c r="AP1099">
        <v>0</v>
      </c>
      <c r="AQ1099">
        <v>0</v>
      </c>
      <c r="AR1099">
        <v>1</v>
      </c>
      <c r="AS1099">
        <v>0</v>
      </c>
      <c r="AT1099">
        <v>0</v>
      </c>
      <c r="AU1099">
        <v>0</v>
      </c>
      <c r="AV1099">
        <v>0</v>
      </c>
      <c r="AW1099">
        <v>0</v>
      </c>
      <c r="AX1099" s="24">
        <f t="shared" si="112"/>
        <v>1</v>
      </c>
      <c r="AY1099" s="24" t="str">
        <f t="shared" si="112"/>
        <v/>
      </c>
      <c r="AZ1099" s="24" t="str">
        <f t="shared" si="113"/>
        <v/>
      </c>
      <c r="BA1099" s="24" t="str">
        <f t="shared" si="113"/>
        <v/>
      </c>
      <c r="BB1099" s="24" t="str">
        <f t="shared" si="113"/>
        <v/>
      </c>
      <c r="BC1099" s="24" t="str">
        <f t="shared" si="113"/>
        <v/>
      </c>
      <c r="BD1099" s="24" t="str">
        <f t="shared" si="113"/>
        <v/>
      </c>
      <c r="BE1099" s="24" t="str">
        <f t="shared" si="113"/>
        <v/>
      </c>
      <c r="BF1099" s="24" t="str">
        <f t="shared" si="113"/>
        <v/>
      </c>
      <c r="BG1099" s="24" t="str">
        <f t="shared" si="113"/>
        <v/>
      </c>
      <c r="BH1099" s="24" t="str">
        <f t="shared" si="115"/>
        <v/>
      </c>
      <c r="BI1099" s="24">
        <f t="shared" si="113"/>
        <v>1</v>
      </c>
      <c r="BJ1099" s="24" t="str">
        <f t="shared" si="110"/>
        <v/>
      </c>
    </row>
    <row r="1100" spans="1:62" ht="15" customHeight="1" x14ac:dyDescent="0.25">
      <c r="A1100" t="str">
        <f>"1871766246"</f>
        <v>1871766246</v>
      </c>
      <c r="B1100" t="str">
        <f>"03737184"</f>
        <v>03737184</v>
      </c>
      <c r="C1100" t="s">
        <v>6836</v>
      </c>
      <c r="D1100" t="s">
        <v>7124</v>
      </c>
      <c r="E1100" t="s">
        <v>6981</v>
      </c>
      <c r="G1100" t="s">
        <v>5687</v>
      </c>
      <c r="H1100" t="s">
        <v>5688</v>
      </c>
      <c r="J1100" t="s">
        <v>5689</v>
      </c>
      <c r="L1100" t="s">
        <v>809</v>
      </c>
      <c r="M1100" t="s">
        <v>108</v>
      </c>
      <c r="R1100" t="s">
        <v>6836</v>
      </c>
      <c r="W1100" t="s">
        <v>6981</v>
      </c>
      <c r="X1100" t="s">
        <v>6982</v>
      </c>
      <c r="Y1100" t="s">
        <v>927</v>
      </c>
      <c r="Z1100" t="s">
        <v>111</v>
      </c>
      <c r="AA1100" t="str">
        <f>"14901-3332"</f>
        <v>14901-3332</v>
      </c>
      <c r="AB1100" t="s">
        <v>123</v>
      </c>
      <c r="AC1100" t="s">
        <v>113</v>
      </c>
      <c r="AD1100" t="s">
        <v>108</v>
      </c>
      <c r="AE1100" t="s">
        <v>114</v>
      </c>
      <c r="AF1100" t="s">
        <v>149</v>
      </c>
      <c r="AG1100" t="s">
        <v>116</v>
      </c>
      <c r="AK1100" t="str">
        <f t="shared" si="114"/>
        <v>RAFFERTY SONYA</v>
      </c>
      <c r="AL1100" t="s">
        <v>7124</v>
      </c>
      <c r="AM1100" t="s">
        <v>108</v>
      </c>
      <c r="AN1100" t="s">
        <v>108</v>
      </c>
      <c r="AO1100" t="s">
        <v>108</v>
      </c>
      <c r="AP1100" t="s">
        <v>108</v>
      </c>
      <c r="AQ1100" t="s">
        <v>108</v>
      </c>
      <c r="AR1100" t="s">
        <v>108</v>
      </c>
      <c r="AS1100" t="s">
        <v>108</v>
      </c>
      <c r="AT1100" t="s">
        <v>108</v>
      </c>
      <c r="AU1100" t="s">
        <v>108</v>
      </c>
      <c r="AV1100" t="s">
        <v>108</v>
      </c>
      <c r="AW1100" t="s">
        <v>108</v>
      </c>
      <c r="AX1100" s="24" t="str">
        <f t="shared" si="112"/>
        <v/>
      </c>
      <c r="AY1100" s="24">
        <f t="shared" si="112"/>
        <v>1</v>
      </c>
      <c r="AZ1100" s="24" t="str">
        <f t="shared" si="113"/>
        <v/>
      </c>
      <c r="BA1100" s="24" t="str">
        <f t="shared" si="113"/>
        <v/>
      </c>
      <c r="BB1100" s="24" t="str">
        <f t="shared" si="113"/>
        <v/>
      </c>
      <c r="BC1100" s="24">
        <f t="shared" si="113"/>
        <v>1</v>
      </c>
      <c r="BD1100" s="24" t="str">
        <f t="shared" si="113"/>
        <v/>
      </c>
      <c r="BE1100" s="24" t="str">
        <f t="shared" si="113"/>
        <v/>
      </c>
      <c r="BF1100" s="24" t="str">
        <f t="shared" si="113"/>
        <v/>
      </c>
      <c r="BG1100" s="24" t="str">
        <f t="shared" si="113"/>
        <v/>
      </c>
      <c r="BH1100" s="24" t="str">
        <f t="shared" si="115"/>
        <v/>
      </c>
      <c r="BI1100" s="24" t="str">
        <f t="shared" si="113"/>
        <v/>
      </c>
      <c r="BJ1100" s="24" t="str">
        <f t="shared" si="110"/>
        <v/>
      </c>
    </row>
    <row r="1101" spans="1:62" ht="15" customHeight="1" x14ac:dyDescent="0.25">
      <c r="A1101" t="str">
        <f>"1962485532"</f>
        <v>1962485532</v>
      </c>
      <c r="B1101" t="str">
        <f>"01656220"</f>
        <v>01656220</v>
      </c>
      <c r="C1101" t="s">
        <v>514</v>
      </c>
      <c r="D1101" t="s">
        <v>515</v>
      </c>
      <c r="E1101" t="s">
        <v>516</v>
      </c>
      <c r="G1101" t="s">
        <v>177</v>
      </c>
      <c r="H1101" t="s">
        <v>178</v>
      </c>
      <c r="J1101" t="s">
        <v>179</v>
      </c>
      <c r="L1101" t="s">
        <v>138</v>
      </c>
      <c r="M1101" t="s">
        <v>108</v>
      </c>
      <c r="R1101" t="s">
        <v>514</v>
      </c>
      <c r="W1101" t="s">
        <v>517</v>
      </c>
      <c r="X1101" t="s">
        <v>196</v>
      </c>
      <c r="Y1101" t="s">
        <v>181</v>
      </c>
      <c r="Z1101" t="s">
        <v>182</v>
      </c>
      <c r="AA1101" t="str">
        <f>"18840-1625"</f>
        <v>18840-1625</v>
      </c>
      <c r="AB1101" t="s">
        <v>123</v>
      </c>
      <c r="AC1101" t="s">
        <v>113</v>
      </c>
      <c r="AD1101" t="s">
        <v>108</v>
      </c>
      <c r="AE1101" t="s">
        <v>114</v>
      </c>
      <c r="AF1101" t="s">
        <v>115</v>
      </c>
      <c r="AG1101" t="s">
        <v>116</v>
      </c>
      <c r="AK1101" t="str">
        <f t="shared" si="114"/>
        <v/>
      </c>
      <c r="AL1101" t="s">
        <v>515</v>
      </c>
      <c r="AM1101">
        <v>1</v>
      </c>
      <c r="AN1101">
        <v>1</v>
      </c>
      <c r="AO1101">
        <v>0</v>
      </c>
      <c r="AP1101">
        <v>0</v>
      </c>
      <c r="AQ1101">
        <v>0</v>
      </c>
      <c r="AR1101">
        <v>0</v>
      </c>
      <c r="AS1101">
        <v>0</v>
      </c>
      <c r="AT1101">
        <v>0</v>
      </c>
      <c r="AU1101">
        <v>0</v>
      </c>
      <c r="AV1101">
        <v>1</v>
      </c>
      <c r="AW1101">
        <v>0</v>
      </c>
      <c r="AX1101" s="24" t="str">
        <f t="shared" si="112"/>
        <v/>
      </c>
      <c r="AY1101" s="24">
        <f t="shared" si="112"/>
        <v>1</v>
      </c>
      <c r="AZ1101" s="24" t="str">
        <f t="shared" si="113"/>
        <v/>
      </c>
      <c r="BA1101" s="24" t="str">
        <f t="shared" si="113"/>
        <v/>
      </c>
      <c r="BB1101" s="24" t="str">
        <f t="shared" si="113"/>
        <v/>
      </c>
      <c r="BC1101" s="24" t="str">
        <f t="shared" si="113"/>
        <v/>
      </c>
      <c r="BD1101" s="24" t="str">
        <f t="shared" si="113"/>
        <v/>
      </c>
      <c r="BE1101" s="24" t="str">
        <f t="shared" si="113"/>
        <v/>
      </c>
      <c r="BF1101" s="24" t="str">
        <f t="shared" si="113"/>
        <v/>
      </c>
      <c r="BG1101" s="24" t="str">
        <f t="shared" si="113"/>
        <v/>
      </c>
      <c r="BH1101" s="24" t="str">
        <f t="shared" si="115"/>
        <v/>
      </c>
      <c r="BI1101" s="24">
        <f t="shared" si="113"/>
        <v>1</v>
      </c>
      <c r="BJ1101" s="24" t="str">
        <f t="shared" si="110"/>
        <v/>
      </c>
    </row>
    <row r="1102" spans="1:62" ht="15" customHeight="1" x14ac:dyDescent="0.25">
      <c r="A1102" t="str">
        <f>"1790773745"</f>
        <v>1790773745</v>
      </c>
      <c r="B1102" t="str">
        <f>"02673729"</f>
        <v>02673729</v>
      </c>
      <c r="C1102" t="s">
        <v>3351</v>
      </c>
      <c r="D1102" t="s">
        <v>3352</v>
      </c>
      <c r="E1102" t="s">
        <v>3353</v>
      </c>
      <c r="G1102" t="s">
        <v>786</v>
      </c>
      <c r="H1102" t="s">
        <v>787</v>
      </c>
      <c r="J1102" t="s">
        <v>788</v>
      </c>
      <c r="L1102" t="s">
        <v>120</v>
      </c>
      <c r="M1102" t="s">
        <v>139</v>
      </c>
      <c r="R1102" t="s">
        <v>3351</v>
      </c>
      <c r="W1102" t="s">
        <v>3353</v>
      </c>
      <c r="X1102" t="s">
        <v>3354</v>
      </c>
      <c r="Y1102" t="s">
        <v>1492</v>
      </c>
      <c r="Z1102" t="s">
        <v>111</v>
      </c>
      <c r="AA1102" t="str">
        <f>"13803"</f>
        <v>13803</v>
      </c>
      <c r="AB1102" t="s">
        <v>123</v>
      </c>
      <c r="AC1102" t="s">
        <v>113</v>
      </c>
      <c r="AD1102" t="s">
        <v>108</v>
      </c>
      <c r="AE1102" t="s">
        <v>114</v>
      </c>
      <c r="AF1102" t="s">
        <v>142</v>
      </c>
      <c r="AG1102" t="s">
        <v>116</v>
      </c>
      <c r="AK1102" t="str">
        <f t="shared" si="114"/>
        <v/>
      </c>
      <c r="AL1102" t="s">
        <v>3352</v>
      </c>
      <c r="AM1102">
        <v>1</v>
      </c>
      <c r="AN1102">
        <v>1</v>
      </c>
      <c r="AO1102">
        <v>0</v>
      </c>
      <c r="AP1102">
        <v>0</v>
      </c>
      <c r="AQ1102">
        <v>1</v>
      </c>
      <c r="AR1102">
        <v>1</v>
      </c>
      <c r="AS1102">
        <v>0</v>
      </c>
      <c r="AT1102">
        <v>0</v>
      </c>
      <c r="AU1102">
        <v>0</v>
      </c>
      <c r="AV1102">
        <v>0</v>
      </c>
      <c r="AW1102">
        <v>0</v>
      </c>
      <c r="AX1102" s="24">
        <f t="shared" si="112"/>
        <v>1</v>
      </c>
      <c r="AY1102" s="24" t="str">
        <f t="shared" si="112"/>
        <v/>
      </c>
      <c r="AZ1102" s="24" t="str">
        <f t="shared" si="113"/>
        <v/>
      </c>
      <c r="BA1102" s="24" t="str">
        <f t="shared" si="113"/>
        <v/>
      </c>
      <c r="BB1102" s="24" t="str">
        <f t="shared" si="113"/>
        <v/>
      </c>
      <c r="BC1102" s="24" t="str">
        <f t="shared" si="113"/>
        <v/>
      </c>
      <c r="BD1102" s="24" t="str">
        <f t="shared" si="113"/>
        <v/>
      </c>
      <c r="BE1102" s="24" t="str">
        <f t="shared" si="113"/>
        <v/>
      </c>
      <c r="BF1102" s="24" t="str">
        <f t="shared" si="113"/>
        <v/>
      </c>
      <c r="BG1102" s="24" t="str">
        <f t="shared" si="113"/>
        <v/>
      </c>
      <c r="BH1102" s="24" t="str">
        <f t="shared" si="115"/>
        <v/>
      </c>
      <c r="BI1102" s="24">
        <f t="shared" si="113"/>
        <v>1</v>
      </c>
      <c r="BJ1102" s="24" t="str">
        <f t="shared" si="110"/>
        <v/>
      </c>
    </row>
    <row r="1103" spans="1:62" ht="15" customHeight="1" x14ac:dyDescent="0.25">
      <c r="A1103" t="str">
        <f>"1881833358"</f>
        <v>1881833358</v>
      </c>
      <c r="B1103" t="str">
        <f>"03121482"</f>
        <v>03121482</v>
      </c>
      <c r="C1103" t="s">
        <v>4905</v>
      </c>
      <c r="D1103" t="s">
        <v>4906</v>
      </c>
      <c r="E1103" t="s">
        <v>4905</v>
      </c>
      <c r="L1103" t="s">
        <v>120</v>
      </c>
      <c r="M1103" t="s">
        <v>139</v>
      </c>
      <c r="R1103" t="s">
        <v>4905</v>
      </c>
      <c r="W1103" t="s">
        <v>4905</v>
      </c>
      <c r="X1103" t="s">
        <v>4907</v>
      </c>
      <c r="Y1103" t="s">
        <v>110</v>
      </c>
      <c r="Z1103" t="s">
        <v>111</v>
      </c>
      <c r="AA1103" t="str">
        <f>"13903-1678"</f>
        <v>13903-1678</v>
      </c>
      <c r="AB1103" t="s">
        <v>123</v>
      </c>
      <c r="AC1103" t="s">
        <v>113</v>
      </c>
      <c r="AD1103" t="s">
        <v>108</v>
      </c>
      <c r="AE1103" t="s">
        <v>114</v>
      </c>
      <c r="AF1103" t="s">
        <v>115</v>
      </c>
      <c r="AG1103" t="s">
        <v>116</v>
      </c>
      <c r="AK1103" t="str">
        <f t="shared" si="114"/>
        <v/>
      </c>
      <c r="AL1103" t="s">
        <v>4906</v>
      </c>
      <c r="AM1103">
        <v>1</v>
      </c>
      <c r="AN1103">
        <v>1</v>
      </c>
      <c r="AO1103">
        <v>0</v>
      </c>
      <c r="AP1103">
        <v>1</v>
      </c>
      <c r="AQ1103">
        <v>1</v>
      </c>
      <c r="AR1103">
        <v>0</v>
      </c>
      <c r="AS1103">
        <v>0</v>
      </c>
      <c r="AT1103">
        <v>0</v>
      </c>
      <c r="AU1103">
        <v>0</v>
      </c>
      <c r="AV1103">
        <v>0</v>
      </c>
      <c r="AW1103">
        <v>0</v>
      </c>
      <c r="AX1103" s="24">
        <f t="shared" si="112"/>
        <v>1</v>
      </c>
      <c r="AY1103" s="24" t="str">
        <f t="shared" si="112"/>
        <v/>
      </c>
      <c r="AZ1103" s="24" t="str">
        <f t="shared" si="113"/>
        <v/>
      </c>
      <c r="BA1103" s="24" t="str">
        <f t="shared" si="113"/>
        <v/>
      </c>
      <c r="BB1103" s="24" t="str">
        <f t="shared" si="113"/>
        <v/>
      </c>
      <c r="BC1103" s="24" t="str">
        <f t="shared" si="113"/>
        <v/>
      </c>
      <c r="BD1103" s="24" t="str">
        <f t="shared" si="113"/>
        <v/>
      </c>
      <c r="BE1103" s="24" t="str">
        <f t="shared" si="113"/>
        <v/>
      </c>
      <c r="BF1103" s="24" t="str">
        <f t="shared" si="113"/>
        <v/>
      </c>
      <c r="BG1103" s="24" t="str">
        <f t="shared" si="113"/>
        <v/>
      </c>
      <c r="BH1103" s="24" t="str">
        <f t="shared" si="115"/>
        <v/>
      </c>
      <c r="BI1103" s="24">
        <f t="shared" si="113"/>
        <v>1</v>
      </c>
      <c r="BJ1103" s="24" t="str">
        <f t="shared" si="110"/>
        <v/>
      </c>
    </row>
    <row r="1104" spans="1:62" ht="15" customHeight="1" x14ac:dyDescent="0.25">
      <c r="A1104" t="str">
        <f>"1548242159"</f>
        <v>1548242159</v>
      </c>
      <c r="B1104" t="str">
        <f>"00467643"</f>
        <v>00467643</v>
      </c>
      <c r="C1104" t="s">
        <v>4723</v>
      </c>
      <c r="D1104" t="s">
        <v>4724</v>
      </c>
      <c r="E1104" t="s">
        <v>4725</v>
      </c>
      <c r="G1104" t="s">
        <v>3154</v>
      </c>
      <c r="H1104" t="s">
        <v>3155</v>
      </c>
      <c r="J1104" t="s">
        <v>4726</v>
      </c>
      <c r="L1104" t="s">
        <v>120</v>
      </c>
      <c r="M1104" t="s">
        <v>139</v>
      </c>
      <c r="R1104" t="s">
        <v>4727</v>
      </c>
      <c r="W1104" t="s">
        <v>4725</v>
      </c>
      <c r="X1104" t="s">
        <v>3158</v>
      </c>
      <c r="Y1104" t="s">
        <v>293</v>
      </c>
      <c r="Z1104" t="s">
        <v>111</v>
      </c>
      <c r="AA1104" t="str">
        <f>"14850-1055"</f>
        <v>14850-1055</v>
      </c>
      <c r="AB1104" t="s">
        <v>123</v>
      </c>
      <c r="AC1104" t="s">
        <v>113</v>
      </c>
      <c r="AD1104" t="s">
        <v>108</v>
      </c>
      <c r="AE1104" t="s">
        <v>114</v>
      </c>
      <c r="AF1104" t="s">
        <v>142</v>
      </c>
      <c r="AG1104" t="s">
        <v>116</v>
      </c>
      <c r="AK1104" t="str">
        <f t="shared" si="114"/>
        <v/>
      </c>
      <c r="AL1104" t="s">
        <v>4724</v>
      </c>
      <c r="AM1104">
        <v>1</v>
      </c>
      <c r="AN1104">
        <v>1</v>
      </c>
      <c r="AO1104">
        <v>0</v>
      </c>
      <c r="AP1104">
        <v>0</v>
      </c>
      <c r="AQ1104">
        <v>0</v>
      </c>
      <c r="AR1104">
        <v>0</v>
      </c>
      <c r="AS1104">
        <v>0</v>
      </c>
      <c r="AT1104">
        <v>0</v>
      </c>
      <c r="AU1104">
        <v>0</v>
      </c>
      <c r="AV1104">
        <v>0</v>
      </c>
      <c r="AW1104">
        <v>0</v>
      </c>
      <c r="AX1104" s="24">
        <f t="shared" si="112"/>
        <v>1</v>
      </c>
      <c r="AY1104" s="24" t="str">
        <f t="shared" si="112"/>
        <v/>
      </c>
      <c r="AZ1104" s="24" t="str">
        <f t="shared" si="113"/>
        <v/>
      </c>
      <c r="BA1104" s="24" t="str">
        <f t="shared" si="113"/>
        <v/>
      </c>
      <c r="BB1104" s="24" t="str">
        <f t="shared" si="113"/>
        <v/>
      </c>
      <c r="BC1104" s="24" t="str">
        <f t="shared" si="113"/>
        <v/>
      </c>
      <c r="BD1104" s="24" t="str">
        <f t="shared" si="113"/>
        <v/>
      </c>
      <c r="BE1104" s="24" t="str">
        <f t="shared" si="113"/>
        <v/>
      </c>
      <c r="BF1104" s="24" t="str">
        <f t="shared" si="113"/>
        <v/>
      </c>
      <c r="BG1104" s="24" t="str">
        <f t="shared" si="113"/>
        <v/>
      </c>
      <c r="BH1104" s="24" t="str">
        <f t="shared" si="115"/>
        <v/>
      </c>
      <c r="BI1104" s="24">
        <f t="shared" si="113"/>
        <v>1</v>
      </c>
      <c r="BJ1104" s="24" t="str">
        <f t="shared" si="110"/>
        <v/>
      </c>
    </row>
    <row r="1105" spans="1:62" ht="15" customHeight="1" x14ac:dyDescent="0.25">
      <c r="A1105" t="str">
        <f>"1528060472"</f>
        <v>1528060472</v>
      </c>
      <c r="B1105" t="str">
        <f>"02625047"</f>
        <v>02625047</v>
      </c>
      <c r="C1105" t="s">
        <v>2593</v>
      </c>
      <c r="D1105" t="s">
        <v>2594</v>
      </c>
      <c r="E1105" t="s">
        <v>2595</v>
      </c>
      <c r="G1105" t="s">
        <v>2596</v>
      </c>
      <c r="H1105" t="s">
        <v>2597</v>
      </c>
      <c r="J1105" t="s">
        <v>2598</v>
      </c>
      <c r="L1105" t="s">
        <v>138</v>
      </c>
      <c r="M1105" t="s">
        <v>108</v>
      </c>
      <c r="R1105" t="s">
        <v>2599</v>
      </c>
      <c r="W1105" t="s">
        <v>2600</v>
      </c>
      <c r="X1105" t="s">
        <v>2601</v>
      </c>
      <c r="Y1105" t="s">
        <v>239</v>
      </c>
      <c r="Z1105" t="s">
        <v>111</v>
      </c>
      <c r="AA1105" t="str">
        <f>"13045-1643"</f>
        <v>13045-1643</v>
      </c>
      <c r="AB1105" t="s">
        <v>123</v>
      </c>
      <c r="AC1105" t="s">
        <v>113</v>
      </c>
      <c r="AD1105" t="s">
        <v>108</v>
      </c>
      <c r="AE1105" t="s">
        <v>114</v>
      </c>
      <c r="AF1105" t="s">
        <v>142</v>
      </c>
      <c r="AG1105" t="s">
        <v>116</v>
      </c>
      <c r="AK1105" t="str">
        <f t="shared" si="114"/>
        <v/>
      </c>
      <c r="AL1105" t="s">
        <v>2594</v>
      </c>
      <c r="AM1105">
        <v>1</v>
      </c>
      <c r="AN1105">
        <v>1</v>
      </c>
      <c r="AO1105">
        <v>0</v>
      </c>
      <c r="AP1105">
        <v>0</v>
      </c>
      <c r="AQ1105">
        <v>0</v>
      </c>
      <c r="AR1105">
        <v>0</v>
      </c>
      <c r="AS1105">
        <v>0</v>
      </c>
      <c r="AT1105">
        <v>0</v>
      </c>
      <c r="AU1105">
        <v>0</v>
      </c>
      <c r="AV1105">
        <v>0</v>
      </c>
      <c r="AW1105">
        <v>0</v>
      </c>
      <c r="AX1105" s="24" t="str">
        <f t="shared" si="112"/>
        <v/>
      </c>
      <c r="AY1105" s="24">
        <f t="shared" si="112"/>
        <v>1</v>
      </c>
      <c r="AZ1105" s="24" t="str">
        <f t="shared" si="113"/>
        <v/>
      </c>
      <c r="BA1105" s="24" t="str">
        <f t="shared" si="113"/>
        <v/>
      </c>
      <c r="BB1105" s="24" t="str">
        <f t="shared" si="113"/>
        <v/>
      </c>
      <c r="BC1105" s="24" t="str">
        <f t="shared" si="113"/>
        <v/>
      </c>
      <c r="BD1105" s="24" t="str">
        <f t="shared" si="113"/>
        <v/>
      </c>
      <c r="BE1105" s="24" t="str">
        <f t="shared" si="113"/>
        <v/>
      </c>
      <c r="BF1105" s="24" t="str">
        <f t="shared" si="113"/>
        <v/>
      </c>
      <c r="BG1105" s="24" t="str">
        <f t="shared" si="113"/>
        <v/>
      </c>
      <c r="BH1105" s="24" t="str">
        <f t="shared" si="115"/>
        <v/>
      </c>
      <c r="BI1105" s="24">
        <f t="shared" si="113"/>
        <v>1</v>
      </c>
      <c r="BJ1105" s="24" t="str">
        <f t="shared" si="110"/>
        <v/>
      </c>
    </row>
    <row r="1106" spans="1:62" ht="15" customHeight="1" x14ac:dyDescent="0.25">
      <c r="A1106" t="str">
        <f>"1740271212"</f>
        <v>1740271212</v>
      </c>
      <c r="B1106" t="str">
        <f>"00335617"</f>
        <v>00335617</v>
      </c>
      <c r="C1106" t="s">
        <v>3023</v>
      </c>
      <c r="D1106" t="s">
        <v>3024</v>
      </c>
      <c r="E1106" t="s">
        <v>3025</v>
      </c>
      <c r="G1106" t="s">
        <v>3018</v>
      </c>
      <c r="H1106" t="s">
        <v>3019</v>
      </c>
      <c r="J1106" t="s">
        <v>3026</v>
      </c>
      <c r="L1106" t="s">
        <v>138</v>
      </c>
      <c r="M1106" t="s">
        <v>108</v>
      </c>
      <c r="R1106" t="s">
        <v>3027</v>
      </c>
      <c r="W1106" t="s">
        <v>3025</v>
      </c>
      <c r="X1106" t="s">
        <v>3022</v>
      </c>
      <c r="Y1106" t="s">
        <v>293</v>
      </c>
      <c r="Z1106" t="s">
        <v>111</v>
      </c>
      <c r="AA1106" t="str">
        <f>"14850-1632"</f>
        <v>14850-1632</v>
      </c>
      <c r="AB1106" t="s">
        <v>123</v>
      </c>
      <c r="AC1106" t="s">
        <v>113</v>
      </c>
      <c r="AD1106" t="s">
        <v>108</v>
      </c>
      <c r="AE1106" t="s">
        <v>114</v>
      </c>
      <c r="AF1106" t="s">
        <v>142</v>
      </c>
      <c r="AG1106" t="s">
        <v>116</v>
      </c>
      <c r="AK1106" t="str">
        <f t="shared" si="114"/>
        <v/>
      </c>
      <c r="AL1106" t="s">
        <v>3024</v>
      </c>
      <c r="AM1106">
        <v>0</v>
      </c>
      <c r="AN1106">
        <v>0</v>
      </c>
      <c r="AO1106">
        <v>0</v>
      </c>
      <c r="AP1106">
        <v>0</v>
      </c>
      <c r="AQ1106">
        <v>0</v>
      </c>
      <c r="AR1106">
        <v>0</v>
      </c>
      <c r="AS1106">
        <v>0</v>
      </c>
      <c r="AT1106">
        <v>0</v>
      </c>
      <c r="AU1106">
        <v>0</v>
      </c>
      <c r="AV1106">
        <v>0</v>
      </c>
      <c r="AW1106">
        <v>0</v>
      </c>
      <c r="AX1106" s="24" t="str">
        <f t="shared" si="112"/>
        <v/>
      </c>
      <c r="AY1106" s="24">
        <f t="shared" si="112"/>
        <v>1</v>
      </c>
      <c r="AZ1106" s="24" t="str">
        <f t="shared" si="113"/>
        <v/>
      </c>
      <c r="BA1106" s="24" t="str">
        <f t="shared" si="113"/>
        <v/>
      </c>
      <c r="BB1106" s="24" t="str">
        <f t="shared" si="113"/>
        <v/>
      </c>
      <c r="BC1106" s="24" t="str">
        <f t="shared" si="113"/>
        <v/>
      </c>
      <c r="BD1106" s="24" t="str">
        <f t="shared" si="113"/>
        <v/>
      </c>
      <c r="BE1106" s="24" t="str">
        <f t="shared" si="113"/>
        <v/>
      </c>
      <c r="BF1106" s="24" t="str">
        <f t="shared" si="113"/>
        <v/>
      </c>
      <c r="BG1106" s="24" t="str">
        <f t="shared" si="113"/>
        <v/>
      </c>
      <c r="BH1106" s="24" t="str">
        <f t="shared" si="115"/>
        <v/>
      </c>
      <c r="BI1106" s="24">
        <f t="shared" si="113"/>
        <v>1</v>
      </c>
      <c r="BJ1106" s="24" t="str">
        <f t="shared" ref="BJ1106:BJ1169" si="116">IF(ISERROR(FIND(BJ$1,$L1106,1)),"",1)</f>
        <v/>
      </c>
    </row>
    <row r="1107" spans="1:62" ht="15" customHeight="1" x14ac:dyDescent="0.25">
      <c r="A1107" t="str">
        <f>"1720171879"</f>
        <v>1720171879</v>
      </c>
      <c r="B1107" t="str">
        <f>"02365795"</f>
        <v>02365795</v>
      </c>
      <c r="C1107" t="s">
        <v>568</v>
      </c>
      <c r="D1107" t="s">
        <v>569</v>
      </c>
      <c r="E1107" t="s">
        <v>570</v>
      </c>
      <c r="G1107" t="s">
        <v>571</v>
      </c>
      <c r="H1107" t="s">
        <v>572</v>
      </c>
      <c r="J1107" t="s">
        <v>573</v>
      </c>
      <c r="L1107" t="s">
        <v>6867</v>
      </c>
      <c r="M1107" t="s">
        <v>108</v>
      </c>
      <c r="R1107" t="s">
        <v>574</v>
      </c>
      <c r="W1107" t="s">
        <v>574</v>
      </c>
      <c r="X1107" t="s">
        <v>575</v>
      </c>
      <c r="Y1107" t="s">
        <v>262</v>
      </c>
      <c r="Z1107" t="s">
        <v>111</v>
      </c>
      <c r="AA1107" t="str">
        <f>"13053-0640"</f>
        <v>13053-0640</v>
      </c>
      <c r="AB1107" t="s">
        <v>123</v>
      </c>
      <c r="AC1107" t="s">
        <v>113</v>
      </c>
      <c r="AD1107" t="s">
        <v>108</v>
      </c>
      <c r="AE1107" t="s">
        <v>114</v>
      </c>
      <c r="AF1107" t="s">
        <v>142</v>
      </c>
      <c r="AG1107" t="s">
        <v>116</v>
      </c>
      <c r="AK1107" t="str">
        <f t="shared" si="114"/>
        <v/>
      </c>
      <c r="AL1107" t="s">
        <v>569</v>
      </c>
      <c r="AM1107">
        <v>0</v>
      </c>
      <c r="AN1107">
        <v>0</v>
      </c>
      <c r="AO1107">
        <v>0</v>
      </c>
      <c r="AP1107">
        <v>0</v>
      </c>
      <c r="AQ1107">
        <v>0</v>
      </c>
      <c r="AR1107">
        <v>0</v>
      </c>
      <c r="AS1107">
        <v>0</v>
      </c>
      <c r="AT1107">
        <v>0</v>
      </c>
      <c r="AU1107">
        <v>0</v>
      </c>
      <c r="AV1107">
        <v>0</v>
      </c>
      <c r="AW1107">
        <v>0</v>
      </c>
      <c r="AX1107" s="24">
        <f t="shared" si="112"/>
        <v>1</v>
      </c>
      <c r="AY1107" s="24">
        <f t="shared" si="112"/>
        <v>1</v>
      </c>
      <c r="AZ1107" s="24" t="str">
        <f t="shared" si="113"/>
        <v/>
      </c>
      <c r="BA1107" s="24" t="str">
        <f t="shared" si="113"/>
        <v/>
      </c>
      <c r="BB1107" s="24" t="str">
        <f t="shared" si="113"/>
        <v/>
      </c>
      <c r="BC1107" s="24" t="str">
        <f t="shared" si="113"/>
        <v/>
      </c>
      <c r="BD1107" s="24" t="str">
        <f t="shared" si="113"/>
        <v/>
      </c>
      <c r="BE1107" s="24" t="str">
        <f t="shared" si="113"/>
        <v/>
      </c>
      <c r="BF1107" s="24" t="str">
        <f t="shared" si="113"/>
        <v/>
      </c>
      <c r="BG1107" s="24" t="str">
        <f t="shared" si="113"/>
        <v/>
      </c>
      <c r="BH1107" s="24" t="str">
        <f t="shared" si="115"/>
        <v/>
      </c>
      <c r="BI1107" s="24">
        <f t="shared" si="113"/>
        <v>1</v>
      </c>
      <c r="BJ1107" s="24" t="str">
        <f t="shared" si="116"/>
        <v/>
      </c>
    </row>
    <row r="1108" spans="1:62" ht="15" customHeight="1" x14ac:dyDescent="0.25">
      <c r="A1108" t="str">
        <f>"1730163213"</f>
        <v>1730163213</v>
      </c>
      <c r="B1108" t="str">
        <f>"01935666"</f>
        <v>01935666</v>
      </c>
      <c r="C1108" t="s">
        <v>497</v>
      </c>
      <c r="D1108" t="s">
        <v>498</v>
      </c>
      <c r="E1108" t="s">
        <v>499</v>
      </c>
      <c r="G1108" t="s">
        <v>177</v>
      </c>
      <c r="H1108" t="s">
        <v>178</v>
      </c>
      <c r="J1108" t="s">
        <v>179</v>
      </c>
      <c r="L1108" t="s">
        <v>138</v>
      </c>
      <c r="M1108" t="s">
        <v>108</v>
      </c>
      <c r="R1108" t="s">
        <v>497</v>
      </c>
      <c r="W1108" t="s">
        <v>499</v>
      </c>
      <c r="X1108" t="s">
        <v>180</v>
      </c>
      <c r="Y1108" t="s">
        <v>181</v>
      </c>
      <c r="Z1108" t="s">
        <v>182</v>
      </c>
      <c r="AA1108" t="str">
        <f>"18840"</f>
        <v>18840</v>
      </c>
      <c r="AB1108" t="s">
        <v>123</v>
      </c>
      <c r="AC1108" t="s">
        <v>113</v>
      </c>
      <c r="AD1108" t="s">
        <v>108</v>
      </c>
      <c r="AE1108" t="s">
        <v>114</v>
      </c>
      <c r="AF1108" t="s">
        <v>115</v>
      </c>
      <c r="AG1108" t="s">
        <v>116</v>
      </c>
      <c r="AK1108" t="str">
        <f t="shared" si="114"/>
        <v/>
      </c>
      <c r="AL1108" t="s">
        <v>498</v>
      </c>
      <c r="AM1108">
        <v>1</v>
      </c>
      <c r="AN1108">
        <v>1</v>
      </c>
      <c r="AO1108">
        <v>0</v>
      </c>
      <c r="AP1108">
        <v>0</v>
      </c>
      <c r="AQ1108">
        <v>0</v>
      </c>
      <c r="AR1108">
        <v>0</v>
      </c>
      <c r="AS1108">
        <v>0</v>
      </c>
      <c r="AT1108">
        <v>0</v>
      </c>
      <c r="AU1108">
        <v>0</v>
      </c>
      <c r="AV1108">
        <v>1</v>
      </c>
      <c r="AW1108">
        <v>0</v>
      </c>
      <c r="AX1108" s="24" t="str">
        <f t="shared" si="112"/>
        <v/>
      </c>
      <c r="AY1108" s="24">
        <f t="shared" si="112"/>
        <v>1</v>
      </c>
      <c r="AZ1108" s="24" t="str">
        <f t="shared" si="113"/>
        <v/>
      </c>
      <c r="BA1108" s="24" t="str">
        <f t="shared" si="113"/>
        <v/>
      </c>
      <c r="BB1108" s="24" t="str">
        <f t="shared" si="113"/>
        <v/>
      </c>
      <c r="BC1108" s="24" t="str">
        <f t="shared" si="113"/>
        <v/>
      </c>
      <c r="BD1108" s="24" t="str">
        <f t="shared" si="113"/>
        <v/>
      </c>
      <c r="BE1108" s="24" t="str">
        <f t="shared" si="113"/>
        <v/>
      </c>
      <c r="BF1108" s="24" t="str">
        <f t="shared" si="113"/>
        <v/>
      </c>
      <c r="BG1108" s="24" t="str">
        <f t="shared" si="113"/>
        <v/>
      </c>
      <c r="BH1108" s="24" t="str">
        <f t="shared" si="115"/>
        <v/>
      </c>
      <c r="BI1108" s="24">
        <f t="shared" si="113"/>
        <v>1</v>
      </c>
      <c r="BJ1108" s="24" t="str">
        <f t="shared" si="116"/>
        <v/>
      </c>
    </row>
    <row r="1109" spans="1:62" ht="15" customHeight="1" x14ac:dyDescent="0.25">
      <c r="A1109" t="str">
        <f>"1265426761"</f>
        <v>1265426761</v>
      </c>
      <c r="B1109" t="str">
        <f>"02291174"</f>
        <v>02291174</v>
      </c>
      <c r="C1109" t="s">
        <v>105</v>
      </c>
      <c r="D1109" t="s">
        <v>106</v>
      </c>
      <c r="E1109" t="s">
        <v>107</v>
      </c>
      <c r="L1109" t="s">
        <v>68</v>
      </c>
      <c r="M1109" t="s">
        <v>108</v>
      </c>
      <c r="R1109" t="s">
        <v>105</v>
      </c>
      <c r="W1109" t="s">
        <v>107</v>
      </c>
      <c r="X1109" t="s">
        <v>109</v>
      </c>
      <c r="Y1109" t="s">
        <v>110</v>
      </c>
      <c r="Z1109" t="s">
        <v>111</v>
      </c>
      <c r="AA1109" t="str">
        <f>"13905-4198"</f>
        <v>13905-4198</v>
      </c>
      <c r="AB1109" t="s">
        <v>112</v>
      </c>
      <c r="AC1109" t="s">
        <v>113</v>
      </c>
      <c r="AD1109" t="s">
        <v>108</v>
      </c>
      <c r="AE1109" t="s">
        <v>114</v>
      </c>
      <c r="AF1109" t="s">
        <v>115</v>
      </c>
      <c r="AG1109" t="s">
        <v>116</v>
      </c>
      <c r="AK1109" t="str">
        <f t="shared" si="114"/>
        <v/>
      </c>
      <c r="AL1109" t="s">
        <v>106</v>
      </c>
      <c r="AM1109">
        <v>1</v>
      </c>
      <c r="AN1109">
        <v>0</v>
      </c>
      <c r="AO1109">
        <v>0</v>
      </c>
      <c r="AP1109">
        <v>1</v>
      </c>
      <c r="AQ1109">
        <v>1</v>
      </c>
      <c r="AR1109">
        <v>0</v>
      </c>
      <c r="AS1109">
        <v>0</v>
      </c>
      <c r="AT1109">
        <v>0</v>
      </c>
      <c r="AU1109">
        <v>0</v>
      </c>
      <c r="AV1109">
        <v>0</v>
      </c>
      <c r="AW1109">
        <v>0</v>
      </c>
      <c r="AX1109" s="24" t="str">
        <f t="shared" si="112"/>
        <v/>
      </c>
      <c r="AY1109" s="24" t="str">
        <f t="shared" si="112"/>
        <v/>
      </c>
      <c r="AZ1109" s="24" t="str">
        <f t="shared" si="113"/>
        <v/>
      </c>
      <c r="BA1109" s="24" t="str">
        <f t="shared" si="113"/>
        <v/>
      </c>
      <c r="BB1109" s="24" t="str">
        <f t="shared" si="113"/>
        <v/>
      </c>
      <c r="BC1109" s="24" t="str">
        <f t="shared" si="113"/>
        <v/>
      </c>
      <c r="BD1109" s="24" t="str">
        <f t="shared" si="113"/>
        <v/>
      </c>
      <c r="BE1109" s="24" t="str">
        <f t="shared" si="113"/>
        <v/>
      </c>
      <c r="BF1109" s="24" t="str">
        <f t="shared" si="113"/>
        <v/>
      </c>
      <c r="BG1109" s="24" t="str">
        <f t="shared" si="113"/>
        <v/>
      </c>
      <c r="BH1109" s="24" t="str">
        <f t="shared" si="115"/>
        <v/>
      </c>
      <c r="BI1109" s="24">
        <f t="shared" si="113"/>
        <v>1</v>
      </c>
      <c r="BJ1109" s="24" t="str">
        <f t="shared" si="116"/>
        <v/>
      </c>
    </row>
    <row r="1110" spans="1:62" ht="15" customHeight="1" x14ac:dyDescent="0.25">
      <c r="A1110" t="str">
        <f>"1568436137"</f>
        <v>1568436137</v>
      </c>
      <c r="B1110" t="str">
        <f>"00607456"</f>
        <v>00607456</v>
      </c>
      <c r="C1110" t="s">
        <v>1820</v>
      </c>
      <c r="D1110" t="s">
        <v>1821</v>
      </c>
      <c r="E1110" t="s">
        <v>1822</v>
      </c>
      <c r="G1110" t="s">
        <v>815</v>
      </c>
      <c r="H1110" t="s">
        <v>816</v>
      </c>
      <c r="J1110" t="s">
        <v>817</v>
      </c>
      <c r="L1110" t="s">
        <v>442</v>
      </c>
      <c r="M1110" t="s">
        <v>108</v>
      </c>
      <c r="R1110" t="s">
        <v>1820</v>
      </c>
      <c r="W1110" t="s">
        <v>1822</v>
      </c>
      <c r="X1110" t="s">
        <v>1811</v>
      </c>
      <c r="Y1110" t="s">
        <v>110</v>
      </c>
      <c r="Z1110" t="s">
        <v>111</v>
      </c>
      <c r="AA1110" t="str">
        <f>"13905-4197"</f>
        <v>13905-4197</v>
      </c>
      <c r="AB1110" t="s">
        <v>123</v>
      </c>
      <c r="AC1110" t="s">
        <v>113</v>
      </c>
      <c r="AD1110" t="s">
        <v>108</v>
      </c>
      <c r="AE1110" t="s">
        <v>114</v>
      </c>
      <c r="AF1110" t="s">
        <v>115</v>
      </c>
      <c r="AG1110" t="s">
        <v>116</v>
      </c>
      <c r="AK1110" t="str">
        <f t="shared" si="114"/>
        <v/>
      </c>
      <c r="AL1110" t="s">
        <v>1821</v>
      </c>
      <c r="AM1110">
        <v>1</v>
      </c>
      <c r="AN1110">
        <v>1</v>
      </c>
      <c r="AO1110">
        <v>0</v>
      </c>
      <c r="AP1110">
        <v>1</v>
      </c>
      <c r="AQ1110">
        <v>1</v>
      </c>
      <c r="AR1110">
        <v>0</v>
      </c>
      <c r="AS1110">
        <v>0</v>
      </c>
      <c r="AT1110">
        <v>1</v>
      </c>
      <c r="AU1110">
        <v>0</v>
      </c>
      <c r="AV1110">
        <v>0</v>
      </c>
      <c r="AW1110">
        <v>1</v>
      </c>
      <c r="AX1110" s="24">
        <f t="shared" si="112"/>
        <v>1</v>
      </c>
      <c r="AY1110" s="24" t="str">
        <f t="shared" si="112"/>
        <v/>
      </c>
      <c r="AZ1110" s="24" t="str">
        <f t="shared" si="113"/>
        <v/>
      </c>
      <c r="BA1110" s="24" t="str">
        <f t="shared" ref="AZ1110:BI1135" si="117">IF(ISERROR(FIND(BA$1,$L1110,1)),"",1)</f>
        <v/>
      </c>
      <c r="BB1110" s="24" t="str">
        <f t="shared" si="117"/>
        <v/>
      </c>
      <c r="BC1110" s="24" t="str">
        <f t="shared" si="117"/>
        <v/>
      </c>
      <c r="BD1110" s="24" t="str">
        <f t="shared" si="117"/>
        <v/>
      </c>
      <c r="BE1110" s="24" t="str">
        <f t="shared" si="117"/>
        <v/>
      </c>
      <c r="BF1110" s="24" t="str">
        <f t="shared" si="117"/>
        <v/>
      </c>
      <c r="BG1110" s="24" t="str">
        <f t="shared" si="117"/>
        <v/>
      </c>
      <c r="BH1110" s="24" t="str">
        <f t="shared" si="115"/>
        <v/>
      </c>
      <c r="BI1110" s="24" t="str">
        <f t="shared" si="117"/>
        <v/>
      </c>
      <c r="BJ1110" s="24" t="str">
        <f t="shared" si="116"/>
        <v/>
      </c>
    </row>
    <row r="1111" spans="1:62" ht="15" customHeight="1" x14ac:dyDescent="0.25">
      <c r="A1111" t="str">
        <f>"1407929532"</f>
        <v>1407929532</v>
      </c>
      <c r="B1111" t="str">
        <f>"01210851"</f>
        <v>01210851</v>
      </c>
      <c r="C1111" t="s">
        <v>1770</v>
      </c>
      <c r="D1111" t="s">
        <v>1771</v>
      </c>
      <c r="E1111" t="s">
        <v>1772</v>
      </c>
      <c r="G1111" t="s">
        <v>815</v>
      </c>
      <c r="H1111" t="s">
        <v>816</v>
      </c>
      <c r="J1111" t="s">
        <v>817</v>
      </c>
      <c r="L1111" t="s">
        <v>120</v>
      </c>
      <c r="M1111" t="s">
        <v>108</v>
      </c>
      <c r="R1111" t="s">
        <v>1770</v>
      </c>
      <c r="W1111" t="s">
        <v>1772</v>
      </c>
      <c r="X1111" t="s">
        <v>1773</v>
      </c>
      <c r="Y1111" t="s">
        <v>110</v>
      </c>
      <c r="Z1111" t="s">
        <v>111</v>
      </c>
      <c r="AA1111" t="str">
        <f>"13905-4176"</f>
        <v>13905-4176</v>
      </c>
      <c r="AB1111" t="s">
        <v>123</v>
      </c>
      <c r="AC1111" t="s">
        <v>113</v>
      </c>
      <c r="AD1111" t="s">
        <v>108</v>
      </c>
      <c r="AE1111" t="s">
        <v>114</v>
      </c>
      <c r="AF1111" t="s">
        <v>115</v>
      </c>
      <c r="AG1111" t="s">
        <v>116</v>
      </c>
      <c r="AK1111" t="str">
        <f t="shared" si="114"/>
        <v/>
      </c>
      <c r="AL1111" t="s">
        <v>1771</v>
      </c>
      <c r="AM1111">
        <v>1</v>
      </c>
      <c r="AN1111">
        <v>1</v>
      </c>
      <c r="AO1111">
        <v>0</v>
      </c>
      <c r="AP1111">
        <v>1</v>
      </c>
      <c r="AQ1111">
        <v>1</v>
      </c>
      <c r="AR1111">
        <v>0</v>
      </c>
      <c r="AS1111">
        <v>0</v>
      </c>
      <c r="AT1111">
        <v>1</v>
      </c>
      <c r="AU1111">
        <v>0</v>
      </c>
      <c r="AV1111">
        <v>0</v>
      </c>
      <c r="AW1111">
        <v>1</v>
      </c>
      <c r="AX1111" s="24">
        <f t="shared" si="112"/>
        <v>1</v>
      </c>
      <c r="AY1111" s="24" t="str">
        <f t="shared" si="112"/>
        <v/>
      </c>
      <c r="AZ1111" s="24" t="str">
        <f t="shared" si="117"/>
        <v/>
      </c>
      <c r="BA1111" s="24" t="str">
        <f t="shared" si="117"/>
        <v/>
      </c>
      <c r="BB1111" s="24" t="str">
        <f t="shared" si="117"/>
        <v/>
      </c>
      <c r="BC1111" s="24" t="str">
        <f t="shared" si="117"/>
        <v/>
      </c>
      <c r="BD1111" s="24" t="str">
        <f t="shared" si="117"/>
        <v/>
      </c>
      <c r="BE1111" s="24" t="str">
        <f t="shared" si="117"/>
        <v/>
      </c>
      <c r="BF1111" s="24" t="str">
        <f t="shared" si="117"/>
        <v/>
      </c>
      <c r="BG1111" s="24" t="str">
        <f t="shared" si="117"/>
        <v/>
      </c>
      <c r="BH1111" s="24" t="str">
        <f t="shared" si="115"/>
        <v/>
      </c>
      <c r="BI1111" s="24">
        <f t="shared" si="117"/>
        <v>1</v>
      </c>
      <c r="BJ1111" s="24" t="str">
        <f t="shared" si="116"/>
        <v/>
      </c>
    </row>
    <row r="1112" spans="1:62" ht="15" customHeight="1" x14ac:dyDescent="0.25">
      <c r="A1112" t="str">
        <f>"1891725297"</f>
        <v>1891725297</v>
      </c>
      <c r="B1112" t="str">
        <f>"02759075"</f>
        <v>02759075</v>
      </c>
      <c r="C1112" t="s">
        <v>1470</v>
      </c>
      <c r="D1112" t="s">
        <v>1471</v>
      </c>
      <c r="E1112" t="s">
        <v>1472</v>
      </c>
      <c r="G1112" t="s">
        <v>1470</v>
      </c>
      <c r="H1112" t="s">
        <v>1473</v>
      </c>
      <c r="J1112" t="s">
        <v>1474</v>
      </c>
      <c r="L1112" t="s">
        <v>138</v>
      </c>
      <c r="M1112" t="s">
        <v>108</v>
      </c>
      <c r="R1112" t="s">
        <v>1475</v>
      </c>
      <c r="W1112" t="s">
        <v>1472</v>
      </c>
      <c r="X1112" t="s">
        <v>140</v>
      </c>
      <c r="Y1112" t="s">
        <v>141</v>
      </c>
      <c r="Z1112" t="s">
        <v>111</v>
      </c>
      <c r="AA1112" t="str">
        <f>"13210-2342"</f>
        <v>13210-2342</v>
      </c>
      <c r="AB1112" t="s">
        <v>123</v>
      </c>
      <c r="AC1112" t="s">
        <v>113</v>
      </c>
      <c r="AD1112" t="s">
        <v>108</v>
      </c>
      <c r="AE1112" t="s">
        <v>114</v>
      </c>
      <c r="AF1112" t="s">
        <v>142</v>
      </c>
      <c r="AG1112" t="s">
        <v>116</v>
      </c>
      <c r="AK1112" t="str">
        <f t="shared" si="114"/>
        <v/>
      </c>
      <c r="AL1112" t="s">
        <v>1471</v>
      </c>
      <c r="AM1112">
        <v>1</v>
      </c>
      <c r="AN1112">
        <v>1</v>
      </c>
      <c r="AO1112">
        <v>0</v>
      </c>
      <c r="AP1112">
        <v>1</v>
      </c>
      <c r="AQ1112">
        <v>1</v>
      </c>
      <c r="AR1112">
        <v>0</v>
      </c>
      <c r="AS1112">
        <v>0</v>
      </c>
      <c r="AT1112">
        <v>0</v>
      </c>
      <c r="AU1112">
        <v>0</v>
      </c>
      <c r="AV1112">
        <v>0</v>
      </c>
      <c r="AW1112">
        <v>0</v>
      </c>
      <c r="AX1112" s="24" t="str">
        <f t="shared" si="112"/>
        <v/>
      </c>
      <c r="AY1112" s="24">
        <f t="shared" si="112"/>
        <v>1</v>
      </c>
      <c r="AZ1112" s="24" t="str">
        <f t="shared" si="117"/>
        <v/>
      </c>
      <c r="BA1112" s="24" t="str">
        <f t="shared" si="117"/>
        <v/>
      </c>
      <c r="BB1112" s="24" t="str">
        <f t="shared" si="117"/>
        <v/>
      </c>
      <c r="BC1112" s="24" t="str">
        <f t="shared" si="117"/>
        <v/>
      </c>
      <c r="BD1112" s="24" t="str">
        <f t="shared" si="117"/>
        <v/>
      </c>
      <c r="BE1112" s="24" t="str">
        <f t="shared" si="117"/>
        <v/>
      </c>
      <c r="BF1112" s="24" t="str">
        <f t="shared" si="117"/>
        <v/>
      </c>
      <c r="BG1112" s="24" t="str">
        <f t="shared" si="117"/>
        <v/>
      </c>
      <c r="BH1112" s="24" t="str">
        <f t="shared" si="115"/>
        <v/>
      </c>
      <c r="BI1112" s="24">
        <f t="shared" si="117"/>
        <v>1</v>
      </c>
      <c r="BJ1112" s="24" t="str">
        <f t="shared" si="116"/>
        <v/>
      </c>
    </row>
    <row r="1113" spans="1:62" ht="15" customHeight="1" x14ac:dyDescent="0.25">
      <c r="A1113" t="str">
        <f>"1386902039"</f>
        <v>1386902039</v>
      </c>
      <c r="B1113" t="str">
        <f>"04154770"</f>
        <v>04154770</v>
      </c>
      <c r="C1113" t="s">
        <v>6361</v>
      </c>
      <c r="D1113" t="s">
        <v>6362</v>
      </c>
      <c r="E1113" t="s">
        <v>6363</v>
      </c>
      <c r="G1113" t="s">
        <v>6330</v>
      </c>
      <c r="H1113" t="s">
        <v>6331</v>
      </c>
      <c r="J1113" t="s">
        <v>6332</v>
      </c>
      <c r="L1113" t="s">
        <v>6868</v>
      </c>
      <c r="M1113" t="s">
        <v>108</v>
      </c>
      <c r="R1113" t="s">
        <v>6363</v>
      </c>
      <c r="W1113" t="s">
        <v>6364</v>
      </c>
      <c r="X1113" t="s">
        <v>5125</v>
      </c>
      <c r="Y1113" t="s">
        <v>110</v>
      </c>
      <c r="Z1113" t="s">
        <v>111</v>
      </c>
      <c r="AA1113" t="str">
        <f>"13901-1046"</f>
        <v>13901-1046</v>
      </c>
      <c r="AB1113" t="s">
        <v>123</v>
      </c>
      <c r="AC1113" t="s">
        <v>113</v>
      </c>
      <c r="AD1113" t="s">
        <v>108</v>
      </c>
      <c r="AE1113" t="s">
        <v>114</v>
      </c>
      <c r="AF1113" t="s">
        <v>115</v>
      </c>
      <c r="AG1113" t="s">
        <v>116</v>
      </c>
      <c r="AK1113" t="str">
        <f t="shared" si="114"/>
        <v>Rattenbury Heather</v>
      </c>
      <c r="AL1113" t="s">
        <v>6362</v>
      </c>
      <c r="AM1113" t="s">
        <v>108</v>
      </c>
      <c r="AN1113" t="s">
        <v>108</v>
      </c>
      <c r="AO1113" t="s">
        <v>108</v>
      </c>
      <c r="AP1113" t="s">
        <v>108</v>
      </c>
      <c r="AQ1113" t="s">
        <v>108</v>
      </c>
      <c r="AR1113" t="s">
        <v>108</v>
      </c>
      <c r="AS1113" t="s">
        <v>108</v>
      </c>
      <c r="AT1113" t="s">
        <v>108</v>
      </c>
      <c r="AU1113" t="s">
        <v>108</v>
      </c>
      <c r="AV1113" t="s">
        <v>108</v>
      </c>
      <c r="AW1113" t="s">
        <v>108</v>
      </c>
      <c r="AX1113" s="24">
        <f t="shared" si="112"/>
        <v>1</v>
      </c>
      <c r="AY1113" s="24">
        <f t="shared" si="112"/>
        <v>1</v>
      </c>
      <c r="AZ1113" s="24" t="str">
        <f t="shared" si="117"/>
        <v/>
      </c>
      <c r="BA1113" s="24" t="str">
        <f t="shared" si="117"/>
        <v/>
      </c>
      <c r="BB1113" s="24" t="str">
        <f t="shared" si="117"/>
        <v/>
      </c>
      <c r="BC1113" s="24" t="str">
        <f t="shared" si="117"/>
        <v/>
      </c>
      <c r="BD1113" s="24" t="str">
        <f t="shared" si="117"/>
        <v/>
      </c>
      <c r="BE1113" s="24" t="str">
        <f t="shared" si="117"/>
        <v/>
      </c>
      <c r="BF1113" s="24" t="str">
        <f t="shared" si="117"/>
        <v/>
      </c>
      <c r="BG1113" s="24" t="str">
        <f t="shared" si="117"/>
        <v/>
      </c>
      <c r="BH1113" s="24" t="str">
        <f t="shared" si="115"/>
        <v/>
      </c>
      <c r="BI1113" s="24" t="str">
        <f t="shared" si="117"/>
        <v/>
      </c>
      <c r="BJ1113" s="24" t="str">
        <f t="shared" si="116"/>
        <v/>
      </c>
    </row>
    <row r="1114" spans="1:62" ht="15" customHeight="1" x14ac:dyDescent="0.25">
      <c r="A1114" t="str">
        <f>"1053690313"</f>
        <v>1053690313</v>
      </c>
      <c r="B1114" t="str">
        <f>"04019912"</f>
        <v>04019912</v>
      </c>
      <c r="C1114" t="s">
        <v>6137</v>
      </c>
      <c r="D1114" t="s">
        <v>6138</v>
      </c>
      <c r="E1114" t="s">
        <v>6139</v>
      </c>
      <c r="G1114" t="s">
        <v>815</v>
      </c>
      <c r="H1114" t="s">
        <v>816</v>
      </c>
      <c r="J1114" t="s">
        <v>817</v>
      </c>
      <c r="L1114" t="s">
        <v>6867</v>
      </c>
      <c r="M1114" t="s">
        <v>108</v>
      </c>
      <c r="R1114" t="s">
        <v>6140</v>
      </c>
      <c r="W1114" t="s">
        <v>6139</v>
      </c>
      <c r="X1114" t="s">
        <v>1058</v>
      </c>
      <c r="Y1114" t="s">
        <v>110</v>
      </c>
      <c r="Z1114" t="s">
        <v>111</v>
      </c>
      <c r="AA1114" t="str">
        <f>"13905-4178"</f>
        <v>13905-4178</v>
      </c>
      <c r="AB1114" t="s">
        <v>123</v>
      </c>
      <c r="AC1114" t="s">
        <v>113</v>
      </c>
      <c r="AD1114" t="s">
        <v>108</v>
      </c>
      <c r="AE1114" t="s">
        <v>114</v>
      </c>
      <c r="AF1114" t="s">
        <v>115</v>
      </c>
      <c r="AG1114" t="s">
        <v>116</v>
      </c>
      <c r="AK1114" t="str">
        <f t="shared" si="114"/>
        <v>Ravi-Raj Kavuda, MD</v>
      </c>
      <c r="AL1114" t="s">
        <v>6138</v>
      </c>
      <c r="AM1114" t="s">
        <v>108</v>
      </c>
      <c r="AN1114" t="s">
        <v>108</v>
      </c>
      <c r="AO1114" t="s">
        <v>108</v>
      </c>
      <c r="AP1114" t="s">
        <v>108</v>
      </c>
      <c r="AQ1114" t="s">
        <v>108</v>
      </c>
      <c r="AR1114" t="s">
        <v>108</v>
      </c>
      <c r="AS1114" t="s">
        <v>108</v>
      </c>
      <c r="AT1114" t="s">
        <v>108</v>
      </c>
      <c r="AU1114" t="s">
        <v>108</v>
      </c>
      <c r="AV1114" t="s">
        <v>108</v>
      </c>
      <c r="AW1114" t="s">
        <v>108</v>
      </c>
      <c r="AX1114" s="24">
        <f t="shared" si="112"/>
        <v>1</v>
      </c>
      <c r="AY1114" s="24">
        <f t="shared" si="112"/>
        <v>1</v>
      </c>
      <c r="AZ1114" s="24" t="str">
        <f t="shared" si="117"/>
        <v/>
      </c>
      <c r="BA1114" s="24" t="str">
        <f t="shared" si="117"/>
        <v/>
      </c>
      <c r="BB1114" s="24" t="str">
        <f t="shared" si="117"/>
        <v/>
      </c>
      <c r="BC1114" s="24" t="str">
        <f t="shared" si="117"/>
        <v/>
      </c>
      <c r="BD1114" s="24" t="str">
        <f t="shared" si="117"/>
        <v/>
      </c>
      <c r="BE1114" s="24" t="str">
        <f t="shared" si="117"/>
        <v/>
      </c>
      <c r="BF1114" s="24" t="str">
        <f t="shared" si="117"/>
        <v/>
      </c>
      <c r="BG1114" s="24" t="str">
        <f t="shared" si="117"/>
        <v/>
      </c>
      <c r="BH1114" s="24" t="str">
        <f t="shared" si="115"/>
        <v/>
      </c>
      <c r="BI1114" s="24">
        <f t="shared" si="117"/>
        <v>1</v>
      </c>
      <c r="BJ1114" s="24" t="str">
        <f t="shared" si="116"/>
        <v/>
      </c>
    </row>
    <row r="1115" spans="1:62" ht="15" customHeight="1" x14ac:dyDescent="0.25">
      <c r="A1115" t="str">
        <f>"1649297391"</f>
        <v>1649297391</v>
      </c>
      <c r="B1115" t="str">
        <f>"01013556"</f>
        <v>01013556</v>
      </c>
      <c r="C1115" t="s">
        <v>938</v>
      </c>
      <c r="D1115" t="s">
        <v>939</v>
      </c>
      <c r="E1115" t="s">
        <v>940</v>
      </c>
      <c r="G1115" t="s">
        <v>638</v>
      </c>
      <c r="H1115" t="s">
        <v>645</v>
      </c>
      <c r="J1115" t="s">
        <v>941</v>
      </c>
      <c r="L1115" t="s">
        <v>6868</v>
      </c>
      <c r="M1115" t="s">
        <v>108</v>
      </c>
      <c r="R1115" t="s">
        <v>942</v>
      </c>
      <c r="W1115" t="s">
        <v>940</v>
      </c>
      <c r="X1115" t="s">
        <v>943</v>
      </c>
      <c r="Y1115" t="s">
        <v>141</v>
      </c>
      <c r="Z1115" t="s">
        <v>111</v>
      </c>
      <c r="AA1115" t="str">
        <f>"13215-5100"</f>
        <v>13215-5100</v>
      </c>
      <c r="AB1115" t="s">
        <v>123</v>
      </c>
      <c r="AC1115" t="s">
        <v>113</v>
      </c>
      <c r="AD1115" t="s">
        <v>108</v>
      </c>
      <c r="AE1115" t="s">
        <v>114</v>
      </c>
      <c r="AF1115" t="s">
        <v>142</v>
      </c>
      <c r="AG1115" t="s">
        <v>116</v>
      </c>
      <c r="AK1115" t="str">
        <f t="shared" si="114"/>
        <v/>
      </c>
      <c r="AL1115" t="s">
        <v>939</v>
      </c>
      <c r="AM1115">
        <v>0</v>
      </c>
      <c r="AN1115">
        <v>0</v>
      </c>
      <c r="AO1115">
        <v>0</v>
      </c>
      <c r="AP1115">
        <v>0</v>
      </c>
      <c r="AQ1115">
        <v>0</v>
      </c>
      <c r="AR1115">
        <v>0</v>
      </c>
      <c r="AS1115">
        <v>0</v>
      </c>
      <c r="AT1115">
        <v>0</v>
      </c>
      <c r="AU1115">
        <v>0</v>
      </c>
      <c r="AV1115">
        <v>0</v>
      </c>
      <c r="AW1115">
        <v>0</v>
      </c>
      <c r="AX1115" s="24">
        <f t="shared" si="112"/>
        <v>1</v>
      </c>
      <c r="AY1115" s="24">
        <f t="shared" si="112"/>
        <v>1</v>
      </c>
      <c r="AZ1115" s="24" t="str">
        <f t="shared" si="117"/>
        <v/>
      </c>
      <c r="BA1115" s="24" t="str">
        <f t="shared" si="117"/>
        <v/>
      </c>
      <c r="BB1115" s="24" t="str">
        <f t="shared" si="117"/>
        <v/>
      </c>
      <c r="BC1115" s="24" t="str">
        <f t="shared" si="117"/>
        <v/>
      </c>
      <c r="BD1115" s="24" t="str">
        <f t="shared" si="117"/>
        <v/>
      </c>
      <c r="BE1115" s="24" t="str">
        <f t="shared" si="117"/>
        <v/>
      </c>
      <c r="BF1115" s="24" t="str">
        <f t="shared" si="117"/>
        <v/>
      </c>
      <c r="BG1115" s="24" t="str">
        <f t="shared" si="117"/>
        <v/>
      </c>
      <c r="BH1115" s="24" t="str">
        <f t="shared" si="115"/>
        <v/>
      </c>
      <c r="BI1115" s="24" t="str">
        <f t="shared" si="117"/>
        <v/>
      </c>
      <c r="BJ1115" s="24" t="str">
        <f t="shared" si="116"/>
        <v/>
      </c>
    </row>
    <row r="1116" spans="1:62" ht="15" customHeight="1" x14ac:dyDescent="0.25">
      <c r="A1116" t="str">
        <f>"1225178445"</f>
        <v>1225178445</v>
      </c>
      <c r="B1116" t="str">
        <f>"02588416"</f>
        <v>02588416</v>
      </c>
      <c r="C1116" t="s">
        <v>2538</v>
      </c>
      <c r="D1116" t="s">
        <v>2539</v>
      </c>
      <c r="E1116" t="s">
        <v>2540</v>
      </c>
      <c r="G1116" t="s">
        <v>2541</v>
      </c>
      <c r="H1116" t="s">
        <v>2542</v>
      </c>
      <c r="J1116" t="s">
        <v>2543</v>
      </c>
      <c r="L1116" t="s">
        <v>289</v>
      </c>
      <c r="M1116" t="s">
        <v>108</v>
      </c>
      <c r="R1116" t="s">
        <v>2540</v>
      </c>
      <c r="W1116" t="s">
        <v>2540</v>
      </c>
      <c r="X1116" t="s">
        <v>2544</v>
      </c>
      <c r="Y1116" t="s">
        <v>1272</v>
      </c>
      <c r="Z1116" t="s">
        <v>111</v>
      </c>
      <c r="AA1116" t="str">
        <f>"13021-3324"</f>
        <v>13021-3324</v>
      </c>
      <c r="AB1116" t="s">
        <v>282</v>
      </c>
      <c r="AC1116" t="s">
        <v>113</v>
      </c>
      <c r="AD1116" t="s">
        <v>108</v>
      </c>
      <c r="AE1116" t="s">
        <v>114</v>
      </c>
      <c r="AF1116" t="s">
        <v>142</v>
      </c>
      <c r="AG1116" t="s">
        <v>116</v>
      </c>
      <c r="AK1116" t="str">
        <f t="shared" si="114"/>
        <v/>
      </c>
      <c r="AL1116" t="s">
        <v>2539</v>
      </c>
      <c r="AM1116">
        <v>0</v>
      </c>
      <c r="AN1116">
        <v>0</v>
      </c>
      <c r="AO1116">
        <v>0</v>
      </c>
      <c r="AP1116">
        <v>0</v>
      </c>
      <c r="AQ1116">
        <v>0</v>
      </c>
      <c r="AR1116">
        <v>0</v>
      </c>
      <c r="AS1116">
        <v>0</v>
      </c>
      <c r="AT1116">
        <v>0</v>
      </c>
      <c r="AU1116">
        <v>0</v>
      </c>
      <c r="AV1116">
        <v>0</v>
      </c>
      <c r="AW1116">
        <v>0</v>
      </c>
      <c r="AX1116" s="24" t="str">
        <f t="shared" si="112"/>
        <v/>
      </c>
      <c r="AY1116" s="24" t="str">
        <f t="shared" si="112"/>
        <v/>
      </c>
      <c r="AZ1116" s="24" t="str">
        <f t="shared" si="117"/>
        <v/>
      </c>
      <c r="BA1116" s="24" t="str">
        <f t="shared" si="117"/>
        <v/>
      </c>
      <c r="BB1116" s="24" t="str">
        <f t="shared" si="117"/>
        <v/>
      </c>
      <c r="BC1116" s="24" t="str">
        <f t="shared" si="117"/>
        <v/>
      </c>
      <c r="BD1116" s="24">
        <f t="shared" si="117"/>
        <v>1</v>
      </c>
      <c r="BE1116" s="24" t="str">
        <f t="shared" si="117"/>
        <v/>
      </c>
      <c r="BF1116" s="24" t="str">
        <f t="shared" si="117"/>
        <v/>
      </c>
      <c r="BG1116" s="24" t="str">
        <f t="shared" si="117"/>
        <v/>
      </c>
      <c r="BH1116" s="24" t="str">
        <f t="shared" si="115"/>
        <v/>
      </c>
      <c r="BI1116" s="24">
        <f t="shared" si="117"/>
        <v>1</v>
      </c>
      <c r="BJ1116" s="24" t="str">
        <f t="shared" si="116"/>
        <v/>
      </c>
    </row>
    <row r="1117" spans="1:62" ht="15" customHeight="1" x14ac:dyDescent="0.25">
      <c r="A1117" t="str">
        <f>"1285607143"</f>
        <v>1285607143</v>
      </c>
      <c r="B1117" t="str">
        <f>"02620097"</f>
        <v>02620097</v>
      </c>
      <c r="C1117" t="s">
        <v>2225</v>
      </c>
      <c r="D1117" t="s">
        <v>2226</v>
      </c>
      <c r="E1117" t="s">
        <v>2227</v>
      </c>
      <c r="G1117" t="s">
        <v>177</v>
      </c>
      <c r="H1117" t="s">
        <v>178</v>
      </c>
      <c r="J1117" t="s">
        <v>179</v>
      </c>
      <c r="L1117" t="s">
        <v>138</v>
      </c>
      <c r="M1117" t="s">
        <v>108</v>
      </c>
      <c r="R1117" t="s">
        <v>2225</v>
      </c>
      <c r="W1117" t="s">
        <v>2227</v>
      </c>
      <c r="X1117" t="s">
        <v>740</v>
      </c>
      <c r="Y1117" t="s">
        <v>181</v>
      </c>
      <c r="Z1117" t="s">
        <v>182</v>
      </c>
      <c r="AA1117" t="str">
        <f>"18840"</f>
        <v>18840</v>
      </c>
      <c r="AB1117" t="s">
        <v>123</v>
      </c>
      <c r="AC1117" t="s">
        <v>113</v>
      </c>
      <c r="AD1117" t="s">
        <v>108</v>
      </c>
      <c r="AE1117" t="s">
        <v>114</v>
      </c>
      <c r="AF1117" t="s">
        <v>115</v>
      </c>
      <c r="AG1117" t="s">
        <v>116</v>
      </c>
      <c r="AK1117" t="str">
        <f t="shared" si="114"/>
        <v/>
      </c>
      <c r="AL1117" t="s">
        <v>2226</v>
      </c>
      <c r="AM1117">
        <v>1</v>
      </c>
      <c r="AN1117">
        <v>1</v>
      </c>
      <c r="AO1117">
        <v>0</v>
      </c>
      <c r="AP1117">
        <v>0</v>
      </c>
      <c r="AQ1117">
        <v>0</v>
      </c>
      <c r="AR1117">
        <v>0</v>
      </c>
      <c r="AS1117">
        <v>0</v>
      </c>
      <c r="AT1117">
        <v>0</v>
      </c>
      <c r="AU1117">
        <v>0</v>
      </c>
      <c r="AV1117">
        <v>1</v>
      </c>
      <c r="AW1117">
        <v>0</v>
      </c>
      <c r="AX1117" s="24" t="str">
        <f t="shared" si="112"/>
        <v/>
      </c>
      <c r="AY1117" s="24">
        <f t="shared" si="112"/>
        <v>1</v>
      </c>
      <c r="AZ1117" s="24" t="str">
        <f t="shared" si="117"/>
        <v/>
      </c>
      <c r="BA1117" s="24" t="str">
        <f t="shared" si="117"/>
        <v/>
      </c>
      <c r="BB1117" s="24" t="str">
        <f t="shared" si="117"/>
        <v/>
      </c>
      <c r="BC1117" s="24" t="str">
        <f t="shared" si="117"/>
        <v/>
      </c>
      <c r="BD1117" s="24" t="str">
        <f t="shared" si="117"/>
        <v/>
      </c>
      <c r="BE1117" s="24" t="str">
        <f t="shared" si="117"/>
        <v/>
      </c>
      <c r="BF1117" s="24" t="str">
        <f t="shared" si="117"/>
        <v/>
      </c>
      <c r="BG1117" s="24" t="str">
        <f t="shared" si="117"/>
        <v/>
      </c>
      <c r="BH1117" s="24" t="str">
        <f t="shared" si="115"/>
        <v/>
      </c>
      <c r="BI1117" s="24">
        <f t="shared" si="117"/>
        <v>1</v>
      </c>
      <c r="BJ1117" s="24" t="str">
        <f t="shared" si="116"/>
        <v/>
      </c>
    </row>
    <row r="1118" spans="1:62" ht="15" customHeight="1" x14ac:dyDescent="0.25">
      <c r="A1118" t="str">
        <f>"1285749093"</f>
        <v>1285749093</v>
      </c>
      <c r="B1118" t="str">
        <f>"03318430"</f>
        <v>03318430</v>
      </c>
      <c r="C1118" t="s">
        <v>4982</v>
      </c>
      <c r="D1118" t="s">
        <v>4983</v>
      </c>
      <c r="E1118" t="s">
        <v>4984</v>
      </c>
      <c r="G1118" t="s">
        <v>229</v>
      </c>
      <c r="H1118" t="s">
        <v>230</v>
      </c>
      <c r="J1118" t="s">
        <v>231</v>
      </c>
      <c r="L1118" t="s">
        <v>68</v>
      </c>
      <c r="M1118" t="s">
        <v>108</v>
      </c>
      <c r="R1118" t="s">
        <v>4985</v>
      </c>
      <c r="W1118" t="s">
        <v>4984</v>
      </c>
      <c r="X1118" t="s">
        <v>238</v>
      </c>
      <c r="Y1118" t="s">
        <v>239</v>
      </c>
      <c r="Z1118" t="s">
        <v>111</v>
      </c>
      <c r="AA1118" t="str">
        <f>"13045-1206"</f>
        <v>13045-1206</v>
      </c>
      <c r="AB1118" t="s">
        <v>112</v>
      </c>
      <c r="AC1118" t="s">
        <v>113</v>
      </c>
      <c r="AD1118" t="s">
        <v>108</v>
      </c>
      <c r="AE1118" t="s">
        <v>114</v>
      </c>
      <c r="AF1118" t="s">
        <v>142</v>
      </c>
      <c r="AG1118" t="s">
        <v>116</v>
      </c>
      <c r="AK1118" t="str">
        <f t="shared" si="114"/>
        <v/>
      </c>
      <c r="AL1118" t="s">
        <v>4983</v>
      </c>
      <c r="AM1118">
        <v>0</v>
      </c>
      <c r="AN1118">
        <v>0</v>
      </c>
      <c r="AO1118">
        <v>0</v>
      </c>
      <c r="AP1118">
        <v>0</v>
      </c>
      <c r="AQ1118">
        <v>0</v>
      </c>
      <c r="AR1118">
        <v>0</v>
      </c>
      <c r="AS1118">
        <v>0</v>
      </c>
      <c r="AT1118">
        <v>0</v>
      </c>
      <c r="AU1118">
        <v>0</v>
      </c>
      <c r="AV1118">
        <v>0</v>
      </c>
      <c r="AW1118">
        <v>0</v>
      </c>
      <c r="AX1118" s="24" t="str">
        <f t="shared" si="112"/>
        <v/>
      </c>
      <c r="AY1118" s="24" t="str">
        <f t="shared" si="112"/>
        <v/>
      </c>
      <c r="AZ1118" s="24" t="str">
        <f t="shared" si="117"/>
        <v/>
      </c>
      <c r="BA1118" s="24" t="str">
        <f t="shared" si="117"/>
        <v/>
      </c>
      <c r="BB1118" s="24" t="str">
        <f t="shared" si="117"/>
        <v/>
      </c>
      <c r="BC1118" s="24" t="str">
        <f t="shared" si="117"/>
        <v/>
      </c>
      <c r="BD1118" s="24" t="str">
        <f t="shared" si="117"/>
        <v/>
      </c>
      <c r="BE1118" s="24" t="str">
        <f t="shared" si="117"/>
        <v/>
      </c>
      <c r="BF1118" s="24" t="str">
        <f t="shared" si="117"/>
        <v/>
      </c>
      <c r="BG1118" s="24" t="str">
        <f t="shared" si="117"/>
        <v/>
      </c>
      <c r="BH1118" s="24" t="str">
        <f t="shared" si="115"/>
        <v/>
      </c>
      <c r="BI1118" s="24">
        <f t="shared" si="117"/>
        <v>1</v>
      </c>
      <c r="BJ1118" s="24" t="str">
        <f t="shared" si="116"/>
        <v/>
      </c>
    </row>
    <row r="1119" spans="1:62" ht="15" customHeight="1" x14ac:dyDescent="0.25">
      <c r="A1119" t="str">
        <f>"1922293745"</f>
        <v>1922293745</v>
      </c>
      <c r="B1119" t="str">
        <f>"02998070"</f>
        <v>02998070</v>
      </c>
      <c r="C1119" t="s">
        <v>4838</v>
      </c>
      <c r="D1119" t="s">
        <v>4839</v>
      </c>
      <c r="E1119" t="s">
        <v>4840</v>
      </c>
      <c r="G1119" t="s">
        <v>4841</v>
      </c>
      <c r="H1119" t="s">
        <v>4842</v>
      </c>
      <c r="I1119">
        <v>222</v>
      </c>
      <c r="J1119" t="s">
        <v>4843</v>
      </c>
      <c r="L1119" t="s">
        <v>374</v>
      </c>
      <c r="M1119" t="s">
        <v>139</v>
      </c>
      <c r="R1119" t="s">
        <v>4844</v>
      </c>
      <c r="W1119" t="s">
        <v>4845</v>
      </c>
      <c r="X1119" t="s">
        <v>4846</v>
      </c>
      <c r="Y1119" t="s">
        <v>4847</v>
      </c>
      <c r="Z1119" t="s">
        <v>111</v>
      </c>
      <c r="AA1119" t="str">
        <f>"12601-5124"</f>
        <v>12601-5124</v>
      </c>
      <c r="AB1119" t="s">
        <v>385</v>
      </c>
      <c r="AC1119" t="s">
        <v>113</v>
      </c>
      <c r="AD1119" t="s">
        <v>108</v>
      </c>
      <c r="AE1119" t="s">
        <v>114</v>
      </c>
      <c r="AF1119" t="s">
        <v>115</v>
      </c>
      <c r="AG1119" t="s">
        <v>116</v>
      </c>
      <c r="AK1119" t="str">
        <f t="shared" si="114"/>
        <v/>
      </c>
      <c r="AL1119" t="s">
        <v>4839</v>
      </c>
      <c r="AM1119">
        <v>1</v>
      </c>
      <c r="AN1119">
        <v>0</v>
      </c>
      <c r="AO1119">
        <v>0</v>
      </c>
      <c r="AP1119">
        <v>1</v>
      </c>
      <c r="AQ1119">
        <v>1</v>
      </c>
      <c r="AR1119">
        <v>0</v>
      </c>
      <c r="AS1119">
        <v>0</v>
      </c>
      <c r="AT1119">
        <v>0</v>
      </c>
      <c r="AU1119">
        <v>0</v>
      </c>
      <c r="AV1119">
        <v>1</v>
      </c>
      <c r="AW1119">
        <v>0</v>
      </c>
      <c r="AX1119" s="24" t="str">
        <f t="shared" si="112"/>
        <v/>
      </c>
      <c r="AY1119" s="24" t="str">
        <f t="shared" si="112"/>
        <v/>
      </c>
      <c r="AZ1119" s="24" t="str">
        <f t="shared" si="117"/>
        <v/>
      </c>
      <c r="BA1119" s="24" t="str">
        <f t="shared" si="117"/>
        <v/>
      </c>
      <c r="BB1119" s="24">
        <f t="shared" si="117"/>
        <v>1</v>
      </c>
      <c r="BC1119" s="24">
        <f t="shared" si="117"/>
        <v>1</v>
      </c>
      <c r="BD1119" s="24" t="str">
        <f t="shared" si="117"/>
        <v/>
      </c>
      <c r="BE1119" s="24" t="str">
        <f t="shared" si="117"/>
        <v/>
      </c>
      <c r="BF1119" s="24" t="str">
        <f t="shared" si="117"/>
        <v/>
      </c>
      <c r="BG1119" s="24" t="str">
        <f t="shared" si="117"/>
        <v/>
      </c>
      <c r="BH1119" s="24" t="str">
        <f t="shared" si="115"/>
        <v/>
      </c>
      <c r="BI1119" s="24" t="str">
        <f t="shared" si="117"/>
        <v/>
      </c>
      <c r="BJ1119" s="24" t="str">
        <f t="shared" si="116"/>
        <v/>
      </c>
    </row>
    <row r="1120" spans="1:62" ht="15" customHeight="1" x14ac:dyDescent="0.25">
      <c r="A1120" t="str">
        <f>"1124070925"</f>
        <v>1124070925</v>
      </c>
      <c r="B1120" t="str">
        <f>"01857501"</f>
        <v>01857501</v>
      </c>
      <c r="C1120" t="s">
        <v>6782</v>
      </c>
      <c r="D1120" t="s">
        <v>7056</v>
      </c>
      <c r="E1120" t="s">
        <v>6911</v>
      </c>
      <c r="G1120" t="s">
        <v>6330</v>
      </c>
      <c r="H1120" t="s">
        <v>6331</v>
      </c>
      <c r="J1120" t="s">
        <v>6332</v>
      </c>
      <c r="L1120" t="s">
        <v>247</v>
      </c>
      <c r="M1120" t="s">
        <v>108</v>
      </c>
      <c r="R1120" t="s">
        <v>6782</v>
      </c>
      <c r="W1120" t="s">
        <v>6911</v>
      </c>
      <c r="X1120" t="s">
        <v>6912</v>
      </c>
      <c r="Y1120" t="s">
        <v>129</v>
      </c>
      <c r="Z1120" t="s">
        <v>111</v>
      </c>
      <c r="AA1120" t="str">
        <f>"13790-2426"</f>
        <v>13790-2426</v>
      </c>
      <c r="AB1120" t="s">
        <v>123</v>
      </c>
      <c r="AC1120" t="s">
        <v>113</v>
      </c>
      <c r="AD1120" t="s">
        <v>108</v>
      </c>
      <c r="AE1120" t="s">
        <v>114</v>
      </c>
      <c r="AF1120" t="s">
        <v>115</v>
      </c>
      <c r="AG1120" t="s">
        <v>116</v>
      </c>
      <c r="AK1120" t="str">
        <f t="shared" si="114"/>
        <v>REHMAN AFZAL</v>
      </c>
      <c r="AL1120" t="s">
        <v>7056</v>
      </c>
      <c r="AM1120" t="s">
        <v>108</v>
      </c>
      <c r="AN1120" t="s">
        <v>108</v>
      </c>
      <c r="AO1120" t="s">
        <v>108</v>
      </c>
      <c r="AP1120" t="s">
        <v>108</v>
      </c>
      <c r="AQ1120" t="s">
        <v>108</v>
      </c>
      <c r="AR1120" t="s">
        <v>108</v>
      </c>
      <c r="AS1120" t="s">
        <v>108</v>
      </c>
      <c r="AT1120" t="s">
        <v>108</v>
      </c>
      <c r="AU1120" t="s">
        <v>108</v>
      </c>
      <c r="AV1120" t="s">
        <v>108</v>
      </c>
      <c r="AW1120" t="s">
        <v>108</v>
      </c>
      <c r="AX1120" s="24" t="str">
        <f t="shared" si="112"/>
        <v/>
      </c>
      <c r="AY1120" s="24">
        <f t="shared" si="112"/>
        <v>1</v>
      </c>
      <c r="AZ1120" s="24" t="str">
        <f t="shared" si="117"/>
        <v/>
      </c>
      <c r="BA1120" s="24" t="str">
        <f t="shared" si="117"/>
        <v/>
      </c>
      <c r="BB1120" s="24" t="str">
        <f t="shared" si="117"/>
        <v/>
      </c>
      <c r="BC1120" s="24" t="str">
        <f t="shared" si="117"/>
        <v/>
      </c>
      <c r="BD1120" s="24" t="str">
        <f t="shared" si="117"/>
        <v/>
      </c>
      <c r="BE1120" s="24" t="str">
        <f t="shared" si="117"/>
        <v/>
      </c>
      <c r="BF1120" s="24" t="str">
        <f t="shared" si="117"/>
        <v/>
      </c>
      <c r="BG1120" s="24" t="str">
        <f t="shared" si="117"/>
        <v/>
      </c>
      <c r="BH1120" s="24" t="str">
        <f t="shared" si="115"/>
        <v/>
      </c>
      <c r="BI1120" s="24" t="str">
        <f t="shared" si="117"/>
        <v/>
      </c>
      <c r="BJ1120" s="24" t="str">
        <f t="shared" si="116"/>
        <v/>
      </c>
    </row>
    <row r="1121" spans="1:62" ht="15" customHeight="1" x14ac:dyDescent="0.25">
      <c r="A1121" t="str">
        <f>"1639196264"</f>
        <v>1639196264</v>
      </c>
      <c r="B1121" t="str">
        <f>"02676364"</f>
        <v>02676364</v>
      </c>
      <c r="C1121" t="s">
        <v>4908</v>
      </c>
      <c r="D1121" t="s">
        <v>4909</v>
      </c>
      <c r="E1121" t="s">
        <v>4910</v>
      </c>
      <c r="L1121" t="s">
        <v>138</v>
      </c>
      <c r="M1121" t="s">
        <v>108</v>
      </c>
      <c r="R1121" t="s">
        <v>4908</v>
      </c>
      <c r="W1121" t="s">
        <v>4910</v>
      </c>
      <c r="X1121" t="s">
        <v>238</v>
      </c>
      <c r="Y1121" t="s">
        <v>239</v>
      </c>
      <c r="Z1121" t="s">
        <v>111</v>
      </c>
      <c r="AA1121" t="str">
        <f>"13045-1206"</f>
        <v>13045-1206</v>
      </c>
      <c r="AB1121" t="s">
        <v>123</v>
      </c>
      <c r="AC1121" t="s">
        <v>113</v>
      </c>
      <c r="AD1121" t="s">
        <v>108</v>
      </c>
      <c r="AE1121" t="s">
        <v>114</v>
      </c>
      <c r="AF1121" t="s">
        <v>142</v>
      </c>
      <c r="AG1121" t="s">
        <v>116</v>
      </c>
      <c r="AK1121" t="str">
        <f t="shared" si="114"/>
        <v/>
      </c>
      <c r="AL1121" t="s">
        <v>4909</v>
      </c>
      <c r="AM1121">
        <v>0</v>
      </c>
      <c r="AN1121">
        <v>0</v>
      </c>
      <c r="AO1121">
        <v>0</v>
      </c>
      <c r="AP1121">
        <v>0</v>
      </c>
      <c r="AQ1121">
        <v>0</v>
      </c>
      <c r="AR1121">
        <v>0</v>
      </c>
      <c r="AS1121">
        <v>0</v>
      </c>
      <c r="AT1121">
        <v>0</v>
      </c>
      <c r="AU1121">
        <v>0</v>
      </c>
      <c r="AV1121">
        <v>0</v>
      </c>
      <c r="AW1121">
        <v>0</v>
      </c>
      <c r="AX1121" s="24" t="str">
        <f t="shared" si="112"/>
        <v/>
      </c>
      <c r="AY1121" s="24">
        <f t="shared" si="112"/>
        <v>1</v>
      </c>
      <c r="AZ1121" s="24" t="str">
        <f t="shared" si="117"/>
        <v/>
      </c>
      <c r="BA1121" s="24" t="str">
        <f t="shared" si="117"/>
        <v/>
      </c>
      <c r="BB1121" s="24" t="str">
        <f t="shared" si="117"/>
        <v/>
      </c>
      <c r="BC1121" s="24" t="str">
        <f t="shared" si="117"/>
        <v/>
      </c>
      <c r="BD1121" s="24" t="str">
        <f t="shared" si="117"/>
        <v/>
      </c>
      <c r="BE1121" s="24" t="str">
        <f t="shared" si="117"/>
        <v/>
      </c>
      <c r="BF1121" s="24" t="str">
        <f t="shared" si="117"/>
        <v/>
      </c>
      <c r="BG1121" s="24" t="str">
        <f t="shared" si="117"/>
        <v/>
      </c>
      <c r="BH1121" s="24" t="str">
        <f t="shared" si="115"/>
        <v/>
      </c>
      <c r="BI1121" s="24">
        <f t="shared" si="117"/>
        <v>1</v>
      </c>
      <c r="BJ1121" s="24" t="str">
        <f t="shared" si="116"/>
        <v/>
      </c>
    </row>
    <row r="1122" spans="1:62" ht="15" customHeight="1" x14ac:dyDescent="0.25">
      <c r="A1122" t="str">
        <f>"1790914265"</f>
        <v>1790914265</v>
      </c>
      <c r="B1122" t="str">
        <f>"03627194"</f>
        <v>03627194</v>
      </c>
      <c r="C1122" t="s">
        <v>697</v>
      </c>
      <c r="D1122" t="s">
        <v>698</v>
      </c>
      <c r="E1122" t="s">
        <v>697</v>
      </c>
      <c r="G1122" t="s">
        <v>699</v>
      </c>
      <c r="H1122" t="s">
        <v>700</v>
      </c>
      <c r="J1122" t="s">
        <v>701</v>
      </c>
      <c r="L1122" t="s">
        <v>120</v>
      </c>
      <c r="M1122" t="s">
        <v>108</v>
      </c>
      <c r="R1122" t="s">
        <v>702</v>
      </c>
      <c r="W1122" t="s">
        <v>697</v>
      </c>
      <c r="X1122" t="s">
        <v>196</v>
      </c>
      <c r="Y1122" t="s">
        <v>181</v>
      </c>
      <c r="Z1122" t="s">
        <v>182</v>
      </c>
      <c r="AA1122" t="str">
        <f>"18840-1625"</f>
        <v>18840-1625</v>
      </c>
      <c r="AB1122" t="s">
        <v>123</v>
      </c>
      <c r="AC1122" t="s">
        <v>113</v>
      </c>
      <c r="AD1122" t="s">
        <v>108</v>
      </c>
      <c r="AE1122" t="s">
        <v>114</v>
      </c>
      <c r="AF1122" t="s">
        <v>115</v>
      </c>
      <c r="AG1122" t="s">
        <v>116</v>
      </c>
      <c r="AK1122" t="str">
        <f t="shared" si="114"/>
        <v/>
      </c>
      <c r="AL1122" t="s">
        <v>698</v>
      </c>
      <c r="AM1122">
        <v>0</v>
      </c>
      <c r="AN1122">
        <v>0</v>
      </c>
      <c r="AO1122">
        <v>0</v>
      </c>
      <c r="AP1122">
        <v>0</v>
      </c>
      <c r="AQ1122">
        <v>0</v>
      </c>
      <c r="AR1122">
        <v>0</v>
      </c>
      <c r="AS1122">
        <v>0</v>
      </c>
      <c r="AT1122">
        <v>0</v>
      </c>
      <c r="AU1122">
        <v>0</v>
      </c>
      <c r="AV1122">
        <v>0</v>
      </c>
      <c r="AW1122">
        <v>0</v>
      </c>
      <c r="AX1122" s="24">
        <f t="shared" si="112"/>
        <v>1</v>
      </c>
      <c r="AY1122" s="24" t="str">
        <f t="shared" si="112"/>
        <v/>
      </c>
      <c r="AZ1122" s="24" t="str">
        <f t="shared" si="117"/>
        <v/>
      </c>
      <c r="BA1122" s="24" t="str">
        <f t="shared" si="117"/>
        <v/>
      </c>
      <c r="BB1122" s="24" t="str">
        <f t="shared" si="117"/>
        <v/>
      </c>
      <c r="BC1122" s="24" t="str">
        <f t="shared" si="117"/>
        <v/>
      </c>
      <c r="BD1122" s="24" t="str">
        <f t="shared" si="117"/>
        <v/>
      </c>
      <c r="BE1122" s="24" t="str">
        <f t="shared" si="117"/>
        <v/>
      </c>
      <c r="BF1122" s="24" t="str">
        <f t="shared" si="117"/>
        <v/>
      </c>
      <c r="BG1122" s="24" t="str">
        <f t="shared" si="117"/>
        <v/>
      </c>
      <c r="BH1122" s="24" t="str">
        <f t="shared" si="115"/>
        <v/>
      </c>
      <c r="BI1122" s="24">
        <f t="shared" si="117"/>
        <v>1</v>
      </c>
      <c r="BJ1122" s="24" t="str">
        <f t="shared" si="116"/>
        <v/>
      </c>
    </row>
    <row r="1123" spans="1:62" ht="15" customHeight="1" x14ac:dyDescent="0.25">
      <c r="A1123" t="str">
        <f>"1497947352"</f>
        <v>1497947352</v>
      </c>
      <c r="B1123" t="str">
        <f>"02906334"</f>
        <v>02906334</v>
      </c>
      <c r="C1123" t="s">
        <v>4911</v>
      </c>
      <c r="D1123" t="s">
        <v>4912</v>
      </c>
      <c r="E1123" t="s">
        <v>4913</v>
      </c>
      <c r="L1123" t="s">
        <v>133</v>
      </c>
      <c r="M1123" t="s">
        <v>108</v>
      </c>
      <c r="R1123" t="s">
        <v>4911</v>
      </c>
      <c r="W1123" t="s">
        <v>4914</v>
      </c>
      <c r="X1123" t="s">
        <v>881</v>
      </c>
      <c r="Y1123" t="s">
        <v>321</v>
      </c>
      <c r="Z1123" t="s">
        <v>111</v>
      </c>
      <c r="AA1123" t="str">
        <f>"13760-5430"</f>
        <v>13760-5430</v>
      </c>
      <c r="AB1123" t="s">
        <v>123</v>
      </c>
      <c r="AC1123" t="s">
        <v>113</v>
      </c>
      <c r="AD1123" t="s">
        <v>108</v>
      </c>
      <c r="AE1123" t="s">
        <v>114</v>
      </c>
      <c r="AF1123" t="s">
        <v>115</v>
      </c>
      <c r="AG1123" t="s">
        <v>116</v>
      </c>
      <c r="AK1123" t="str">
        <f t="shared" si="114"/>
        <v>REYES ROWENA</v>
      </c>
      <c r="AL1123" t="s">
        <v>4912</v>
      </c>
      <c r="AM1123" t="s">
        <v>108</v>
      </c>
      <c r="AN1123" t="s">
        <v>108</v>
      </c>
      <c r="AO1123" t="s">
        <v>108</v>
      </c>
      <c r="AP1123" t="s">
        <v>108</v>
      </c>
      <c r="AQ1123" t="s">
        <v>108</v>
      </c>
      <c r="AR1123" t="s">
        <v>108</v>
      </c>
      <c r="AS1123" t="s">
        <v>108</v>
      </c>
      <c r="AT1123" t="s">
        <v>108</v>
      </c>
      <c r="AU1123" t="s">
        <v>108</v>
      </c>
      <c r="AV1123" t="s">
        <v>108</v>
      </c>
      <c r="AW1123" t="s">
        <v>108</v>
      </c>
      <c r="AX1123" s="24" t="str">
        <f t="shared" si="112"/>
        <v/>
      </c>
      <c r="AY1123" s="24" t="str">
        <f t="shared" si="112"/>
        <v/>
      </c>
      <c r="AZ1123" s="24" t="str">
        <f t="shared" si="117"/>
        <v/>
      </c>
      <c r="BA1123" s="24" t="str">
        <f t="shared" si="117"/>
        <v/>
      </c>
      <c r="BB1123" s="24" t="str">
        <f t="shared" si="117"/>
        <v/>
      </c>
      <c r="BC1123" s="24" t="str">
        <f t="shared" si="117"/>
        <v/>
      </c>
      <c r="BD1123" s="24" t="str">
        <f t="shared" si="117"/>
        <v/>
      </c>
      <c r="BE1123" s="24" t="str">
        <f t="shared" si="117"/>
        <v/>
      </c>
      <c r="BF1123" s="24" t="str">
        <f t="shared" si="117"/>
        <v/>
      </c>
      <c r="BG1123" s="24" t="str">
        <f t="shared" si="117"/>
        <v/>
      </c>
      <c r="BH1123" s="24" t="str">
        <f t="shared" si="115"/>
        <v/>
      </c>
      <c r="BI1123" s="24" t="str">
        <f t="shared" si="117"/>
        <v/>
      </c>
      <c r="BJ1123" s="24">
        <f t="shared" si="116"/>
        <v>1</v>
      </c>
    </row>
    <row r="1124" spans="1:62" ht="15" customHeight="1" x14ac:dyDescent="0.25">
      <c r="A1124" t="str">
        <f>"1487627139"</f>
        <v>1487627139</v>
      </c>
      <c r="B1124" t="str">
        <f>"02521846"</f>
        <v>02521846</v>
      </c>
      <c r="C1124" t="s">
        <v>525</v>
      </c>
      <c r="D1124" t="s">
        <v>526</v>
      </c>
      <c r="E1124" t="s">
        <v>527</v>
      </c>
      <c r="G1124" t="s">
        <v>177</v>
      </c>
      <c r="H1124" t="s">
        <v>178</v>
      </c>
      <c r="J1124" t="s">
        <v>179</v>
      </c>
      <c r="L1124" t="s">
        <v>138</v>
      </c>
      <c r="M1124" t="s">
        <v>108</v>
      </c>
      <c r="R1124" t="s">
        <v>525</v>
      </c>
      <c r="W1124" t="s">
        <v>527</v>
      </c>
      <c r="X1124" t="s">
        <v>196</v>
      </c>
      <c r="Y1124" t="s">
        <v>181</v>
      </c>
      <c r="Z1124" t="s">
        <v>182</v>
      </c>
      <c r="AA1124" t="str">
        <f>"18840-1625"</f>
        <v>18840-1625</v>
      </c>
      <c r="AB1124" t="s">
        <v>123</v>
      </c>
      <c r="AC1124" t="s">
        <v>113</v>
      </c>
      <c r="AD1124" t="s">
        <v>108</v>
      </c>
      <c r="AE1124" t="s">
        <v>114</v>
      </c>
      <c r="AF1124" t="s">
        <v>115</v>
      </c>
      <c r="AG1124" t="s">
        <v>116</v>
      </c>
      <c r="AK1124" t="str">
        <f t="shared" si="114"/>
        <v/>
      </c>
      <c r="AL1124" t="s">
        <v>526</v>
      </c>
      <c r="AM1124">
        <v>1</v>
      </c>
      <c r="AN1124">
        <v>1</v>
      </c>
      <c r="AO1124">
        <v>0</v>
      </c>
      <c r="AP1124">
        <v>0</v>
      </c>
      <c r="AQ1124">
        <v>0</v>
      </c>
      <c r="AR1124">
        <v>0</v>
      </c>
      <c r="AS1124">
        <v>0</v>
      </c>
      <c r="AT1124">
        <v>0</v>
      </c>
      <c r="AU1124">
        <v>0</v>
      </c>
      <c r="AV1124">
        <v>1</v>
      </c>
      <c r="AW1124">
        <v>0</v>
      </c>
      <c r="AX1124" s="24" t="str">
        <f t="shared" si="112"/>
        <v/>
      </c>
      <c r="AY1124" s="24">
        <f t="shared" si="112"/>
        <v>1</v>
      </c>
      <c r="AZ1124" s="24" t="str">
        <f t="shared" si="117"/>
        <v/>
      </c>
      <c r="BA1124" s="24" t="str">
        <f t="shared" si="117"/>
        <v/>
      </c>
      <c r="BB1124" s="24" t="str">
        <f t="shared" si="117"/>
        <v/>
      </c>
      <c r="BC1124" s="24" t="str">
        <f t="shared" si="117"/>
        <v/>
      </c>
      <c r="BD1124" s="24" t="str">
        <f t="shared" si="117"/>
        <v/>
      </c>
      <c r="BE1124" s="24" t="str">
        <f t="shared" si="117"/>
        <v/>
      </c>
      <c r="BF1124" s="24" t="str">
        <f t="shared" si="117"/>
        <v/>
      </c>
      <c r="BG1124" s="24" t="str">
        <f t="shared" si="117"/>
        <v/>
      </c>
      <c r="BH1124" s="24" t="str">
        <f t="shared" si="115"/>
        <v/>
      </c>
      <c r="BI1124" s="24">
        <f t="shared" si="117"/>
        <v>1</v>
      </c>
      <c r="BJ1124" s="24" t="str">
        <f t="shared" si="116"/>
        <v/>
      </c>
    </row>
    <row r="1125" spans="1:62" ht="15" customHeight="1" x14ac:dyDescent="0.25">
      <c r="A1125" t="str">
        <f>"1760463483"</f>
        <v>1760463483</v>
      </c>
      <c r="B1125" t="str">
        <f>"02224748"</f>
        <v>02224748</v>
      </c>
      <c r="C1125" t="s">
        <v>4915</v>
      </c>
      <c r="D1125" t="s">
        <v>4916</v>
      </c>
      <c r="E1125" t="s">
        <v>4917</v>
      </c>
      <c r="L1125" t="s">
        <v>247</v>
      </c>
      <c r="M1125" t="s">
        <v>108</v>
      </c>
      <c r="R1125" t="s">
        <v>4915</v>
      </c>
      <c r="W1125" t="s">
        <v>4917</v>
      </c>
      <c r="X1125" t="s">
        <v>881</v>
      </c>
      <c r="Y1125" t="s">
        <v>321</v>
      </c>
      <c r="Z1125" t="s">
        <v>111</v>
      </c>
      <c r="AA1125" t="str">
        <f>"13760-5430"</f>
        <v>13760-5430</v>
      </c>
      <c r="AB1125" t="s">
        <v>123</v>
      </c>
      <c r="AC1125" t="s">
        <v>113</v>
      </c>
      <c r="AD1125" t="s">
        <v>108</v>
      </c>
      <c r="AE1125" t="s">
        <v>114</v>
      </c>
      <c r="AF1125" t="s">
        <v>115</v>
      </c>
      <c r="AG1125" t="s">
        <v>116</v>
      </c>
      <c r="AK1125" t="str">
        <f t="shared" si="114"/>
        <v/>
      </c>
      <c r="AL1125" t="s">
        <v>4916</v>
      </c>
      <c r="AM1125">
        <v>1</v>
      </c>
      <c r="AN1125">
        <v>1</v>
      </c>
      <c r="AO1125">
        <v>0</v>
      </c>
      <c r="AP1125">
        <v>1</v>
      </c>
      <c r="AQ1125">
        <v>1</v>
      </c>
      <c r="AR1125">
        <v>0</v>
      </c>
      <c r="AS1125">
        <v>0</v>
      </c>
      <c r="AT1125">
        <v>0</v>
      </c>
      <c r="AU1125">
        <v>0</v>
      </c>
      <c r="AV1125">
        <v>0</v>
      </c>
      <c r="AW1125">
        <v>0</v>
      </c>
      <c r="AX1125" s="24" t="str">
        <f t="shared" si="112"/>
        <v/>
      </c>
      <c r="AY1125" s="24">
        <f t="shared" si="112"/>
        <v>1</v>
      </c>
      <c r="AZ1125" s="24" t="str">
        <f t="shared" si="117"/>
        <v/>
      </c>
      <c r="BA1125" s="24" t="str">
        <f t="shared" si="117"/>
        <v/>
      </c>
      <c r="BB1125" s="24" t="str">
        <f t="shared" si="117"/>
        <v/>
      </c>
      <c r="BC1125" s="24" t="str">
        <f t="shared" si="117"/>
        <v/>
      </c>
      <c r="BD1125" s="24" t="str">
        <f t="shared" si="117"/>
        <v/>
      </c>
      <c r="BE1125" s="24" t="str">
        <f t="shared" si="117"/>
        <v/>
      </c>
      <c r="BF1125" s="24" t="str">
        <f t="shared" si="117"/>
        <v/>
      </c>
      <c r="BG1125" s="24" t="str">
        <f t="shared" si="117"/>
        <v/>
      </c>
      <c r="BH1125" s="24" t="str">
        <f t="shared" si="115"/>
        <v/>
      </c>
      <c r="BI1125" s="24" t="str">
        <f t="shared" si="117"/>
        <v/>
      </c>
      <c r="BJ1125" s="24" t="str">
        <f t="shared" si="116"/>
        <v/>
      </c>
    </row>
    <row r="1126" spans="1:62" ht="15" customHeight="1" x14ac:dyDescent="0.25">
      <c r="A1126" t="str">
        <f>"1932207032"</f>
        <v>1932207032</v>
      </c>
      <c r="B1126" t="str">
        <f>"01498177"</f>
        <v>01498177</v>
      </c>
      <c r="C1126" t="s">
        <v>635</v>
      </c>
      <c r="D1126" t="s">
        <v>636</v>
      </c>
      <c r="E1126" t="s">
        <v>637</v>
      </c>
      <c r="G1126" t="s">
        <v>638</v>
      </c>
      <c r="H1126" t="s">
        <v>639</v>
      </c>
      <c r="J1126" t="s">
        <v>640</v>
      </c>
      <c r="L1126" t="s">
        <v>138</v>
      </c>
      <c r="M1126" t="s">
        <v>108</v>
      </c>
      <c r="R1126" t="s">
        <v>641</v>
      </c>
      <c r="W1126" t="s">
        <v>637</v>
      </c>
      <c r="X1126" t="s">
        <v>302</v>
      </c>
      <c r="Y1126" t="s">
        <v>293</v>
      </c>
      <c r="Z1126" t="s">
        <v>111</v>
      </c>
      <c r="AA1126" t="str">
        <f>"14850-1342"</f>
        <v>14850-1342</v>
      </c>
      <c r="AB1126" t="s">
        <v>123</v>
      </c>
      <c r="AC1126" t="s">
        <v>113</v>
      </c>
      <c r="AD1126" t="s">
        <v>108</v>
      </c>
      <c r="AE1126" t="s">
        <v>114</v>
      </c>
      <c r="AF1126" t="s">
        <v>142</v>
      </c>
      <c r="AG1126" t="s">
        <v>116</v>
      </c>
      <c r="AK1126" t="str">
        <f t="shared" si="114"/>
        <v/>
      </c>
      <c r="AL1126" t="s">
        <v>636</v>
      </c>
      <c r="AM1126">
        <v>1</v>
      </c>
      <c r="AN1126">
        <v>1</v>
      </c>
      <c r="AO1126">
        <v>0</v>
      </c>
      <c r="AP1126">
        <v>0</v>
      </c>
      <c r="AQ1126">
        <v>0</v>
      </c>
      <c r="AR1126">
        <v>0</v>
      </c>
      <c r="AS1126">
        <v>0</v>
      </c>
      <c r="AT1126">
        <v>0</v>
      </c>
      <c r="AU1126">
        <v>0</v>
      </c>
      <c r="AV1126">
        <v>0</v>
      </c>
      <c r="AW1126">
        <v>0</v>
      </c>
      <c r="AX1126" s="24" t="str">
        <f t="shared" si="112"/>
        <v/>
      </c>
      <c r="AY1126" s="24">
        <f t="shared" si="112"/>
        <v>1</v>
      </c>
      <c r="AZ1126" s="24" t="str">
        <f t="shared" si="117"/>
        <v/>
      </c>
      <c r="BA1126" s="24" t="str">
        <f t="shared" si="117"/>
        <v/>
      </c>
      <c r="BB1126" s="24" t="str">
        <f t="shared" si="117"/>
        <v/>
      </c>
      <c r="BC1126" s="24" t="str">
        <f t="shared" si="117"/>
        <v/>
      </c>
      <c r="BD1126" s="24" t="str">
        <f t="shared" si="117"/>
        <v/>
      </c>
      <c r="BE1126" s="24" t="str">
        <f t="shared" si="117"/>
        <v/>
      </c>
      <c r="BF1126" s="24" t="str">
        <f t="shared" si="117"/>
        <v/>
      </c>
      <c r="BG1126" s="24" t="str">
        <f t="shared" si="117"/>
        <v/>
      </c>
      <c r="BH1126" s="24" t="str">
        <f t="shared" si="115"/>
        <v/>
      </c>
      <c r="BI1126" s="24">
        <f t="shared" si="117"/>
        <v>1</v>
      </c>
      <c r="BJ1126" s="24" t="str">
        <f t="shared" si="116"/>
        <v/>
      </c>
    </row>
    <row r="1127" spans="1:62" ht="15" customHeight="1" x14ac:dyDescent="0.25">
      <c r="A1127" t="str">
        <f>"1326033697"</f>
        <v>1326033697</v>
      </c>
      <c r="B1127" t="str">
        <f>"01606000"</f>
        <v>01606000</v>
      </c>
      <c r="C1127" t="s">
        <v>1211</v>
      </c>
      <c r="D1127" t="s">
        <v>1212</v>
      </c>
      <c r="E1127" t="s">
        <v>1213</v>
      </c>
      <c r="G1127" t="s">
        <v>1211</v>
      </c>
      <c r="H1127" t="s">
        <v>467</v>
      </c>
      <c r="J1127" t="s">
        <v>1214</v>
      </c>
      <c r="L1127" t="s">
        <v>138</v>
      </c>
      <c r="M1127" t="s">
        <v>108</v>
      </c>
      <c r="R1127" t="s">
        <v>1215</v>
      </c>
      <c r="W1127" t="s">
        <v>1213</v>
      </c>
      <c r="X1127" t="s">
        <v>1216</v>
      </c>
      <c r="Y1127" t="s">
        <v>129</v>
      </c>
      <c r="Z1127" t="s">
        <v>111</v>
      </c>
      <c r="AA1127" t="str">
        <f>"13790-2107"</f>
        <v>13790-2107</v>
      </c>
      <c r="AB1127" t="s">
        <v>123</v>
      </c>
      <c r="AC1127" t="s">
        <v>113</v>
      </c>
      <c r="AD1127" t="s">
        <v>108</v>
      </c>
      <c r="AE1127" t="s">
        <v>114</v>
      </c>
      <c r="AF1127" t="s">
        <v>115</v>
      </c>
      <c r="AG1127" t="s">
        <v>116</v>
      </c>
      <c r="AK1127" t="str">
        <f t="shared" si="114"/>
        <v/>
      </c>
      <c r="AL1127" t="s">
        <v>1212</v>
      </c>
      <c r="AM1127">
        <v>1</v>
      </c>
      <c r="AN1127">
        <v>1</v>
      </c>
      <c r="AO1127">
        <v>0</v>
      </c>
      <c r="AP1127">
        <v>1</v>
      </c>
      <c r="AQ1127">
        <v>1</v>
      </c>
      <c r="AR1127">
        <v>0</v>
      </c>
      <c r="AS1127">
        <v>0</v>
      </c>
      <c r="AT1127">
        <v>0</v>
      </c>
      <c r="AU1127">
        <v>0</v>
      </c>
      <c r="AV1127">
        <v>0</v>
      </c>
      <c r="AW1127">
        <v>0</v>
      </c>
      <c r="AX1127" s="24" t="str">
        <f t="shared" si="112"/>
        <v/>
      </c>
      <c r="AY1127" s="24">
        <f t="shared" si="112"/>
        <v>1</v>
      </c>
      <c r="AZ1127" s="24" t="str">
        <f t="shared" si="117"/>
        <v/>
      </c>
      <c r="BA1127" s="24" t="str">
        <f t="shared" si="117"/>
        <v/>
      </c>
      <c r="BB1127" s="24" t="str">
        <f t="shared" si="117"/>
        <v/>
      </c>
      <c r="BC1127" s="24" t="str">
        <f t="shared" si="117"/>
        <v/>
      </c>
      <c r="BD1127" s="24" t="str">
        <f t="shared" si="117"/>
        <v/>
      </c>
      <c r="BE1127" s="24" t="str">
        <f t="shared" si="117"/>
        <v/>
      </c>
      <c r="BF1127" s="24" t="str">
        <f t="shared" si="117"/>
        <v/>
      </c>
      <c r="BG1127" s="24" t="str">
        <f t="shared" si="117"/>
        <v/>
      </c>
      <c r="BH1127" s="24" t="str">
        <f t="shared" si="115"/>
        <v/>
      </c>
      <c r="BI1127" s="24">
        <f t="shared" si="117"/>
        <v>1</v>
      </c>
      <c r="BJ1127" s="24" t="str">
        <f t="shared" si="116"/>
        <v/>
      </c>
    </row>
    <row r="1128" spans="1:62" ht="15" customHeight="1" x14ac:dyDescent="0.25">
      <c r="A1128" t="str">
        <f>"1730130717"</f>
        <v>1730130717</v>
      </c>
      <c r="B1128" t="str">
        <f>"01278862"</f>
        <v>01278862</v>
      </c>
      <c r="C1128" t="s">
        <v>1613</v>
      </c>
      <c r="D1128" t="s">
        <v>1614</v>
      </c>
      <c r="E1128" t="s">
        <v>1615</v>
      </c>
      <c r="G1128" t="s">
        <v>638</v>
      </c>
      <c r="H1128" t="s">
        <v>639</v>
      </c>
      <c r="J1128" t="s">
        <v>1616</v>
      </c>
      <c r="L1128" t="s">
        <v>138</v>
      </c>
      <c r="M1128" t="s">
        <v>108</v>
      </c>
      <c r="R1128" t="s">
        <v>1617</v>
      </c>
      <c r="W1128" t="s">
        <v>1615</v>
      </c>
      <c r="X1128" t="s">
        <v>302</v>
      </c>
      <c r="Y1128" t="s">
        <v>293</v>
      </c>
      <c r="Z1128" t="s">
        <v>111</v>
      </c>
      <c r="AA1128" t="str">
        <f>"14850-1342"</f>
        <v>14850-1342</v>
      </c>
      <c r="AB1128" t="s">
        <v>123</v>
      </c>
      <c r="AC1128" t="s">
        <v>113</v>
      </c>
      <c r="AD1128" t="s">
        <v>108</v>
      </c>
      <c r="AE1128" t="s">
        <v>114</v>
      </c>
      <c r="AF1128" t="s">
        <v>142</v>
      </c>
      <c r="AG1128" t="s">
        <v>116</v>
      </c>
      <c r="AK1128" t="str">
        <f t="shared" si="114"/>
        <v/>
      </c>
      <c r="AL1128" t="s">
        <v>1614</v>
      </c>
      <c r="AM1128">
        <v>0</v>
      </c>
      <c r="AN1128">
        <v>0</v>
      </c>
      <c r="AO1128">
        <v>0</v>
      </c>
      <c r="AP1128">
        <v>0</v>
      </c>
      <c r="AQ1128">
        <v>0</v>
      </c>
      <c r="AR1128">
        <v>0</v>
      </c>
      <c r="AS1128">
        <v>0</v>
      </c>
      <c r="AT1128">
        <v>0</v>
      </c>
      <c r="AU1128">
        <v>0</v>
      </c>
      <c r="AV1128">
        <v>0</v>
      </c>
      <c r="AW1128">
        <v>0</v>
      </c>
      <c r="AX1128" s="24" t="str">
        <f t="shared" ref="AX1128:AY1191" si="118">IF(ISERROR(FIND(AX$1,$L1128,1)),"",1)</f>
        <v/>
      </c>
      <c r="AY1128" s="24">
        <f t="shared" si="118"/>
        <v>1</v>
      </c>
      <c r="AZ1128" s="24" t="str">
        <f t="shared" si="117"/>
        <v/>
      </c>
      <c r="BA1128" s="24" t="str">
        <f t="shared" si="117"/>
        <v/>
      </c>
      <c r="BB1128" s="24" t="str">
        <f t="shared" si="117"/>
        <v/>
      </c>
      <c r="BC1128" s="24" t="str">
        <f t="shared" si="117"/>
        <v/>
      </c>
      <c r="BD1128" s="24" t="str">
        <f t="shared" si="117"/>
        <v/>
      </c>
      <c r="BE1128" s="24" t="str">
        <f t="shared" si="117"/>
        <v/>
      </c>
      <c r="BF1128" s="24" t="str">
        <f t="shared" si="117"/>
        <v/>
      </c>
      <c r="BG1128" s="24" t="str">
        <f t="shared" si="117"/>
        <v/>
      </c>
      <c r="BH1128" s="24" t="str">
        <f t="shared" si="115"/>
        <v/>
      </c>
      <c r="BI1128" s="24">
        <f t="shared" si="117"/>
        <v>1</v>
      </c>
      <c r="BJ1128" s="24" t="str">
        <f t="shared" si="116"/>
        <v/>
      </c>
    </row>
    <row r="1129" spans="1:62" ht="15" customHeight="1" x14ac:dyDescent="0.25">
      <c r="A1129" t="str">
        <f>"1386617033"</f>
        <v>1386617033</v>
      </c>
      <c r="B1129" t="str">
        <f>"02586469"</f>
        <v>02586469</v>
      </c>
      <c r="C1129" t="s">
        <v>6816</v>
      </c>
      <c r="D1129" t="s">
        <v>7098</v>
      </c>
      <c r="E1129" t="s">
        <v>6958</v>
      </c>
      <c r="G1129" t="s">
        <v>815</v>
      </c>
      <c r="H1129" t="s">
        <v>816</v>
      </c>
      <c r="J1129" t="s">
        <v>817</v>
      </c>
      <c r="L1129" t="s">
        <v>138</v>
      </c>
      <c r="M1129" t="s">
        <v>108</v>
      </c>
      <c r="R1129" t="s">
        <v>6816</v>
      </c>
      <c r="W1129" t="s">
        <v>6958</v>
      </c>
      <c r="X1129" t="s">
        <v>1762</v>
      </c>
      <c r="Y1129" t="s">
        <v>110</v>
      </c>
      <c r="Z1129" t="s">
        <v>111</v>
      </c>
      <c r="AA1129" t="str">
        <f>"13905-4246"</f>
        <v>13905-4246</v>
      </c>
      <c r="AB1129" t="s">
        <v>123</v>
      </c>
      <c r="AC1129" t="s">
        <v>113</v>
      </c>
      <c r="AD1129" t="s">
        <v>108</v>
      </c>
      <c r="AE1129" t="s">
        <v>114</v>
      </c>
      <c r="AF1129" t="s">
        <v>115</v>
      </c>
      <c r="AG1129" t="s">
        <v>116</v>
      </c>
      <c r="AK1129" t="str">
        <f t="shared" si="114"/>
        <v>RILLORAZA FRANCISCO DR.</v>
      </c>
      <c r="AL1129" t="s">
        <v>7098</v>
      </c>
      <c r="AM1129" t="s">
        <v>108</v>
      </c>
      <c r="AN1129" t="s">
        <v>108</v>
      </c>
      <c r="AO1129" t="s">
        <v>108</v>
      </c>
      <c r="AP1129" t="s">
        <v>108</v>
      </c>
      <c r="AQ1129" t="s">
        <v>108</v>
      </c>
      <c r="AR1129" t="s">
        <v>108</v>
      </c>
      <c r="AS1129" t="s">
        <v>108</v>
      </c>
      <c r="AT1129" t="s">
        <v>108</v>
      </c>
      <c r="AU1129" t="s">
        <v>108</v>
      </c>
      <c r="AV1129" t="s">
        <v>108</v>
      </c>
      <c r="AW1129" t="s">
        <v>108</v>
      </c>
      <c r="AX1129" s="24" t="str">
        <f t="shared" si="118"/>
        <v/>
      </c>
      <c r="AY1129" s="24">
        <f t="shared" si="118"/>
        <v>1</v>
      </c>
      <c r="AZ1129" s="24" t="str">
        <f t="shared" si="117"/>
        <v/>
      </c>
      <c r="BA1129" s="24" t="str">
        <f t="shared" si="117"/>
        <v/>
      </c>
      <c r="BB1129" s="24" t="str">
        <f t="shared" si="117"/>
        <v/>
      </c>
      <c r="BC1129" s="24" t="str">
        <f t="shared" si="117"/>
        <v/>
      </c>
      <c r="BD1129" s="24" t="str">
        <f t="shared" si="117"/>
        <v/>
      </c>
      <c r="BE1129" s="24" t="str">
        <f t="shared" si="117"/>
        <v/>
      </c>
      <c r="BF1129" s="24" t="str">
        <f t="shared" si="117"/>
        <v/>
      </c>
      <c r="BG1129" s="24" t="str">
        <f t="shared" si="117"/>
        <v/>
      </c>
      <c r="BH1129" s="24" t="str">
        <f t="shared" si="115"/>
        <v/>
      </c>
      <c r="BI1129" s="24">
        <f t="shared" si="117"/>
        <v>1</v>
      </c>
      <c r="BJ1129" s="24" t="str">
        <f t="shared" si="116"/>
        <v/>
      </c>
    </row>
    <row r="1130" spans="1:62" ht="15" customHeight="1" x14ac:dyDescent="0.25">
      <c r="A1130" t="str">
        <f>"1700943248"</f>
        <v>1700943248</v>
      </c>
      <c r="B1130" t="str">
        <f>"01270479"</f>
        <v>01270479</v>
      </c>
      <c r="C1130" t="s">
        <v>4918</v>
      </c>
      <c r="D1130" t="s">
        <v>4919</v>
      </c>
      <c r="E1130" t="s">
        <v>4920</v>
      </c>
      <c r="L1130" t="s">
        <v>133</v>
      </c>
      <c r="M1130" t="s">
        <v>108</v>
      </c>
      <c r="R1130" t="s">
        <v>4918</v>
      </c>
      <c r="W1130" t="s">
        <v>4920</v>
      </c>
      <c r="X1130" t="s">
        <v>4921</v>
      </c>
      <c r="Y1130" t="s">
        <v>4151</v>
      </c>
      <c r="Z1130" t="s">
        <v>111</v>
      </c>
      <c r="AA1130" t="str">
        <f>"13754-1103"</f>
        <v>13754-1103</v>
      </c>
      <c r="AB1130" t="s">
        <v>123</v>
      </c>
      <c r="AC1130" t="s">
        <v>113</v>
      </c>
      <c r="AD1130" t="s">
        <v>108</v>
      </c>
      <c r="AE1130" t="s">
        <v>114</v>
      </c>
      <c r="AF1130" t="s">
        <v>115</v>
      </c>
      <c r="AG1130" t="s">
        <v>116</v>
      </c>
      <c r="AK1130" t="str">
        <f t="shared" si="114"/>
        <v>RIPLEY KENNETH MR.</v>
      </c>
      <c r="AL1130" t="s">
        <v>4919</v>
      </c>
      <c r="AM1130" t="s">
        <v>108</v>
      </c>
      <c r="AN1130" t="s">
        <v>108</v>
      </c>
      <c r="AO1130" t="s">
        <v>108</v>
      </c>
      <c r="AP1130" t="s">
        <v>108</v>
      </c>
      <c r="AQ1130" t="s">
        <v>108</v>
      </c>
      <c r="AR1130" t="s">
        <v>108</v>
      </c>
      <c r="AS1130" t="s">
        <v>108</v>
      </c>
      <c r="AT1130" t="s">
        <v>108</v>
      </c>
      <c r="AU1130" t="s">
        <v>108</v>
      </c>
      <c r="AV1130" t="s">
        <v>108</v>
      </c>
      <c r="AW1130" t="s">
        <v>108</v>
      </c>
      <c r="AX1130" s="24" t="str">
        <f t="shared" si="118"/>
        <v/>
      </c>
      <c r="AY1130" s="24" t="str">
        <f t="shared" si="118"/>
        <v/>
      </c>
      <c r="AZ1130" s="24" t="str">
        <f t="shared" si="117"/>
        <v/>
      </c>
      <c r="BA1130" s="24" t="str">
        <f t="shared" si="117"/>
        <v/>
      </c>
      <c r="BB1130" s="24" t="str">
        <f t="shared" si="117"/>
        <v/>
      </c>
      <c r="BC1130" s="24" t="str">
        <f t="shared" si="117"/>
        <v/>
      </c>
      <c r="BD1130" s="24" t="str">
        <f t="shared" si="117"/>
        <v/>
      </c>
      <c r="BE1130" s="24" t="str">
        <f t="shared" si="117"/>
        <v/>
      </c>
      <c r="BF1130" s="24" t="str">
        <f t="shared" si="117"/>
        <v/>
      </c>
      <c r="BG1130" s="24" t="str">
        <f t="shared" si="117"/>
        <v/>
      </c>
      <c r="BH1130" s="24" t="str">
        <f t="shared" si="115"/>
        <v/>
      </c>
      <c r="BI1130" s="24" t="str">
        <f t="shared" si="117"/>
        <v/>
      </c>
      <c r="BJ1130" s="24">
        <f t="shared" si="116"/>
        <v>1</v>
      </c>
    </row>
    <row r="1131" spans="1:62" ht="15" customHeight="1" x14ac:dyDescent="0.25">
      <c r="A1131" t="str">
        <f>"1841511763"</f>
        <v>1841511763</v>
      </c>
      <c r="B1131" t="str">
        <f>"03644011"</f>
        <v>03644011</v>
      </c>
      <c r="C1131" t="s">
        <v>669</v>
      </c>
      <c r="D1131" t="s">
        <v>670</v>
      </c>
      <c r="E1131" t="s">
        <v>671</v>
      </c>
      <c r="G1131" t="s">
        <v>638</v>
      </c>
      <c r="H1131" t="s">
        <v>639</v>
      </c>
      <c r="J1131" t="s">
        <v>672</v>
      </c>
      <c r="L1131" t="s">
        <v>138</v>
      </c>
      <c r="M1131" t="s">
        <v>108</v>
      </c>
      <c r="R1131" t="s">
        <v>673</v>
      </c>
      <c r="W1131" t="s">
        <v>674</v>
      </c>
      <c r="X1131" t="s">
        <v>302</v>
      </c>
      <c r="Y1131" t="s">
        <v>293</v>
      </c>
      <c r="Z1131" t="s">
        <v>111</v>
      </c>
      <c r="AA1131" t="str">
        <f>"14850-1342"</f>
        <v>14850-1342</v>
      </c>
      <c r="AB1131" t="s">
        <v>123</v>
      </c>
      <c r="AC1131" t="s">
        <v>113</v>
      </c>
      <c r="AD1131" t="s">
        <v>108</v>
      </c>
      <c r="AE1131" t="s">
        <v>114</v>
      </c>
      <c r="AF1131" t="s">
        <v>142</v>
      </c>
      <c r="AG1131" t="s">
        <v>116</v>
      </c>
      <c r="AK1131" t="str">
        <f t="shared" si="114"/>
        <v/>
      </c>
      <c r="AL1131" t="s">
        <v>670</v>
      </c>
      <c r="AM1131">
        <v>0</v>
      </c>
      <c r="AN1131">
        <v>0</v>
      </c>
      <c r="AO1131">
        <v>0</v>
      </c>
      <c r="AP1131">
        <v>0</v>
      </c>
      <c r="AQ1131">
        <v>0</v>
      </c>
      <c r="AR1131">
        <v>0</v>
      </c>
      <c r="AS1131">
        <v>0</v>
      </c>
      <c r="AT1131">
        <v>0</v>
      </c>
      <c r="AU1131">
        <v>0</v>
      </c>
      <c r="AV1131">
        <v>0</v>
      </c>
      <c r="AW1131">
        <v>0</v>
      </c>
      <c r="AX1131" s="24" t="str">
        <f t="shared" si="118"/>
        <v/>
      </c>
      <c r="AY1131" s="24">
        <f t="shared" si="118"/>
        <v>1</v>
      </c>
      <c r="AZ1131" s="24" t="str">
        <f t="shared" si="117"/>
        <v/>
      </c>
      <c r="BA1131" s="24" t="str">
        <f t="shared" si="117"/>
        <v/>
      </c>
      <c r="BB1131" s="24" t="str">
        <f t="shared" si="117"/>
        <v/>
      </c>
      <c r="BC1131" s="24" t="str">
        <f t="shared" si="117"/>
        <v/>
      </c>
      <c r="BD1131" s="24" t="str">
        <f t="shared" si="117"/>
        <v/>
      </c>
      <c r="BE1131" s="24" t="str">
        <f t="shared" si="117"/>
        <v/>
      </c>
      <c r="BF1131" s="24" t="str">
        <f t="shared" si="117"/>
        <v/>
      </c>
      <c r="BG1131" s="24" t="str">
        <f t="shared" si="117"/>
        <v/>
      </c>
      <c r="BH1131" s="24" t="str">
        <f t="shared" si="115"/>
        <v/>
      </c>
      <c r="BI1131" s="24">
        <f t="shared" si="117"/>
        <v>1</v>
      </c>
      <c r="BJ1131" s="24" t="str">
        <f t="shared" si="116"/>
        <v/>
      </c>
    </row>
    <row r="1132" spans="1:62" ht="15" customHeight="1" x14ac:dyDescent="0.25">
      <c r="A1132" t="str">
        <f>"1003362682"</f>
        <v>1003362682</v>
      </c>
      <c r="B1132" t="str">
        <f>"04592985"</f>
        <v>04592985</v>
      </c>
      <c r="C1132" t="s">
        <v>6357</v>
      </c>
      <c r="D1132" t="s">
        <v>6358</v>
      </c>
      <c r="E1132" t="s">
        <v>6359</v>
      </c>
      <c r="G1132" t="s">
        <v>6330</v>
      </c>
      <c r="H1132" t="s">
        <v>6331</v>
      </c>
      <c r="J1132" t="s">
        <v>6332</v>
      </c>
      <c r="L1132" t="s">
        <v>138</v>
      </c>
      <c r="M1132" t="s">
        <v>108</v>
      </c>
      <c r="R1132" t="s">
        <v>6360</v>
      </c>
      <c r="W1132" t="s">
        <v>6359</v>
      </c>
      <c r="AB1132" t="s">
        <v>123</v>
      </c>
      <c r="AC1132" t="s">
        <v>113</v>
      </c>
      <c r="AD1132" t="s">
        <v>108</v>
      </c>
      <c r="AE1132" t="s">
        <v>114</v>
      </c>
      <c r="AF1132" t="s">
        <v>115</v>
      </c>
      <c r="AG1132" t="s">
        <v>116</v>
      </c>
      <c r="AK1132" t="str">
        <f t="shared" si="114"/>
        <v>Rising Michelle</v>
      </c>
      <c r="AL1132" t="s">
        <v>6358</v>
      </c>
      <c r="AM1132" t="s">
        <v>108</v>
      </c>
      <c r="AN1132" t="s">
        <v>108</v>
      </c>
      <c r="AO1132" t="s">
        <v>108</v>
      </c>
      <c r="AP1132" t="s">
        <v>108</v>
      </c>
      <c r="AQ1132" t="s">
        <v>108</v>
      </c>
      <c r="AR1132" t="s">
        <v>108</v>
      </c>
      <c r="AS1132" t="s">
        <v>108</v>
      </c>
      <c r="AT1132" t="s">
        <v>108</v>
      </c>
      <c r="AU1132" t="s">
        <v>108</v>
      </c>
      <c r="AV1132" t="s">
        <v>108</v>
      </c>
      <c r="AW1132" t="s">
        <v>108</v>
      </c>
      <c r="AX1132" s="24" t="str">
        <f t="shared" si="118"/>
        <v/>
      </c>
      <c r="AY1132" s="24">
        <f t="shared" si="118"/>
        <v>1</v>
      </c>
      <c r="AZ1132" s="24" t="str">
        <f t="shared" si="117"/>
        <v/>
      </c>
      <c r="BA1132" s="24" t="str">
        <f t="shared" si="117"/>
        <v/>
      </c>
      <c r="BB1132" s="24" t="str">
        <f t="shared" si="117"/>
        <v/>
      </c>
      <c r="BC1132" s="24" t="str">
        <f t="shared" si="117"/>
        <v/>
      </c>
      <c r="BD1132" s="24" t="str">
        <f t="shared" si="117"/>
        <v/>
      </c>
      <c r="BE1132" s="24" t="str">
        <f t="shared" si="117"/>
        <v/>
      </c>
      <c r="BF1132" s="24" t="str">
        <f t="shared" si="117"/>
        <v/>
      </c>
      <c r="BG1132" s="24" t="str">
        <f t="shared" si="117"/>
        <v/>
      </c>
      <c r="BH1132" s="24" t="str">
        <f t="shared" si="115"/>
        <v/>
      </c>
      <c r="BI1132" s="24">
        <f t="shared" si="117"/>
        <v>1</v>
      </c>
      <c r="BJ1132" s="24" t="str">
        <f t="shared" si="116"/>
        <v/>
      </c>
    </row>
    <row r="1133" spans="1:62" ht="15" customHeight="1" x14ac:dyDescent="0.25">
      <c r="A1133" t="str">
        <f>"1487968467"</f>
        <v>1487968467</v>
      </c>
      <c r="B1133" t="str">
        <f>"03763779"</f>
        <v>03763779</v>
      </c>
      <c r="C1133" t="s">
        <v>5230</v>
      </c>
      <c r="D1133" t="s">
        <v>5231</v>
      </c>
      <c r="E1133" t="s">
        <v>5230</v>
      </c>
      <c r="G1133" t="s">
        <v>1488</v>
      </c>
      <c r="H1133" t="s">
        <v>787</v>
      </c>
      <c r="J1133" t="s">
        <v>1489</v>
      </c>
      <c r="L1133" t="s">
        <v>247</v>
      </c>
      <c r="M1133" t="s">
        <v>139</v>
      </c>
      <c r="R1133" t="s">
        <v>5232</v>
      </c>
      <c r="W1133" t="s">
        <v>5233</v>
      </c>
      <c r="X1133" t="s">
        <v>5234</v>
      </c>
      <c r="Y1133" t="s">
        <v>4536</v>
      </c>
      <c r="Z1133" t="s">
        <v>111</v>
      </c>
      <c r="AA1133" t="str">
        <f>"13118-3427"</f>
        <v>13118-3427</v>
      </c>
      <c r="AB1133" t="s">
        <v>1872</v>
      </c>
      <c r="AC1133" t="s">
        <v>113</v>
      </c>
      <c r="AD1133" t="s">
        <v>108</v>
      </c>
      <c r="AE1133" t="s">
        <v>114</v>
      </c>
      <c r="AF1133" t="s">
        <v>142</v>
      </c>
      <c r="AG1133" t="s">
        <v>116</v>
      </c>
      <c r="AK1133" t="str">
        <f t="shared" si="114"/>
        <v/>
      </c>
      <c r="AL1133" t="s">
        <v>5231</v>
      </c>
      <c r="AM1133">
        <v>0</v>
      </c>
      <c r="AN1133">
        <v>0</v>
      </c>
      <c r="AO1133">
        <v>0</v>
      </c>
      <c r="AP1133">
        <v>0</v>
      </c>
      <c r="AQ1133">
        <v>0</v>
      </c>
      <c r="AR1133">
        <v>0</v>
      </c>
      <c r="AS1133">
        <v>0</v>
      </c>
      <c r="AT1133">
        <v>0</v>
      </c>
      <c r="AU1133">
        <v>0</v>
      </c>
      <c r="AV1133">
        <v>0</v>
      </c>
      <c r="AW1133">
        <v>0</v>
      </c>
      <c r="AX1133" s="24" t="str">
        <f t="shared" si="118"/>
        <v/>
      </c>
      <c r="AY1133" s="24">
        <f t="shared" si="118"/>
        <v>1</v>
      </c>
      <c r="AZ1133" s="24" t="str">
        <f t="shared" si="117"/>
        <v/>
      </c>
      <c r="BA1133" s="24" t="str">
        <f t="shared" si="117"/>
        <v/>
      </c>
      <c r="BB1133" s="24" t="str">
        <f t="shared" si="117"/>
        <v/>
      </c>
      <c r="BC1133" s="24" t="str">
        <f t="shared" si="117"/>
        <v/>
      </c>
      <c r="BD1133" s="24" t="str">
        <f t="shared" si="117"/>
        <v/>
      </c>
      <c r="BE1133" s="24" t="str">
        <f t="shared" si="117"/>
        <v/>
      </c>
      <c r="BF1133" s="24" t="str">
        <f t="shared" si="117"/>
        <v/>
      </c>
      <c r="BG1133" s="24" t="str">
        <f t="shared" si="117"/>
        <v/>
      </c>
      <c r="BH1133" s="24" t="str">
        <f t="shared" si="115"/>
        <v/>
      </c>
      <c r="BI1133" s="24" t="str">
        <f t="shared" si="117"/>
        <v/>
      </c>
      <c r="BJ1133" s="24" t="str">
        <f t="shared" si="116"/>
        <v/>
      </c>
    </row>
    <row r="1134" spans="1:62" ht="15" customHeight="1" x14ac:dyDescent="0.25">
      <c r="A1134" t="str">
        <f>"1114202108"</f>
        <v>1114202108</v>
      </c>
      <c r="B1134" t="str">
        <f>"03398616"</f>
        <v>03398616</v>
      </c>
      <c r="C1134" t="s">
        <v>4922</v>
      </c>
      <c r="D1134" t="s">
        <v>4923</v>
      </c>
      <c r="E1134" t="s">
        <v>4924</v>
      </c>
      <c r="L1134" t="s">
        <v>247</v>
      </c>
      <c r="M1134" t="s">
        <v>108</v>
      </c>
      <c r="R1134" t="s">
        <v>4922</v>
      </c>
      <c r="W1134" t="s">
        <v>4925</v>
      </c>
      <c r="X1134" t="s">
        <v>2066</v>
      </c>
      <c r="Y1134" t="s">
        <v>129</v>
      </c>
      <c r="Z1134" t="s">
        <v>111</v>
      </c>
      <c r="AA1134" t="str">
        <f>"13790-2176"</f>
        <v>13790-2176</v>
      </c>
      <c r="AB1134" t="s">
        <v>123</v>
      </c>
      <c r="AC1134" t="s">
        <v>113</v>
      </c>
      <c r="AD1134" t="s">
        <v>108</v>
      </c>
      <c r="AE1134" t="s">
        <v>114</v>
      </c>
      <c r="AF1134" t="s">
        <v>115</v>
      </c>
      <c r="AG1134" t="s">
        <v>116</v>
      </c>
      <c r="AK1134" t="str">
        <f t="shared" si="114"/>
        <v/>
      </c>
      <c r="AL1134" t="s">
        <v>4923</v>
      </c>
      <c r="AM1134">
        <v>1</v>
      </c>
      <c r="AN1134">
        <v>1</v>
      </c>
      <c r="AO1134">
        <v>0</v>
      </c>
      <c r="AP1134">
        <v>1</v>
      </c>
      <c r="AQ1134">
        <v>1</v>
      </c>
      <c r="AR1134">
        <v>0</v>
      </c>
      <c r="AS1134">
        <v>0</v>
      </c>
      <c r="AT1134">
        <v>0</v>
      </c>
      <c r="AU1134">
        <v>0</v>
      </c>
      <c r="AV1134">
        <v>0</v>
      </c>
      <c r="AW1134">
        <v>0</v>
      </c>
      <c r="AX1134" s="24" t="str">
        <f t="shared" si="118"/>
        <v/>
      </c>
      <c r="AY1134" s="24">
        <f t="shared" si="118"/>
        <v>1</v>
      </c>
      <c r="AZ1134" s="24" t="str">
        <f t="shared" si="117"/>
        <v/>
      </c>
      <c r="BA1134" s="24" t="str">
        <f t="shared" si="117"/>
        <v/>
      </c>
      <c r="BB1134" s="24" t="str">
        <f t="shared" si="117"/>
        <v/>
      </c>
      <c r="BC1134" s="24" t="str">
        <f t="shared" si="117"/>
        <v/>
      </c>
      <c r="BD1134" s="24" t="str">
        <f t="shared" si="117"/>
        <v/>
      </c>
      <c r="BE1134" s="24" t="str">
        <f t="shared" si="117"/>
        <v/>
      </c>
      <c r="BF1134" s="24" t="str">
        <f t="shared" si="117"/>
        <v/>
      </c>
      <c r="BG1134" s="24" t="str">
        <f t="shared" si="117"/>
        <v/>
      </c>
      <c r="BH1134" s="24" t="str">
        <f t="shared" si="115"/>
        <v/>
      </c>
      <c r="BI1134" s="24" t="str">
        <f t="shared" si="117"/>
        <v/>
      </c>
      <c r="BJ1134" s="24" t="str">
        <f t="shared" si="116"/>
        <v/>
      </c>
    </row>
    <row r="1135" spans="1:62" ht="15" customHeight="1" x14ac:dyDescent="0.25">
      <c r="A1135" t="str">
        <f>"1700864881"</f>
        <v>1700864881</v>
      </c>
      <c r="B1135" t="str">
        <f>"03372185"</f>
        <v>03372185</v>
      </c>
      <c r="C1135" t="s">
        <v>3047</v>
      </c>
      <c r="D1135" t="s">
        <v>3048</v>
      </c>
      <c r="E1135" t="s">
        <v>3049</v>
      </c>
      <c r="G1135" t="s">
        <v>3037</v>
      </c>
      <c r="H1135" t="s">
        <v>3038</v>
      </c>
      <c r="J1135" t="s">
        <v>3050</v>
      </c>
      <c r="L1135" t="s">
        <v>138</v>
      </c>
      <c r="M1135" t="s">
        <v>108</v>
      </c>
      <c r="R1135" t="s">
        <v>3051</v>
      </c>
      <c r="W1135" t="s">
        <v>3049</v>
      </c>
      <c r="X1135" t="s">
        <v>3041</v>
      </c>
      <c r="Y1135" t="s">
        <v>293</v>
      </c>
      <c r="Z1135" t="s">
        <v>111</v>
      </c>
      <c r="AA1135" t="str">
        <f>"14850-1589"</f>
        <v>14850-1589</v>
      </c>
      <c r="AB1135" t="s">
        <v>123</v>
      </c>
      <c r="AC1135" t="s">
        <v>113</v>
      </c>
      <c r="AD1135" t="s">
        <v>108</v>
      </c>
      <c r="AE1135" t="s">
        <v>114</v>
      </c>
      <c r="AF1135" t="s">
        <v>142</v>
      </c>
      <c r="AG1135" t="s">
        <v>116</v>
      </c>
      <c r="AK1135" t="str">
        <f t="shared" si="114"/>
        <v/>
      </c>
      <c r="AL1135" t="s">
        <v>3048</v>
      </c>
      <c r="AM1135">
        <v>1</v>
      </c>
      <c r="AN1135">
        <v>1</v>
      </c>
      <c r="AO1135">
        <v>0</v>
      </c>
      <c r="AP1135">
        <v>1</v>
      </c>
      <c r="AQ1135">
        <v>1</v>
      </c>
      <c r="AR1135">
        <v>0</v>
      </c>
      <c r="AS1135">
        <v>0</v>
      </c>
      <c r="AT1135">
        <v>0</v>
      </c>
      <c r="AU1135">
        <v>0</v>
      </c>
      <c r="AV1135">
        <v>0</v>
      </c>
      <c r="AW1135">
        <v>0</v>
      </c>
      <c r="AX1135" s="24" t="str">
        <f t="shared" si="118"/>
        <v/>
      </c>
      <c r="AY1135" s="24">
        <f t="shared" si="118"/>
        <v>1</v>
      </c>
      <c r="AZ1135" s="24" t="str">
        <f t="shared" si="117"/>
        <v/>
      </c>
      <c r="BA1135" s="24" t="str">
        <f t="shared" si="117"/>
        <v/>
      </c>
      <c r="BB1135" s="24" t="str">
        <f t="shared" si="117"/>
        <v/>
      </c>
      <c r="BC1135" s="24" t="str">
        <f t="shared" si="117"/>
        <v/>
      </c>
      <c r="BD1135" s="24" t="str">
        <f t="shared" si="117"/>
        <v/>
      </c>
      <c r="BE1135" s="24" t="str">
        <f t="shared" si="117"/>
        <v/>
      </c>
      <c r="BF1135" s="24" t="str">
        <f t="shared" ref="AZ1135:BI1161" si="119">IF(ISERROR(FIND(BF$1,$L1135,1)),"",1)</f>
        <v/>
      </c>
      <c r="BG1135" s="24" t="str">
        <f t="shared" si="119"/>
        <v/>
      </c>
      <c r="BH1135" s="24" t="str">
        <f t="shared" si="115"/>
        <v/>
      </c>
      <c r="BI1135" s="24">
        <f t="shared" si="119"/>
        <v>1</v>
      </c>
      <c r="BJ1135" s="24" t="str">
        <f t="shared" si="116"/>
        <v/>
      </c>
    </row>
    <row r="1136" spans="1:62" ht="15" customHeight="1" x14ac:dyDescent="0.25">
      <c r="A1136" t="str">
        <f>"1619055837"</f>
        <v>1619055837</v>
      </c>
      <c r="B1136" t="str">
        <f>"02937084"</f>
        <v>02937084</v>
      </c>
      <c r="C1136" t="s">
        <v>6352</v>
      </c>
      <c r="D1136" t="s">
        <v>6353</v>
      </c>
      <c r="E1136" t="s">
        <v>6354</v>
      </c>
      <c r="G1136" t="s">
        <v>6330</v>
      </c>
      <c r="H1136" t="s">
        <v>6331</v>
      </c>
      <c r="J1136" t="s">
        <v>6332</v>
      </c>
      <c r="L1136" t="s">
        <v>120</v>
      </c>
      <c r="M1136" t="s">
        <v>108</v>
      </c>
      <c r="R1136" t="s">
        <v>6355</v>
      </c>
      <c r="W1136" t="s">
        <v>6356</v>
      </c>
      <c r="X1136" t="s">
        <v>4040</v>
      </c>
      <c r="Y1136" t="s">
        <v>966</v>
      </c>
      <c r="Z1136" t="s">
        <v>111</v>
      </c>
      <c r="AA1136" t="str">
        <f>"13850-3556"</f>
        <v>13850-3556</v>
      </c>
      <c r="AB1136" t="s">
        <v>123</v>
      </c>
      <c r="AC1136" t="s">
        <v>113</v>
      </c>
      <c r="AD1136" t="s">
        <v>108</v>
      </c>
      <c r="AE1136" t="s">
        <v>114</v>
      </c>
      <c r="AF1136" t="s">
        <v>115</v>
      </c>
      <c r="AG1136" t="s">
        <v>116</v>
      </c>
      <c r="AK1136" t="str">
        <f t="shared" si="114"/>
        <v>Robbins Sheila</v>
      </c>
      <c r="AL1136" t="s">
        <v>6353</v>
      </c>
      <c r="AM1136" t="s">
        <v>108</v>
      </c>
      <c r="AN1136" t="s">
        <v>108</v>
      </c>
      <c r="AO1136" t="s">
        <v>108</v>
      </c>
      <c r="AP1136" t="s">
        <v>108</v>
      </c>
      <c r="AQ1136" t="s">
        <v>108</v>
      </c>
      <c r="AR1136" t="s">
        <v>108</v>
      </c>
      <c r="AS1136" t="s">
        <v>108</v>
      </c>
      <c r="AT1136" t="s">
        <v>108</v>
      </c>
      <c r="AU1136" t="s">
        <v>108</v>
      </c>
      <c r="AV1136" t="s">
        <v>108</v>
      </c>
      <c r="AW1136" t="s">
        <v>108</v>
      </c>
      <c r="AX1136" s="24">
        <f t="shared" si="118"/>
        <v>1</v>
      </c>
      <c r="AY1136" s="24" t="str">
        <f t="shared" si="118"/>
        <v/>
      </c>
      <c r="AZ1136" s="24" t="str">
        <f t="shared" si="119"/>
        <v/>
      </c>
      <c r="BA1136" s="24" t="str">
        <f t="shared" si="119"/>
        <v/>
      </c>
      <c r="BB1136" s="24" t="str">
        <f t="shared" si="119"/>
        <v/>
      </c>
      <c r="BC1136" s="24" t="str">
        <f t="shared" si="119"/>
        <v/>
      </c>
      <c r="BD1136" s="24" t="str">
        <f t="shared" si="119"/>
        <v/>
      </c>
      <c r="BE1136" s="24" t="str">
        <f t="shared" si="119"/>
        <v/>
      </c>
      <c r="BF1136" s="24" t="str">
        <f t="shared" si="119"/>
        <v/>
      </c>
      <c r="BG1136" s="24" t="str">
        <f t="shared" si="119"/>
        <v/>
      </c>
      <c r="BH1136" s="24" t="str">
        <f t="shared" si="115"/>
        <v/>
      </c>
      <c r="BI1136" s="24">
        <f t="shared" si="119"/>
        <v>1</v>
      </c>
      <c r="BJ1136" s="24" t="str">
        <f t="shared" si="116"/>
        <v/>
      </c>
    </row>
    <row r="1137" spans="1:62" ht="15" customHeight="1" x14ac:dyDescent="0.25">
      <c r="A1137" t="str">
        <f>"1952416216"</f>
        <v>1952416216</v>
      </c>
      <c r="B1137" t="str">
        <f>"01478266"</f>
        <v>01478266</v>
      </c>
      <c r="C1137" t="s">
        <v>3015</v>
      </c>
      <c r="D1137" t="s">
        <v>3016</v>
      </c>
      <c r="E1137" t="s">
        <v>3017</v>
      </c>
      <c r="G1137" t="s">
        <v>3018</v>
      </c>
      <c r="H1137" t="s">
        <v>3019</v>
      </c>
      <c r="J1137" t="s">
        <v>3020</v>
      </c>
      <c r="L1137" t="s">
        <v>138</v>
      </c>
      <c r="M1137" t="s">
        <v>108</v>
      </c>
      <c r="R1137" t="s">
        <v>3021</v>
      </c>
      <c r="W1137" t="s">
        <v>3017</v>
      </c>
      <c r="X1137" t="s">
        <v>3022</v>
      </c>
      <c r="Y1137" t="s">
        <v>293</v>
      </c>
      <c r="Z1137" t="s">
        <v>111</v>
      </c>
      <c r="AA1137" t="str">
        <f>"14850-1632"</f>
        <v>14850-1632</v>
      </c>
      <c r="AB1137" t="s">
        <v>123</v>
      </c>
      <c r="AC1137" t="s">
        <v>113</v>
      </c>
      <c r="AD1137" t="s">
        <v>108</v>
      </c>
      <c r="AE1137" t="s">
        <v>114</v>
      </c>
      <c r="AF1137" t="s">
        <v>142</v>
      </c>
      <c r="AG1137" t="s">
        <v>116</v>
      </c>
      <c r="AK1137" t="str">
        <f t="shared" si="114"/>
        <v/>
      </c>
      <c r="AL1137" t="s">
        <v>3016</v>
      </c>
      <c r="AM1137">
        <v>1</v>
      </c>
      <c r="AN1137">
        <v>1</v>
      </c>
      <c r="AO1137">
        <v>0</v>
      </c>
      <c r="AP1137">
        <v>0</v>
      </c>
      <c r="AQ1137">
        <v>0</v>
      </c>
      <c r="AR1137">
        <v>0</v>
      </c>
      <c r="AS1137">
        <v>0</v>
      </c>
      <c r="AT1137">
        <v>0</v>
      </c>
      <c r="AU1137">
        <v>0</v>
      </c>
      <c r="AV1137">
        <v>0</v>
      </c>
      <c r="AW1137">
        <v>0</v>
      </c>
      <c r="AX1137" s="24" t="str">
        <f t="shared" si="118"/>
        <v/>
      </c>
      <c r="AY1137" s="24">
        <f t="shared" si="118"/>
        <v>1</v>
      </c>
      <c r="AZ1137" s="24" t="str">
        <f t="shared" si="119"/>
        <v/>
      </c>
      <c r="BA1137" s="24" t="str">
        <f t="shared" si="119"/>
        <v/>
      </c>
      <c r="BB1137" s="24" t="str">
        <f t="shared" si="119"/>
        <v/>
      </c>
      <c r="BC1137" s="24" t="str">
        <f t="shared" si="119"/>
        <v/>
      </c>
      <c r="BD1137" s="24" t="str">
        <f t="shared" si="119"/>
        <v/>
      </c>
      <c r="BE1137" s="24" t="str">
        <f t="shared" si="119"/>
        <v/>
      </c>
      <c r="BF1137" s="24" t="str">
        <f t="shared" si="119"/>
        <v/>
      </c>
      <c r="BG1137" s="24" t="str">
        <f t="shared" si="119"/>
        <v/>
      </c>
      <c r="BH1137" s="24" t="str">
        <f t="shared" si="115"/>
        <v/>
      </c>
      <c r="BI1137" s="24">
        <f t="shared" si="119"/>
        <v>1</v>
      </c>
      <c r="BJ1137" s="24" t="str">
        <f t="shared" si="116"/>
        <v/>
      </c>
    </row>
    <row r="1138" spans="1:62" ht="15" customHeight="1" x14ac:dyDescent="0.25">
      <c r="A1138" t="str">
        <f>"1831285725"</f>
        <v>1831285725</v>
      </c>
      <c r="B1138" t="str">
        <f>"00402644"</f>
        <v>00402644</v>
      </c>
      <c r="C1138" t="s">
        <v>4309</v>
      </c>
      <c r="D1138" t="s">
        <v>4310</v>
      </c>
      <c r="E1138" t="s">
        <v>4311</v>
      </c>
      <c r="G1138" t="s">
        <v>4304</v>
      </c>
      <c r="H1138" t="s">
        <v>4305</v>
      </c>
      <c r="J1138" t="s">
        <v>4312</v>
      </c>
      <c r="L1138" t="s">
        <v>120</v>
      </c>
      <c r="M1138" t="s">
        <v>108</v>
      </c>
      <c r="R1138" t="s">
        <v>4313</v>
      </c>
      <c r="W1138" t="s">
        <v>4314</v>
      </c>
      <c r="X1138" t="s">
        <v>4308</v>
      </c>
      <c r="Y1138" t="s">
        <v>293</v>
      </c>
      <c r="Z1138" t="s">
        <v>111</v>
      </c>
      <c r="AA1138" t="str">
        <f>"14850-5429"</f>
        <v>14850-5429</v>
      </c>
      <c r="AB1138" t="s">
        <v>123</v>
      </c>
      <c r="AC1138" t="s">
        <v>113</v>
      </c>
      <c r="AD1138" t="s">
        <v>108</v>
      </c>
      <c r="AE1138" t="s">
        <v>114</v>
      </c>
      <c r="AF1138" t="s">
        <v>142</v>
      </c>
      <c r="AG1138" t="s">
        <v>116</v>
      </c>
      <c r="AK1138" t="str">
        <f t="shared" si="114"/>
        <v/>
      </c>
      <c r="AL1138" t="s">
        <v>4310</v>
      </c>
      <c r="AM1138">
        <v>1</v>
      </c>
      <c r="AN1138">
        <v>1</v>
      </c>
      <c r="AO1138">
        <v>0</v>
      </c>
      <c r="AP1138">
        <v>0</v>
      </c>
      <c r="AQ1138">
        <v>0</v>
      </c>
      <c r="AR1138">
        <v>0</v>
      </c>
      <c r="AS1138">
        <v>0</v>
      </c>
      <c r="AT1138">
        <v>0</v>
      </c>
      <c r="AU1138">
        <v>0</v>
      </c>
      <c r="AV1138">
        <v>0</v>
      </c>
      <c r="AW1138">
        <v>0</v>
      </c>
      <c r="AX1138" s="24">
        <f t="shared" si="118"/>
        <v>1</v>
      </c>
      <c r="AY1138" s="24" t="str">
        <f t="shared" si="118"/>
        <v/>
      </c>
      <c r="AZ1138" s="24" t="str">
        <f t="shared" si="119"/>
        <v/>
      </c>
      <c r="BA1138" s="24" t="str">
        <f t="shared" si="119"/>
        <v/>
      </c>
      <c r="BB1138" s="24" t="str">
        <f t="shared" si="119"/>
        <v/>
      </c>
      <c r="BC1138" s="24" t="str">
        <f t="shared" si="119"/>
        <v/>
      </c>
      <c r="BD1138" s="24" t="str">
        <f t="shared" si="119"/>
        <v/>
      </c>
      <c r="BE1138" s="24" t="str">
        <f t="shared" si="119"/>
        <v/>
      </c>
      <c r="BF1138" s="24" t="str">
        <f t="shared" si="119"/>
        <v/>
      </c>
      <c r="BG1138" s="24" t="str">
        <f t="shared" si="119"/>
        <v/>
      </c>
      <c r="BH1138" s="24" t="str">
        <f t="shared" si="115"/>
        <v/>
      </c>
      <c r="BI1138" s="24">
        <f t="shared" si="119"/>
        <v>1</v>
      </c>
      <c r="BJ1138" s="24" t="str">
        <f t="shared" si="116"/>
        <v/>
      </c>
    </row>
    <row r="1139" spans="1:62" ht="15" customHeight="1" x14ac:dyDescent="0.25">
      <c r="A1139" t="str">
        <f>"1386681773"</f>
        <v>1386681773</v>
      </c>
      <c r="B1139" t="str">
        <f>"01870382"</f>
        <v>01870382</v>
      </c>
      <c r="C1139" t="s">
        <v>3510</v>
      </c>
      <c r="D1139" t="s">
        <v>3511</v>
      </c>
      <c r="E1139" t="s">
        <v>3512</v>
      </c>
      <c r="G1139" t="s">
        <v>1126</v>
      </c>
      <c r="H1139" t="s">
        <v>1127</v>
      </c>
      <c r="J1139" t="s">
        <v>3513</v>
      </c>
      <c r="L1139" t="s">
        <v>138</v>
      </c>
      <c r="M1139" t="s">
        <v>108</v>
      </c>
      <c r="R1139" t="s">
        <v>3514</v>
      </c>
      <c r="W1139" t="s">
        <v>3512</v>
      </c>
      <c r="X1139" t="s">
        <v>3410</v>
      </c>
      <c r="Y1139" t="s">
        <v>1053</v>
      </c>
      <c r="Z1139" t="s">
        <v>111</v>
      </c>
      <c r="AA1139" t="str">
        <f>"14642-0001"</f>
        <v>14642-0001</v>
      </c>
      <c r="AB1139" t="s">
        <v>123</v>
      </c>
      <c r="AC1139" t="s">
        <v>113</v>
      </c>
      <c r="AD1139" t="s">
        <v>108</v>
      </c>
      <c r="AE1139" t="s">
        <v>114</v>
      </c>
      <c r="AF1139" t="s">
        <v>142</v>
      </c>
      <c r="AG1139" t="s">
        <v>116</v>
      </c>
      <c r="AK1139" t="str">
        <f t="shared" si="114"/>
        <v/>
      </c>
      <c r="AL1139" t="s">
        <v>3511</v>
      </c>
      <c r="AM1139">
        <v>0</v>
      </c>
      <c r="AN1139">
        <v>0</v>
      </c>
      <c r="AO1139">
        <v>0</v>
      </c>
      <c r="AP1139">
        <v>0</v>
      </c>
      <c r="AQ1139">
        <v>0</v>
      </c>
      <c r="AR1139">
        <v>0</v>
      </c>
      <c r="AS1139">
        <v>0</v>
      </c>
      <c r="AT1139">
        <v>0</v>
      </c>
      <c r="AU1139">
        <v>0</v>
      </c>
      <c r="AV1139">
        <v>0</v>
      </c>
      <c r="AW1139">
        <v>0</v>
      </c>
      <c r="AX1139" s="24" t="str">
        <f t="shared" si="118"/>
        <v/>
      </c>
      <c r="AY1139" s="24">
        <f t="shared" si="118"/>
        <v>1</v>
      </c>
      <c r="AZ1139" s="24" t="str">
        <f t="shared" si="119"/>
        <v/>
      </c>
      <c r="BA1139" s="24" t="str">
        <f t="shared" si="119"/>
        <v/>
      </c>
      <c r="BB1139" s="24" t="str">
        <f t="shared" si="119"/>
        <v/>
      </c>
      <c r="BC1139" s="24" t="str">
        <f t="shared" si="119"/>
        <v/>
      </c>
      <c r="BD1139" s="24" t="str">
        <f t="shared" si="119"/>
        <v/>
      </c>
      <c r="BE1139" s="24" t="str">
        <f t="shared" si="119"/>
        <v/>
      </c>
      <c r="BF1139" s="24" t="str">
        <f t="shared" si="119"/>
        <v/>
      </c>
      <c r="BG1139" s="24" t="str">
        <f t="shared" si="119"/>
        <v/>
      </c>
      <c r="BH1139" s="24" t="str">
        <f t="shared" si="115"/>
        <v/>
      </c>
      <c r="BI1139" s="24">
        <f t="shared" si="119"/>
        <v>1</v>
      </c>
      <c r="BJ1139" s="24" t="str">
        <f t="shared" si="116"/>
        <v/>
      </c>
    </row>
    <row r="1140" spans="1:62" ht="15" customHeight="1" x14ac:dyDescent="0.25">
      <c r="A1140" t="str">
        <f>"1912960790"</f>
        <v>1912960790</v>
      </c>
      <c r="B1140" t="str">
        <f>"00854884"</f>
        <v>00854884</v>
      </c>
      <c r="C1140" t="s">
        <v>5593</v>
      </c>
      <c r="D1140" t="s">
        <v>5594</v>
      </c>
      <c r="E1140" t="s">
        <v>5595</v>
      </c>
      <c r="G1140" t="s">
        <v>5596</v>
      </c>
      <c r="H1140" t="s">
        <v>5597</v>
      </c>
      <c r="J1140" t="s">
        <v>5598</v>
      </c>
      <c r="L1140" t="s">
        <v>247</v>
      </c>
      <c r="M1140" t="s">
        <v>108</v>
      </c>
      <c r="R1140" t="s">
        <v>5599</v>
      </c>
      <c r="W1140" t="s">
        <v>5595</v>
      </c>
      <c r="X1140" t="s">
        <v>5600</v>
      </c>
      <c r="Y1140" t="s">
        <v>293</v>
      </c>
      <c r="Z1140" t="s">
        <v>111</v>
      </c>
      <c r="AA1140" t="str">
        <f>"14850-1345"</f>
        <v>14850-1345</v>
      </c>
      <c r="AB1140" t="s">
        <v>123</v>
      </c>
      <c r="AC1140" t="s">
        <v>113</v>
      </c>
      <c r="AD1140" t="s">
        <v>108</v>
      </c>
      <c r="AE1140" t="s">
        <v>114</v>
      </c>
      <c r="AF1140" t="s">
        <v>142</v>
      </c>
      <c r="AG1140" t="s">
        <v>116</v>
      </c>
      <c r="AK1140" t="str">
        <f t="shared" si="114"/>
        <v/>
      </c>
      <c r="AL1140" t="s">
        <v>5594</v>
      </c>
      <c r="AM1140">
        <v>1</v>
      </c>
      <c r="AN1140">
        <v>1</v>
      </c>
      <c r="AO1140">
        <v>0</v>
      </c>
      <c r="AP1140">
        <v>0</v>
      </c>
      <c r="AQ1140">
        <v>0</v>
      </c>
      <c r="AR1140">
        <v>0</v>
      </c>
      <c r="AS1140">
        <v>0</v>
      </c>
      <c r="AT1140">
        <v>0</v>
      </c>
      <c r="AU1140">
        <v>0</v>
      </c>
      <c r="AV1140">
        <v>0</v>
      </c>
      <c r="AW1140">
        <v>0</v>
      </c>
      <c r="AX1140" s="24" t="str">
        <f t="shared" si="118"/>
        <v/>
      </c>
      <c r="AY1140" s="24">
        <f t="shared" si="118"/>
        <v>1</v>
      </c>
      <c r="AZ1140" s="24" t="str">
        <f t="shared" si="119"/>
        <v/>
      </c>
      <c r="BA1140" s="24" t="str">
        <f t="shared" si="119"/>
        <v/>
      </c>
      <c r="BB1140" s="24" t="str">
        <f t="shared" si="119"/>
        <v/>
      </c>
      <c r="BC1140" s="24" t="str">
        <f t="shared" si="119"/>
        <v/>
      </c>
      <c r="BD1140" s="24" t="str">
        <f t="shared" si="119"/>
        <v/>
      </c>
      <c r="BE1140" s="24" t="str">
        <f t="shared" si="119"/>
        <v/>
      </c>
      <c r="BF1140" s="24" t="str">
        <f t="shared" si="119"/>
        <v/>
      </c>
      <c r="BG1140" s="24" t="str">
        <f t="shared" si="119"/>
        <v/>
      </c>
      <c r="BH1140" s="24" t="str">
        <f t="shared" si="115"/>
        <v/>
      </c>
      <c r="BI1140" s="24" t="str">
        <f t="shared" si="119"/>
        <v/>
      </c>
      <c r="BJ1140" s="24" t="str">
        <f t="shared" si="116"/>
        <v/>
      </c>
    </row>
    <row r="1141" spans="1:62" ht="15" customHeight="1" x14ac:dyDescent="0.25">
      <c r="A1141" t="str">
        <f>"1619927183"</f>
        <v>1619927183</v>
      </c>
      <c r="B1141" t="str">
        <f>"02865034"</f>
        <v>02865034</v>
      </c>
      <c r="C1141" t="s">
        <v>253</v>
      </c>
      <c r="D1141" t="s">
        <v>254</v>
      </c>
      <c r="E1141" t="s">
        <v>255</v>
      </c>
      <c r="G1141" t="s">
        <v>229</v>
      </c>
      <c r="H1141" t="s">
        <v>230</v>
      </c>
      <c r="J1141" t="s">
        <v>231</v>
      </c>
      <c r="L1141" t="s">
        <v>138</v>
      </c>
      <c r="M1141" t="s">
        <v>108</v>
      </c>
      <c r="R1141" t="s">
        <v>256</v>
      </c>
      <c r="W1141" t="s">
        <v>255</v>
      </c>
      <c r="X1141" t="s">
        <v>140</v>
      </c>
      <c r="Y1141" t="s">
        <v>141</v>
      </c>
      <c r="Z1141" t="s">
        <v>111</v>
      </c>
      <c r="AA1141" t="str">
        <f>"13210-2342"</f>
        <v>13210-2342</v>
      </c>
      <c r="AB1141" t="s">
        <v>123</v>
      </c>
      <c r="AC1141" t="s">
        <v>113</v>
      </c>
      <c r="AD1141" t="s">
        <v>108</v>
      </c>
      <c r="AE1141" t="s">
        <v>114</v>
      </c>
      <c r="AF1141" t="s">
        <v>142</v>
      </c>
      <c r="AG1141" t="s">
        <v>116</v>
      </c>
      <c r="AK1141" t="str">
        <f t="shared" si="114"/>
        <v/>
      </c>
      <c r="AL1141" t="s">
        <v>254</v>
      </c>
      <c r="AM1141">
        <v>0</v>
      </c>
      <c r="AN1141">
        <v>0</v>
      </c>
      <c r="AO1141">
        <v>0</v>
      </c>
      <c r="AP1141">
        <v>0</v>
      </c>
      <c r="AQ1141">
        <v>0</v>
      </c>
      <c r="AR1141">
        <v>0</v>
      </c>
      <c r="AS1141">
        <v>0</v>
      </c>
      <c r="AT1141">
        <v>0</v>
      </c>
      <c r="AU1141">
        <v>0</v>
      </c>
      <c r="AV1141">
        <v>0</v>
      </c>
      <c r="AW1141">
        <v>0</v>
      </c>
      <c r="AX1141" s="24" t="str">
        <f t="shared" si="118"/>
        <v/>
      </c>
      <c r="AY1141" s="24">
        <f t="shared" si="118"/>
        <v>1</v>
      </c>
      <c r="AZ1141" s="24" t="str">
        <f t="shared" si="119"/>
        <v/>
      </c>
      <c r="BA1141" s="24" t="str">
        <f t="shared" si="119"/>
        <v/>
      </c>
      <c r="BB1141" s="24" t="str">
        <f t="shared" si="119"/>
        <v/>
      </c>
      <c r="BC1141" s="24" t="str">
        <f t="shared" si="119"/>
        <v/>
      </c>
      <c r="BD1141" s="24" t="str">
        <f t="shared" si="119"/>
        <v/>
      </c>
      <c r="BE1141" s="24" t="str">
        <f t="shared" si="119"/>
        <v/>
      </c>
      <c r="BF1141" s="24" t="str">
        <f t="shared" si="119"/>
        <v/>
      </c>
      <c r="BG1141" s="24" t="str">
        <f t="shared" si="119"/>
        <v/>
      </c>
      <c r="BH1141" s="24" t="str">
        <f t="shared" si="115"/>
        <v/>
      </c>
      <c r="BI1141" s="24">
        <f t="shared" si="119"/>
        <v>1</v>
      </c>
      <c r="BJ1141" s="24" t="str">
        <f t="shared" si="116"/>
        <v/>
      </c>
    </row>
    <row r="1142" spans="1:62" ht="15" customHeight="1" x14ac:dyDescent="0.25">
      <c r="A1142" t="str">
        <f>"1659341659"</f>
        <v>1659341659</v>
      </c>
      <c r="B1142" t="str">
        <f>"00838028"</f>
        <v>00838028</v>
      </c>
      <c r="C1142" t="s">
        <v>3398</v>
      </c>
      <c r="D1142" t="s">
        <v>3399</v>
      </c>
      <c r="E1142" t="s">
        <v>3400</v>
      </c>
      <c r="G1142" t="s">
        <v>3096</v>
      </c>
      <c r="H1142" t="s">
        <v>3097</v>
      </c>
      <c r="J1142" t="s">
        <v>3401</v>
      </c>
      <c r="L1142" t="s">
        <v>138</v>
      </c>
      <c r="M1142" t="s">
        <v>108</v>
      </c>
      <c r="R1142" t="s">
        <v>3402</v>
      </c>
      <c r="W1142" t="s">
        <v>3403</v>
      </c>
      <c r="X1142" t="s">
        <v>302</v>
      </c>
      <c r="Y1142" t="s">
        <v>293</v>
      </c>
      <c r="Z1142" t="s">
        <v>111</v>
      </c>
      <c r="AA1142" t="str">
        <f>"14850-1342"</f>
        <v>14850-1342</v>
      </c>
      <c r="AB1142" t="s">
        <v>123</v>
      </c>
      <c r="AC1142" t="s">
        <v>113</v>
      </c>
      <c r="AD1142" t="s">
        <v>108</v>
      </c>
      <c r="AE1142" t="s">
        <v>114</v>
      </c>
      <c r="AF1142" t="s">
        <v>142</v>
      </c>
      <c r="AG1142" t="s">
        <v>116</v>
      </c>
      <c r="AK1142" t="str">
        <f t="shared" si="114"/>
        <v/>
      </c>
      <c r="AL1142" t="s">
        <v>3399</v>
      </c>
      <c r="AM1142">
        <v>1</v>
      </c>
      <c r="AN1142">
        <v>1</v>
      </c>
      <c r="AO1142">
        <v>0</v>
      </c>
      <c r="AP1142">
        <v>0</v>
      </c>
      <c r="AQ1142">
        <v>0</v>
      </c>
      <c r="AR1142">
        <v>0</v>
      </c>
      <c r="AS1142">
        <v>0</v>
      </c>
      <c r="AT1142">
        <v>0</v>
      </c>
      <c r="AU1142">
        <v>0</v>
      </c>
      <c r="AV1142">
        <v>0</v>
      </c>
      <c r="AW1142">
        <v>0</v>
      </c>
      <c r="AX1142" s="24" t="str">
        <f t="shared" si="118"/>
        <v/>
      </c>
      <c r="AY1142" s="24">
        <f t="shared" si="118"/>
        <v>1</v>
      </c>
      <c r="AZ1142" s="24" t="str">
        <f t="shared" si="119"/>
        <v/>
      </c>
      <c r="BA1142" s="24" t="str">
        <f t="shared" si="119"/>
        <v/>
      </c>
      <c r="BB1142" s="24" t="str">
        <f t="shared" si="119"/>
        <v/>
      </c>
      <c r="BC1142" s="24" t="str">
        <f t="shared" si="119"/>
        <v/>
      </c>
      <c r="BD1142" s="24" t="str">
        <f t="shared" si="119"/>
        <v/>
      </c>
      <c r="BE1142" s="24" t="str">
        <f t="shared" si="119"/>
        <v/>
      </c>
      <c r="BF1142" s="24" t="str">
        <f t="shared" si="119"/>
        <v/>
      </c>
      <c r="BG1142" s="24" t="str">
        <f t="shared" si="119"/>
        <v/>
      </c>
      <c r="BH1142" s="24" t="str">
        <f t="shared" si="115"/>
        <v/>
      </c>
      <c r="BI1142" s="24">
        <f t="shared" si="119"/>
        <v>1</v>
      </c>
      <c r="BJ1142" s="24" t="str">
        <f t="shared" si="116"/>
        <v/>
      </c>
    </row>
    <row r="1143" spans="1:62" ht="15" customHeight="1" x14ac:dyDescent="0.25">
      <c r="A1143" t="str">
        <f>"1447353529"</f>
        <v>1447353529</v>
      </c>
      <c r="B1143" t="str">
        <f>"01869061"</f>
        <v>01869061</v>
      </c>
      <c r="C1143" t="s">
        <v>629</v>
      </c>
      <c r="D1143" t="s">
        <v>630</v>
      </c>
      <c r="E1143" t="s">
        <v>631</v>
      </c>
      <c r="G1143" t="s">
        <v>623</v>
      </c>
      <c r="H1143" t="s">
        <v>624</v>
      </c>
      <c r="J1143" t="s">
        <v>632</v>
      </c>
      <c r="L1143" t="s">
        <v>138</v>
      </c>
      <c r="M1143" t="s">
        <v>108</v>
      </c>
      <c r="R1143" t="s">
        <v>633</v>
      </c>
      <c r="W1143" t="s">
        <v>631</v>
      </c>
      <c r="X1143" t="s">
        <v>634</v>
      </c>
      <c r="Y1143" t="s">
        <v>293</v>
      </c>
      <c r="Z1143" t="s">
        <v>111</v>
      </c>
      <c r="AA1143" t="str">
        <f>"14850-1072"</f>
        <v>14850-1072</v>
      </c>
      <c r="AB1143" t="s">
        <v>123</v>
      </c>
      <c r="AC1143" t="s">
        <v>113</v>
      </c>
      <c r="AD1143" t="s">
        <v>108</v>
      </c>
      <c r="AE1143" t="s">
        <v>114</v>
      </c>
      <c r="AF1143" t="s">
        <v>142</v>
      </c>
      <c r="AG1143" t="s">
        <v>116</v>
      </c>
      <c r="AK1143" t="str">
        <f t="shared" si="114"/>
        <v/>
      </c>
      <c r="AL1143" t="s">
        <v>630</v>
      </c>
      <c r="AM1143">
        <v>1</v>
      </c>
      <c r="AN1143">
        <v>1</v>
      </c>
      <c r="AO1143">
        <v>0</v>
      </c>
      <c r="AP1143">
        <v>0</v>
      </c>
      <c r="AQ1143">
        <v>0</v>
      </c>
      <c r="AR1143">
        <v>0</v>
      </c>
      <c r="AS1143">
        <v>0</v>
      </c>
      <c r="AT1143">
        <v>0</v>
      </c>
      <c r="AU1143">
        <v>0</v>
      </c>
      <c r="AV1143">
        <v>0</v>
      </c>
      <c r="AW1143">
        <v>0</v>
      </c>
      <c r="AX1143" s="24" t="str">
        <f t="shared" si="118"/>
        <v/>
      </c>
      <c r="AY1143" s="24">
        <f t="shared" si="118"/>
        <v>1</v>
      </c>
      <c r="AZ1143" s="24" t="str">
        <f t="shared" si="119"/>
        <v/>
      </c>
      <c r="BA1143" s="24" t="str">
        <f t="shared" si="119"/>
        <v/>
      </c>
      <c r="BB1143" s="24" t="str">
        <f t="shared" si="119"/>
        <v/>
      </c>
      <c r="BC1143" s="24" t="str">
        <f t="shared" si="119"/>
        <v/>
      </c>
      <c r="BD1143" s="24" t="str">
        <f t="shared" si="119"/>
        <v/>
      </c>
      <c r="BE1143" s="24" t="str">
        <f t="shared" si="119"/>
        <v/>
      </c>
      <c r="BF1143" s="24" t="str">
        <f t="shared" si="119"/>
        <v/>
      </c>
      <c r="BG1143" s="24" t="str">
        <f t="shared" si="119"/>
        <v/>
      </c>
      <c r="BH1143" s="24" t="str">
        <f t="shared" si="115"/>
        <v/>
      </c>
      <c r="BI1143" s="24">
        <f t="shared" si="119"/>
        <v>1</v>
      </c>
      <c r="BJ1143" s="24" t="str">
        <f t="shared" si="116"/>
        <v/>
      </c>
    </row>
    <row r="1144" spans="1:62" ht="15" customHeight="1" x14ac:dyDescent="0.25">
      <c r="A1144" t="str">
        <f>"1669448403"</f>
        <v>1669448403</v>
      </c>
      <c r="B1144" t="str">
        <f>"03509377"</f>
        <v>03509377</v>
      </c>
      <c r="C1144" t="s">
        <v>2084</v>
      </c>
      <c r="D1144" t="s">
        <v>2085</v>
      </c>
      <c r="E1144" t="s">
        <v>2086</v>
      </c>
      <c r="G1144" t="s">
        <v>229</v>
      </c>
      <c r="H1144" t="s">
        <v>230</v>
      </c>
      <c r="J1144" t="s">
        <v>231</v>
      </c>
      <c r="L1144" t="s">
        <v>138</v>
      </c>
      <c r="M1144" t="s">
        <v>108</v>
      </c>
      <c r="R1144" t="s">
        <v>2087</v>
      </c>
      <c r="W1144" t="s">
        <v>2086</v>
      </c>
      <c r="X1144" t="s">
        <v>2088</v>
      </c>
      <c r="Y1144" t="s">
        <v>1272</v>
      </c>
      <c r="Z1144" t="s">
        <v>111</v>
      </c>
      <c r="AA1144" t="str">
        <f>"13021-1941"</f>
        <v>13021-1941</v>
      </c>
      <c r="AB1144" t="s">
        <v>123</v>
      </c>
      <c r="AC1144" t="s">
        <v>113</v>
      </c>
      <c r="AD1144" t="s">
        <v>108</v>
      </c>
      <c r="AE1144" t="s">
        <v>114</v>
      </c>
      <c r="AF1144" t="s">
        <v>142</v>
      </c>
      <c r="AG1144" t="s">
        <v>116</v>
      </c>
      <c r="AK1144" t="str">
        <f t="shared" si="114"/>
        <v/>
      </c>
      <c r="AL1144" t="s">
        <v>2085</v>
      </c>
      <c r="AM1144">
        <v>0</v>
      </c>
      <c r="AN1144">
        <v>0</v>
      </c>
      <c r="AO1144">
        <v>0</v>
      </c>
      <c r="AP1144">
        <v>0</v>
      </c>
      <c r="AQ1144">
        <v>0</v>
      </c>
      <c r="AR1144">
        <v>0</v>
      </c>
      <c r="AS1144">
        <v>0</v>
      </c>
      <c r="AT1144">
        <v>0</v>
      </c>
      <c r="AU1144">
        <v>0</v>
      </c>
      <c r="AV1144">
        <v>0</v>
      </c>
      <c r="AW1144">
        <v>0</v>
      </c>
      <c r="AX1144" s="24" t="str">
        <f t="shared" si="118"/>
        <v/>
      </c>
      <c r="AY1144" s="24">
        <f t="shared" si="118"/>
        <v>1</v>
      </c>
      <c r="AZ1144" s="24" t="str">
        <f t="shared" si="119"/>
        <v/>
      </c>
      <c r="BA1144" s="24" t="str">
        <f t="shared" si="119"/>
        <v/>
      </c>
      <c r="BB1144" s="24" t="str">
        <f t="shared" si="119"/>
        <v/>
      </c>
      <c r="BC1144" s="24" t="str">
        <f t="shared" si="119"/>
        <v/>
      </c>
      <c r="BD1144" s="24" t="str">
        <f t="shared" si="119"/>
        <v/>
      </c>
      <c r="BE1144" s="24" t="str">
        <f t="shared" si="119"/>
        <v/>
      </c>
      <c r="BF1144" s="24" t="str">
        <f t="shared" si="119"/>
        <v/>
      </c>
      <c r="BG1144" s="24" t="str">
        <f t="shared" si="119"/>
        <v/>
      </c>
      <c r="BH1144" s="24" t="str">
        <f t="shared" si="115"/>
        <v/>
      </c>
      <c r="BI1144" s="24">
        <f t="shared" si="119"/>
        <v>1</v>
      </c>
      <c r="BJ1144" s="24" t="str">
        <f t="shared" si="116"/>
        <v/>
      </c>
    </row>
    <row r="1145" spans="1:62" ht="15" customHeight="1" x14ac:dyDescent="0.25">
      <c r="A1145" t="str">
        <f>"1801994694"</f>
        <v>1801994694</v>
      </c>
      <c r="B1145" t="str">
        <f>"02852133"</f>
        <v>02852133</v>
      </c>
      <c r="C1145" t="s">
        <v>6243</v>
      </c>
      <c r="D1145" t="s">
        <v>6244</v>
      </c>
      <c r="E1145" t="s">
        <v>6245</v>
      </c>
      <c r="G1145" t="s">
        <v>815</v>
      </c>
      <c r="H1145" t="s">
        <v>816</v>
      </c>
      <c r="J1145" t="s">
        <v>817</v>
      </c>
      <c r="L1145" t="s">
        <v>138</v>
      </c>
      <c r="M1145" t="s">
        <v>108</v>
      </c>
      <c r="R1145" t="s">
        <v>6246</v>
      </c>
      <c r="W1145" t="s">
        <v>6245</v>
      </c>
      <c r="X1145" t="s">
        <v>204</v>
      </c>
      <c r="Y1145" t="s">
        <v>110</v>
      </c>
      <c r="Z1145" t="s">
        <v>111</v>
      </c>
      <c r="AA1145" t="str">
        <f>"13905-4246"</f>
        <v>13905-4246</v>
      </c>
      <c r="AB1145" t="s">
        <v>123</v>
      </c>
      <c r="AC1145" t="s">
        <v>113</v>
      </c>
      <c r="AD1145" t="s">
        <v>108</v>
      </c>
      <c r="AE1145" t="s">
        <v>114</v>
      </c>
      <c r="AF1145" t="s">
        <v>115</v>
      </c>
      <c r="AG1145" t="s">
        <v>116</v>
      </c>
      <c r="AK1145" t="str">
        <f t="shared" si="114"/>
        <v>Roberta L. Beers-Schambach, RPA-C</v>
      </c>
      <c r="AL1145" t="s">
        <v>6244</v>
      </c>
      <c r="AM1145" t="s">
        <v>108</v>
      </c>
      <c r="AN1145" t="s">
        <v>108</v>
      </c>
      <c r="AO1145" t="s">
        <v>108</v>
      </c>
      <c r="AP1145" t="s">
        <v>108</v>
      </c>
      <c r="AQ1145" t="s">
        <v>108</v>
      </c>
      <c r="AR1145" t="s">
        <v>108</v>
      </c>
      <c r="AS1145" t="s">
        <v>108</v>
      </c>
      <c r="AT1145" t="s">
        <v>108</v>
      </c>
      <c r="AU1145" t="s">
        <v>108</v>
      </c>
      <c r="AV1145" t="s">
        <v>108</v>
      </c>
      <c r="AW1145" t="s">
        <v>108</v>
      </c>
      <c r="AX1145" s="24" t="str">
        <f t="shared" si="118"/>
        <v/>
      </c>
      <c r="AY1145" s="24">
        <f t="shared" si="118"/>
        <v>1</v>
      </c>
      <c r="AZ1145" s="24" t="str">
        <f t="shared" si="119"/>
        <v/>
      </c>
      <c r="BA1145" s="24" t="str">
        <f t="shared" si="119"/>
        <v/>
      </c>
      <c r="BB1145" s="24" t="str">
        <f t="shared" si="119"/>
        <v/>
      </c>
      <c r="BC1145" s="24" t="str">
        <f t="shared" si="119"/>
        <v/>
      </c>
      <c r="BD1145" s="24" t="str">
        <f t="shared" si="119"/>
        <v/>
      </c>
      <c r="BE1145" s="24" t="str">
        <f t="shared" si="119"/>
        <v/>
      </c>
      <c r="BF1145" s="24" t="str">
        <f t="shared" si="119"/>
        <v/>
      </c>
      <c r="BG1145" s="24" t="str">
        <f t="shared" si="119"/>
        <v/>
      </c>
      <c r="BH1145" s="24" t="str">
        <f t="shared" si="115"/>
        <v/>
      </c>
      <c r="BI1145" s="24">
        <f t="shared" si="119"/>
        <v>1</v>
      </c>
      <c r="BJ1145" s="24" t="str">
        <f t="shared" si="116"/>
        <v/>
      </c>
    </row>
    <row r="1146" spans="1:62" ht="15" customHeight="1" x14ac:dyDescent="0.25">
      <c r="B1146" t="str">
        <f>"03435458"</f>
        <v>03435458</v>
      </c>
      <c r="C1146" t="s">
        <v>2115</v>
      </c>
      <c r="D1146" t="s">
        <v>2116</v>
      </c>
      <c r="E1146" t="s">
        <v>2115</v>
      </c>
      <c r="G1146" t="s">
        <v>1105</v>
      </c>
      <c r="J1146" t="s">
        <v>1107</v>
      </c>
      <c r="L1146" t="s">
        <v>68</v>
      </c>
      <c r="M1146" t="s">
        <v>108</v>
      </c>
      <c r="W1146" t="s">
        <v>2115</v>
      </c>
      <c r="X1146" t="s">
        <v>2117</v>
      </c>
      <c r="Y1146" t="s">
        <v>1110</v>
      </c>
      <c r="Z1146" t="s">
        <v>111</v>
      </c>
      <c r="AA1146" t="str">
        <f>"12167-1203"</f>
        <v>12167-1203</v>
      </c>
      <c r="AB1146" t="s">
        <v>165</v>
      </c>
      <c r="AC1146" t="s">
        <v>113</v>
      </c>
      <c r="AD1146" t="s">
        <v>108</v>
      </c>
      <c r="AE1146" t="s">
        <v>114</v>
      </c>
      <c r="AF1146" t="s">
        <v>124</v>
      </c>
      <c r="AG1146" t="s">
        <v>116</v>
      </c>
      <c r="AK1146" t="str">
        <f t="shared" si="114"/>
        <v/>
      </c>
      <c r="AL1146" t="s">
        <v>2116</v>
      </c>
      <c r="AM1146">
        <v>1</v>
      </c>
      <c r="AN1146">
        <v>0</v>
      </c>
      <c r="AO1146">
        <v>1</v>
      </c>
      <c r="AP1146">
        <v>0</v>
      </c>
      <c r="AQ1146">
        <v>0</v>
      </c>
      <c r="AR1146">
        <v>0</v>
      </c>
      <c r="AS1146">
        <v>0</v>
      </c>
      <c r="AT1146">
        <v>0</v>
      </c>
      <c r="AU1146">
        <v>0</v>
      </c>
      <c r="AV1146">
        <v>0</v>
      </c>
      <c r="AW1146">
        <v>0</v>
      </c>
      <c r="AX1146" s="24" t="str">
        <f t="shared" si="118"/>
        <v/>
      </c>
      <c r="AY1146" s="24" t="str">
        <f t="shared" si="118"/>
        <v/>
      </c>
      <c r="AZ1146" s="24" t="str">
        <f t="shared" si="119"/>
        <v/>
      </c>
      <c r="BA1146" s="24" t="str">
        <f t="shared" si="119"/>
        <v/>
      </c>
      <c r="BB1146" s="24" t="str">
        <f t="shared" si="119"/>
        <v/>
      </c>
      <c r="BC1146" s="24" t="str">
        <f t="shared" si="119"/>
        <v/>
      </c>
      <c r="BD1146" s="24" t="str">
        <f t="shared" si="119"/>
        <v/>
      </c>
      <c r="BE1146" s="24" t="str">
        <f t="shared" si="119"/>
        <v/>
      </c>
      <c r="BF1146" s="24" t="str">
        <f t="shared" si="119"/>
        <v/>
      </c>
      <c r="BG1146" s="24" t="str">
        <f t="shared" si="119"/>
        <v/>
      </c>
      <c r="BH1146" s="24" t="str">
        <f t="shared" si="115"/>
        <v/>
      </c>
      <c r="BI1146" s="24">
        <f t="shared" si="119"/>
        <v>1</v>
      </c>
      <c r="BJ1146" s="24" t="str">
        <f t="shared" si="116"/>
        <v/>
      </c>
    </row>
    <row r="1147" spans="1:62" ht="15" customHeight="1" x14ac:dyDescent="0.25">
      <c r="A1147" t="str">
        <f>"1912993460"</f>
        <v>1912993460</v>
      </c>
      <c r="B1147" t="str">
        <f>"02282011"</f>
        <v>02282011</v>
      </c>
      <c r="C1147" t="s">
        <v>5617</v>
      </c>
      <c r="D1147" t="s">
        <v>5618</v>
      </c>
      <c r="E1147" t="s">
        <v>5619</v>
      </c>
      <c r="L1147" t="s">
        <v>6867</v>
      </c>
      <c r="M1147" t="s">
        <v>139</v>
      </c>
      <c r="R1147" t="s">
        <v>5617</v>
      </c>
      <c r="W1147" t="s">
        <v>5619</v>
      </c>
      <c r="X1147" t="s">
        <v>881</v>
      </c>
      <c r="Y1147" t="s">
        <v>321</v>
      </c>
      <c r="Z1147" t="s">
        <v>111</v>
      </c>
      <c r="AA1147" t="str">
        <f>"13760-5430"</f>
        <v>13760-5430</v>
      </c>
      <c r="AB1147" t="s">
        <v>123</v>
      </c>
      <c r="AC1147" t="s">
        <v>113</v>
      </c>
      <c r="AD1147" t="s">
        <v>108</v>
      </c>
      <c r="AE1147" t="s">
        <v>114</v>
      </c>
      <c r="AF1147" t="s">
        <v>115</v>
      </c>
      <c r="AG1147" t="s">
        <v>116</v>
      </c>
      <c r="AK1147" t="str">
        <f t="shared" si="114"/>
        <v/>
      </c>
      <c r="AL1147" t="s">
        <v>5618</v>
      </c>
      <c r="AM1147">
        <v>0</v>
      </c>
      <c r="AN1147">
        <v>0</v>
      </c>
      <c r="AO1147">
        <v>0</v>
      </c>
      <c r="AP1147">
        <v>0</v>
      </c>
      <c r="AQ1147">
        <v>0</v>
      </c>
      <c r="AR1147">
        <v>0</v>
      </c>
      <c r="AS1147">
        <v>0</v>
      </c>
      <c r="AT1147">
        <v>0</v>
      </c>
      <c r="AU1147">
        <v>0</v>
      </c>
      <c r="AV1147">
        <v>0</v>
      </c>
      <c r="AW1147">
        <v>0</v>
      </c>
      <c r="AX1147" s="24">
        <f t="shared" si="118"/>
        <v>1</v>
      </c>
      <c r="AY1147" s="24">
        <f t="shared" si="118"/>
        <v>1</v>
      </c>
      <c r="AZ1147" s="24" t="str">
        <f t="shared" si="119"/>
        <v/>
      </c>
      <c r="BA1147" s="24" t="str">
        <f t="shared" si="119"/>
        <v/>
      </c>
      <c r="BB1147" s="24" t="str">
        <f t="shared" si="119"/>
        <v/>
      </c>
      <c r="BC1147" s="24" t="str">
        <f t="shared" si="119"/>
        <v/>
      </c>
      <c r="BD1147" s="24" t="str">
        <f t="shared" si="119"/>
        <v/>
      </c>
      <c r="BE1147" s="24" t="str">
        <f t="shared" si="119"/>
        <v/>
      </c>
      <c r="BF1147" s="24" t="str">
        <f t="shared" si="119"/>
        <v/>
      </c>
      <c r="BG1147" s="24" t="str">
        <f t="shared" si="119"/>
        <v/>
      </c>
      <c r="BH1147" s="24" t="str">
        <f t="shared" si="115"/>
        <v/>
      </c>
      <c r="BI1147" s="24">
        <f t="shared" si="119"/>
        <v>1</v>
      </c>
      <c r="BJ1147" s="24" t="str">
        <f t="shared" si="116"/>
        <v/>
      </c>
    </row>
    <row r="1148" spans="1:62" ht="15" customHeight="1" x14ac:dyDescent="0.25">
      <c r="A1148" t="str">
        <f>"1982687901"</f>
        <v>1982687901</v>
      </c>
      <c r="B1148" t="str">
        <f>"01498806"</f>
        <v>01498806</v>
      </c>
      <c r="C1148" t="s">
        <v>6792</v>
      </c>
      <c r="D1148" t="s">
        <v>7068</v>
      </c>
      <c r="E1148" t="s">
        <v>6928</v>
      </c>
      <c r="G1148" t="s">
        <v>6330</v>
      </c>
      <c r="H1148" t="s">
        <v>6331</v>
      </c>
      <c r="J1148" t="s">
        <v>6332</v>
      </c>
      <c r="L1148" t="s">
        <v>120</v>
      </c>
      <c r="M1148" t="s">
        <v>108</v>
      </c>
      <c r="R1148" t="s">
        <v>6792</v>
      </c>
      <c r="W1148" t="s">
        <v>6928</v>
      </c>
      <c r="X1148" t="s">
        <v>6929</v>
      </c>
      <c r="Y1148" t="s">
        <v>592</v>
      </c>
      <c r="Z1148" t="s">
        <v>111</v>
      </c>
      <c r="AA1148" t="str">
        <f>"10467-2401"</f>
        <v>10467-2401</v>
      </c>
      <c r="AB1148" t="s">
        <v>123</v>
      </c>
      <c r="AC1148" t="s">
        <v>113</v>
      </c>
      <c r="AD1148" t="s">
        <v>108</v>
      </c>
      <c r="AE1148" t="s">
        <v>114</v>
      </c>
      <c r="AF1148" t="s">
        <v>124</v>
      </c>
      <c r="AG1148" t="s">
        <v>116</v>
      </c>
      <c r="AK1148" t="str">
        <f t="shared" si="114"/>
        <v>RODRIGUEZ-BETANCOURT LUIS DR.</v>
      </c>
      <c r="AL1148" t="s">
        <v>7068</v>
      </c>
      <c r="AM1148" t="s">
        <v>108</v>
      </c>
      <c r="AN1148" t="s">
        <v>108</v>
      </c>
      <c r="AO1148" t="s">
        <v>108</v>
      </c>
      <c r="AP1148" t="s">
        <v>108</v>
      </c>
      <c r="AQ1148" t="s">
        <v>108</v>
      </c>
      <c r="AR1148" t="s">
        <v>108</v>
      </c>
      <c r="AS1148" t="s">
        <v>108</v>
      </c>
      <c r="AT1148" t="s">
        <v>108</v>
      </c>
      <c r="AU1148" t="s">
        <v>108</v>
      </c>
      <c r="AV1148" t="s">
        <v>108</v>
      </c>
      <c r="AW1148" t="s">
        <v>108</v>
      </c>
      <c r="AX1148" s="24">
        <f t="shared" si="118"/>
        <v>1</v>
      </c>
      <c r="AY1148" s="24" t="str">
        <f t="shared" si="118"/>
        <v/>
      </c>
      <c r="AZ1148" s="24" t="str">
        <f t="shared" si="119"/>
        <v/>
      </c>
      <c r="BA1148" s="24" t="str">
        <f t="shared" si="119"/>
        <v/>
      </c>
      <c r="BB1148" s="24" t="str">
        <f t="shared" si="119"/>
        <v/>
      </c>
      <c r="BC1148" s="24" t="str">
        <f t="shared" si="119"/>
        <v/>
      </c>
      <c r="BD1148" s="24" t="str">
        <f t="shared" si="119"/>
        <v/>
      </c>
      <c r="BE1148" s="24" t="str">
        <f t="shared" si="119"/>
        <v/>
      </c>
      <c r="BF1148" s="24" t="str">
        <f t="shared" si="119"/>
        <v/>
      </c>
      <c r="BG1148" s="24" t="str">
        <f t="shared" si="119"/>
        <v/>
      </c>
      <c r="BH1148" s="24" t="str">
        <f t="shared" si="115"/>
        <v/>
      </c>
      <c r="BI1148" s="24">
        <f t="shared" si="119"/>
        <v>1</v>
      </c>
      <c r="BJ1148" s="24" t="str">
        <f t="shared" si="116"/>
        <v/>
      </c>
    </row>
    <row r="1149" spans="1:62" ht="15" customHeight="1" x14ac:dyDescent="0.25">
      <c r="A1149" t="str">
        <f>"1144210576"</f>
        <v>1144210576</v>
      </c>
      <c r="B1149" t="str">
        <f>"02068188"</f>
        <v>02068188</v>
      </c>
      <c r="C1149" t="s">
        <v>426</v>
      </c>
      <c r="D1149" t="s">
        <v>427</v>
      </c>
      <c r="E1149" t="s">
        <v>428</v>
      </c>
      <c r="G1149" t="s">
        <v>229</v>
      </c>
      <c r="H1149" t="s">
        <v>230</v>
      </c>
      <c r="J1149" t="s">
        <v>231</v>
      </c>
      <c r="L1149" t="s">
        <v>120</v>
      </c>
      <c r="M1149" t="s">
        <v>108</v>
      </c>
      <c r="R1149" t="s">
        <v>429</v>
      </c>
      <c r="W1149" t="s">
        <v>428</v>
      </c>
      <c r="X1149" t="s">
        <v>430</v>
      </c>
      <c r="Y1149" t="s">
        <v>431</v>
      </c>
      <c r="Z1149" t="s">
        <v>182</v>
      </c>
      <c r="AA1149" t="str">
        <f>"18822"</f>
        <v>18822</v>
      </c>
      <c r="AB1149" t="s">
        <v>123</v>
      </c>
      <c r="AC1149" t="s">
        <v>113</v>
      </c>
      <c r="AD1149" t="s">
        <v>108</v>
      </c>
      <c r="AE1149" t="s">
        <v>114</v>
      </c>
      <c r="AF1149" t="s">
        <v>115</v>
      </c>
      <c r="AG1149" t="s">
        <v>116</v>
      </c>
      <c r="AK1149" t="str">
        <f t="shared" si="114"/>
        <v/>
      </c>
      <c r="AL1149" t="s">
        <v>427</v>
      </c>
      <c r="AM1149">
        <v>1</v>
      </c>
      <c r="AN1149">
        <v>1</v>
      </c>
      <c r="AO1149">
        <v>0</v>
      </c>
      <c r="AP1149">
        <v>0</v>
      </c>
      <c r="AQ1149">
        <v>1</v>
      </c>
      <c r="AR1149">
        <v>0</v>
      </c>
      <c r="AS1149">
        <v>0</v>
      </c>
      <c r="AT1149">
        <v>0</v>
      </c>
      <c r="AU1149">
        <v>0</v>
      </c>
      <c r="AV1149">
        <v>0</v>
      </c>
      <c r="AW1149">
        <v>0</v>
      </c>
      <c r="AX1149" s="24">
        <f t="shared" si="118"/>
        <v>1</v>
      </c>
      <c r="AY1149" s="24" t="str">
        <f t="shared" si="118"/>
        <v/>
      </c>
      <c r="AZ1149" s="24" t="str">
        <f t="shared" si="119"/>
        <v/>
      </c>
      <c r="BA1149" s="24" t="str">
        <f t="shared" si="119"/>
        <v/>
      </c>
      <c r="BB1149" s="24" t="str">
        <f t="shared" si="119"/>
        <v/>
      </c>
      <c r="BC1149" s="24" t="str">
        <f t="shared" si="119"/>
        <v/>
      </c>
      <c r="BD1149" s="24" t="str">
        <f t="shared" si="119"/>
        <v/>
      </c>
      <c r="BE1149" s="24" t="str">
        <f t="shared" si="119"/>
        <v/>
      </c>
      <c r="BF1149" s="24" t="str">
        <f t="shared" si="119"/>
        <v/>
      </c>
      <c r="BG1149" s="24" t="str">
        <f t="shared" si="119"/>
        <v/>
      </c>
      <c r="BH1149" s="24" t="str">
        <f t="shared" si="115"/>
        <v/>
      </c>
      <c r="BI1149" s="24">
        <f t="shared" si="119"/>
        <v>1</v>
      </c>
      <c r="BJ1149" s="24" t="str">
        <f t="shared" si="116"/>
        <v/>
      </c>
    </row>
    <row r="1150" spans="1:62" ht="15" customHeight="1" x14ac:dyDescent="0.25">
      <c r="A1150" t="str">
        <f>"1558746594"</f>
        <v>1558746594</v>
      </c>
      <c r="B1150" t="str">
        <f>"04264357"</f>
        <v>04264357</v>
      </c>
      <c r="C1150" t="s">
        <v>6161</v>
      </c>
      <c r="D1150" t="s">
        <v>6162</v>
      </c>
      <c r="E1150" t="s">
        <v>6163</v>
      </c>
      <c r="G1150" t="s">
        <v>815</v>
      </c>
      <c r="H1150" t="s">
        <v>816</v>
      </c>
      <c r="J1150" t="s">
        <v>817</v>
      </c>
      <c r="L1150" t="s">
        <v>442</v>
      </c>
      <c r="M1150" t="s">
        <v>108</v>
      </c>
      <c r="R1150" t="s">
        <v>6163</v>
      </c>
      <c r="W1150" t="s">
        <v>6163</v>
      </c>
      <c r="X1150" t="s">
        <v>5935</v>
      </c>
      <c r="Y1150" t="s">
        <v>966</v>
      </c>
      <c r="Z1150" t="s">
        <v>111</v>
      </c>
      <c r="AA1150" t="str">
        <f>"13850-2003"</f>
        <v>13850-2003</v>
      </c>
      <c r="AB1150" t="s">
        <v>123</v>
      </c>
      <c r="AC1150" t="s">
        <v>113</v>
      </c>
      <c r="AD1150" t="s">
        <v>108</v>
      </c>
      <c r="AE1150" t="s">
        <v>114</v>
      </c>
      <c r="AF1150" t="s">
        <v>115</v>
      </c>
      <c r="AG1150" t="s">
        <v>116</v>
      </c>
      <c r="AK1150" t="str">
        <f t="shared" si="114"/>
        <v>Roji Gurung, FNP</v>
      </c>
      <c r="AL1150" t="s">
        <v>6162</v>
      </c>
      <c r="AM1150" t="s">
        <v>108</v>
      </c>
      <c r="AN1150" t="s">
        <v>108</v>
      </c>
      <c r="AO1150" t="s">
        <v>108</v>
      </c>
      <c r="AP1150" t="s">
        <v>108</v>
      </c>
      <c r="AQ1150" t="s">
        <v>108</v>
      </c>
      <c r="AR1150" t="s">
        <v>108</v>
      </c>
      <c r="AS1150" t="s">
        <v>108</v>
      </c>
      <c r="AT1150" t="s">
        <v>108</v>
      </c>
      <c r="AU1150" t="s">
        <v>108</v>
      </c>
      <c r="AV1150" t="s">
        <v>108</v>
      </c>
      <c r="AW1150" t="s">
        <v>108</v>
      </c>
      <c r="AX1150" s="24">
        <f t="shared" si="118"/>
        <v>1</v>
      </c>
      <c r="AY1150" s="24" t="str">
        <f t="shared" si="118"/>
        <v/>
      </c>
      <c r="AZ1150" s="24" t="str">
        <f t="shared" si="119"/>
        <v/>
      </c>
      <c r="BA1150" s="24" t="str">
        <f t="shared" si="119"/>
        <v/>
      </c>
      <c r="BB1150" s="24" t="str">
        <f t="shared" si="119"/>
        <v/>
      </c>
      <c r="BC1150" s="24" t="str">
        <f t="shared" si="119"/>
        <v/>
      </c>
      <c r="BD1150" s="24" t="str">
        <f t="shared" si="119"/>
        <v/>
      </c>
      <c r="BE1150" s="24" t="str">
        <f t="shared" si="119"/>
        <v/>
      </c>
      <c r="BF1150" s="24" t="str">
        <f t="shared" si="119"/>
        <v/>
      </c>
      <c r="BG1150" s="24" t="str">
        <f t="shared" si="119"/>
        <v/>
      </c>
      <c r="BH1150" s="24" t="str">
        <f t="shared" si="115"/>
        <v/>
      </c>
      <c r="BI1150" s="24" t="str">
        <f t="shared" si="119"/>
        <v/>
      </c>
      <c r="BJ1150" s="24" t="str">
        <f t="shared" si="116"/>
        <v/>
      </c>
    </row>
    <row r="1151" spans="1:62" ht="15" customHeight="1" x14ac:dyDescent="0.25">
      <c r="A1151" t="str">
        <f>"1568789634"</f>
        <v>1568789634</v>
      </c>
      <c r="B1151" t="str">
        <f>"03688488"</f>
        <v>03688488</v>
      </c>
      <c r="C1151" t="s">
        <v>2352</v>
      </c>
      <c r="D1151" t="s">
        <v>2353</v>
      </c>
      <c r="E1151" t="s">
        <v>2354</v>
      </c>
      <c r="G1151" t="s">
        <v>2352</v>
      </c>
      <c r="H1151" t="s">
        <v>440</v>
      </c>
      <c r="J1151" t="s">
        <v>2355</v>
      </c>
      <c r="L1151" t="s">
        <v>247</v>
      </c>
      <c r="M1151" t="s">
        <v>108</v>
      </c>
      <c r="R1151" t="s">
        <v>2354</v>
      </c>
      <c r="W1151" t="s">
        <v>2354</v>
      </c>
      <c r="X1151" t="s">
        <v>406</v>
      </c>
      <c r="Y1151" t="s">
        <v>129</v>
      </c>
      <c r="Z1151" t="s">
        <v>111</v>
      </c>
      <c r="AA1151" t="str">
        <f>"13790-2107"</f>
        <v>13790-2107</v>
      </c>
      <c r="AB1151" t="s">
        <v>123</v>
      </c>
      <c r="AC1151" t="s">
        <v>113</v>
      </c>
      <c r="AD1151" t="s">
        <v>108</v>
      </c>
      <c r="AE1151" t="s">
        <v>114</v>
      </c>
      <c r="AF1151" t="s">
        <v>115</v>
      </c>
      <c r="AG1151" t="s">
        <v>116</v>
      </c>
      <c r="AK1151" t="str">
        <f t="shared" si="114"/>
        <v/>
      </c>
      <c r="AL1151" t="s">
        <v>2353</v>
      </c>
      <c r="AM1151">
        <v>0</v>
      </c>
      <c r="AN1151">
        <v>0</v>
      </c>
      <c r="AO1151">
        <v>0</v>
      </c>
      <c r="AP1151">
        <v>0</v>
      </c>
      <c r="AQ1151">
        <v>0</v>
      </c>
      <c r="AR1151">
        <v>0</v>
      </c>
      <c r="AS1151">
        <v>0</v>
      </c>
      <c r="AT1151">
        <v>0</v>
      </c>
      <c r="AU1151">
        <v>0</v>
      </c>
      <c r="AV1151">
        <v>0</v>
      </c>
      <c r="AW1151">
        <v>0</v>
      </c>
      <c r="AX1151" s="24" t="str">
        <f t="shared" si="118"/>
        <v/>
      </c>
      <c r="AY1151" s="24">
        <f t="shared" si="118"/>
        <v>1</v>
      </c>
      <c r="AZ1151" s="24" t="str">
        <f t="shared" si="119"/>
        <v/>
      </c>
      <c r="BA1151" s="24" t="str">
        <f t="shared" si="119"/>
        <v/>
      </c>
      <c r="BB1151" s="24" t="str">
        <f t="shared" si="119"/>
        <v/>
      </c>
      <c r="BC1151" s="24" t="str">
        <f t="shared" si="119"/>
        <v/>
      </c>
      <c r="BD1151" s="24" t="str">
        <f t="shared" si="119"/>
        <v/>
      </c>
      <c r="BE1151" s="24" t="str">
        <f t="shared" si="119"/>
        <v/>
      </c>
      <c r="BF1151" s="24" t="str">
        <f t="shared" si="119"/>
        <v/>
      </c>
      <c r="BG1151" s="24" t="str">
        <f t="shared" si="119"/>
        <v/>
      </c>
      <c r="BH1151" s="24" t="str">
        <f t="shared" si="115"/>
        <v/>
      </c>
      <c r="BI1151" s="24" t="str">
        <f t="shared" si="119"/>
        <v/>
      </c>
      <c r="BJ1151" s="24" t="str">
        <f t="shared" si="116"/>
        <v/>
      </c>
    </row>
    <row r="1152" spans="1:62" ht="15" customHeight="1" x14ac:dyDescent="0.25">
      <c r="A1152" t="str">
        <f>"1245301977"</f>
        <v>1245301977</v>
      </c>
      <c r="B1152" t="str">
        <f>"01968258"</f>
        <v>01968258</v>
      </c>
      <c r="C1152" t="s">
        <v>6790</v>
      </c>
      <c r="D1152" t="s">
        <v>7065</v>
      </c>
      <c r="E1152" t="s">
        <v>7066</v>
      </c>
      <c r="G1152" t="s">
        <v>815</v>
      </c>
      <c r="H1152" t="s">
        <v>816</v>
      </c>
      <c r="J1152" t="s">
        <v>817</v>
      </c>
      <c r="L1152" t="s">
        <v>120</v>
      </c>
      <c r="M1152" t="s">
        <v>108</v>
      </c>
      <c r="R1152" t="s">
        <v>6790</v>
      </c>
      <c r="W1152" t="s">
        <v>6925</v>
      </c>
      <c r="X1152" t="s">
        <v>1781</v>
      </c>
      <c r="Y1152" t="s">
        <v>110</v>
      </c>
      <c r="Z1152" t="s">
        <v>111</v>
      </c>
      <c r="AA1152" t="str">
        <f>"13904-1659"</f>
        <v>13904-1659</v>
      </c>
      <c r="AB1152" t="s">
        <v>123</v>
      </c>
      <c r="AC1152" t="s">
        <v>113</v>
      </c>
      <c r="AD1152" t="s">
        <v>108</v>
      </c>
      <c r="AE1152" t="s">
        <v>114</v>
      </c>
      <c r="AF1152" t="s">
        <v>115</v>
      </c>
      <c r="AG1152" t="s">
        <v>116</v>
      </c>
      <c r="AK1152" t="str">
        <f t="shared" si="114"/>
        <v>ROMEO ELIZABETH MS.</v>
      </c>
      <c r="AL1152" t="s">
        <v>7065</v>
      </c>
      <c r="AM1152" t="s">
        <v>108</v>
      </c>
      <c r="AN1152" t="s">
        <v>108</v>
      </c>
      <c r="AO1152" t="s">
        <v>108</v>
      </c>
      <c r="AP1152" t="s">
        <v>108</v>
      </c>
      <c r="AQ1152" t="s">
        <v>108</v>
      </c>
      <c r="AR1152" t="s">
        <v>108</v>
      </c>
      <c r="AS1152" t="s">
        <v>108</v>
      </c>
      <c r="AT1152" t="s">
        <v>108</v>
      </c>
      <c r="AU1152" t="s">
        <v>108</v>
      </c>
      <c r="AV1152" t="s">
        <v>108</v>
      </c>
      <c r="AW1152" t="s">
        <v>108</v>
      </c>
      <c r="AX1152" s="24">
        <f t="shared" si="118"/>
        <v>1</v>
      </c>
      <c r="AY1152" s="24" t="str">
        <f t="shared" si="118"/>
        <v/>
      </c>
      <c r="AZ1152" s="24" t="str">
        <f t="shared" si="119"/>
        <v/>
      </c>
      <c r="BA1152" s="24" t="str">
        <f t="shared" si="119"/>
        <v/>
      </c>
      <c r="BB1152" s="24" t="str">
        <f t="shared" si="119"/>
        <v/>
      </c>
      <c r="BC1152" s="24" t="str">
        <f t="shared" si="119"/>
        <v/>
      </c>
      <c r="BD1152" s="24" t="str">
        <f t="shared" si="119"/>
        <v/>
      </c>
      <c r="BE1152" s="24" t="str">
        <f t="shared" si="119"/>
        <v/>
      </c>
      <c r="BF1152" s="24" t="str">
        <f t="shared" si="119"/>
        <v/>
      </c>
      <c r="BG1152" s="24" t="str">
        <f t="shared" si="119"/>
        <v/>
      </c>
      <c r="BH1152" s="24" t="str">
        <f t="shared" si="115"/>
        <v/>
      </c>
      <c r="BI1152" s="24">
        <f t="shared" si="119"/>
        <v>1</v>
      </c>
      <c r="BJ1152" s="24" t="str">
        <f t="shared" si="116"/>
        <v/>
      </c>
    </row>
    <row r="1153" spans="1:62" ht="15" customHeight="1" x14ac:dyDescent="0.25">
      <c r="A1153" t="str">
        <f>"1922065093"</f>
        <v>1922065093</v>
      </c>
      <c r="B1153" t="str">
        <f>"00899725"</f>
        <v>00899725</v>
      </c>
      <c r="C1153" t="s">
        <v>5620</v>
      </c>
      <c r="D1153" t="s">
        <v>5621</v>
      </c>
      <c r="E1153" t="s">
        <v>5622</v>
      </c>
      <c r="L1153" t="s">
        <v>6875</v>
      </c>
      <c r="M1153" t="s">
        <v>108</v>
      </c>
      <c r="R1153" t="s">
        <v>5620</v>
      </c>
      <c r="W1153" t="s">
        <v>5622</v>
      </c>
      <c r="X1153" t="s">
        <v>5623</v>
      </c>
      <c r="Y1153" t="s">
        <v>110</v>
      </c>
      <c r="Z1153" t="s">
        <v>111</v>
      </c>
      <c r="AA1153" t="str">
        <f>"13903"</f>
        <v>13903</v>
      </c>
      <c r="AB1153" t="s">
        <v>123</v>
      </c>
      <c r="AC1153" t="s">
        <v>113</v>
      </c>
      <c r="AD1153" t="s">
        <v>108</v>
      </c>
      <c r="AE1153" t="s">
        <v>114</v>
      </c>
      <c r="AF1153" t="s">
        <v>115</v>
      </c>
      <c r="AG1153" t="s">
        <v>116</v>
      </c>
      <c r="AK1153" t="str">
        <f t="shared" si="114"/>
        <v/>
      </c>
      <c r="AL1153" t="s">
        <v>5621</v>
      </c>
      <c r="AM1153">
        <v>0</v>
      </c>
      <c r="AN1153">
        <v>0</v>
      </c>
      <c r="AO1153">
        <v>0</v>
      </c>
      <c r="AP1153">
        <v>0</v>
      </c>
      <c r="AQ1153">
        <v>0</v>
      </c>
      <c r="AR1153">
        <v>0</v>
      </c>
      <c r="AS1153">
        <v>0</v>
      </c>
      <c r="AT1153">
        <v>0</v>
      </c>
      <c r="AU1153">
        <v>0</v>
      </c>
      <c r="AV1153">
        <v>0</v>
      </c>
      <c r="AW1153">
        <v>0</v>
      </c>
      <c r="AX1153" s="24">
        <f t="shared" si="118"/>
        <v>1</v>
      </c>
      <c r="AY1153" s="24">
        <f t="shared" si="118"/>
        <v>1</v>
      </c>
      <c r="AZ1153" s="24" t="str">
        <f t="shared" si="119"/>
        <v/>
      </c>
      <c r="BA1153" s="24" t="str">
        <f t="shared" si="119"/>
        <v/>
      </c>
      <c r="BB1153" s="24" t="str">
        <f t="shared" si="119"/>
        <v/>
      </c>
      <c r="BC1153" s="24">
        <f t="shared" si="119"/>
        <v>1</v>
      </c>
      <c r="BD1153" s="24" t="str">
        <f t="shared" si="119"/>
        <v/>
      </c>
      <c r="BE1153" s="24" t="str">
        <f t="shared" si="119"/>
        <v/>
      </c>
      <c r="BF1153" s="24" t="str">
        <f t="shared" si="119"/>
        <v/>
      </c>
      <c r="BG1153" s="24" t="str">
        <f t="shared" si="119"/>
        <v/>
      </c>
      <c r="BH1153" s="24" t="str">
        <f t="shared" si="115"/>
        <v/>
      </c>
      <c r="BI1153" s="24">
        <f t="shared" si="119"/>
        <v>1</v>
      </c>
      <c r="BJ1153" s="24" t="str">
        <f t="shared" si="116"/>
        <v/>
      </c>
    </row>
    <row r="1154" spans="1:62" ht="15" customHeight="1" x14ac:dyDescent="0.25">
      <c r="A1154" t="str">
        <f>"1962499905"</f>
        <v>1962499905</v>
      </c>
      <c r="B1154" t="str">
        <f>"02414753"</f>
        <v>02414753</v>
      </c>
      <c r="C1154" t="s">
        <v>5373</v>
      </c>
      <c r="D1154" t="s">
        <v>5374</v>
      </c>
      <c r="E1154" t="s">
        <v>5375</v>
      </c>
      <c r="G1154" t="s">
        <v>5373</v>
      </c>
      <c r="H1154" t="s">
        <v>440</v>
      </c>
      <c r="J1154" t="s">
        <v>5376</v>
      </c>
      <c r="L1154" t="s">
        <v>6867</v>
      </c>
      <c r="M1154" t="s">
        <v>108</v>
      </c>
      <c r="R1154" t="s">
        <v>5377</v>
      </c>
      <c r="W1154" t="s">
        <v>5375</v>
      </c>
      <c r="X1154" t="s">
        <v>406</v>
      </c>
      <c r="Y1154" t="s">
        <v>129</v>
      </c>
      <c r="Z1154" t="s">
        <v>111</v>
      </c>
      <c r="AA1154" t="str">
        <f>"13790-2107"</f>
        <v>13790-2107</v>
      </c>
      <c r="AB1154" t="s">
        <v>123</v>
      </c>
      <c r="AC1154" t="s">
        <v>113</v>
      </c>
      <c r="AD1154" t="s">
        <v>108</v>
      </c>
      <c r="AE1154" t="s">
        <v>114</v>
      </c>
      <c r="AF1154" t="s">
        <v>115</v>
      </c>
      <c r="AG1154" t="s">
        <v>116</v>
      </c>
      <c r="AK1154" t="str">
        <f t="shared" ref="AK1154:AK1217" si="120">IF(AM1154="No",C1154,"")</f>
        <v/>
      </c>
      <c r="AL1154" t="s">
        <v>5374</v>
      </c>
      <c r="AM1154">
        <v>1</v>
      </c>
      <c r="AN1154">
        <v>1</v>
      </c>
      <c r="AO1154">
        <v>0</v>
      </c>
      <c r="AP1154">
        <v>1</v>
      </c>
      <c r="AQ1154">
        <v>1</v>
      </c>
      <c r="AR1154">
        <v>0</v>
      </c>
      <c r="AS1154">
        <v>0</v>
      </c>
      <c r="AT1154">
        <v>0</v>
      </c>
      <c r="AU1154">
        <v>0</v>
      </c>
      <c r="AV1154">
        <v>0</v>
      </c>
      <c r="AW1154">
        <v>0</v>
      </c>
      <c r="AX1154" s="24">
        <f t="shared" si="118"/>
        <v>1</v>
      </c>
      <c r="AY1154" s="24">
        <f t="shared" si="118"/>
        <v>1</v>
      </c>
      <c r="AZ1154" s="24" t="str">
        <f t="shared" si="119"/>
        <v/>
      </c>
      <c r="BA1154" s="24" t="str">
        <f t="shared" si="119"/>
        <v/>
      </c>
      <c r="BB1154" s="24" t="str">
        <f t="shared" si="119"/>
        <v/>
      </c>
      <c r="BC1154" s="24" t="str">
        <f t="shared" si="119"/>
        <v/>
      </c>
      <c r="BD1154" s="24" t="str">
        <f t="shared" si="119"/>
        <v/>
      </c>
      <c r="BE1154" s="24" t="str">
        <f t="shared" si="119"/>
        <v/>
      </c>
      <c r="BF1154" s="24" t="str">
        <f t="shared" si="119"/>
        <v/>
      </c>
      <c r="BG1154" s="24" t="str">
        <f t="shared" si="119"/>
        <v/>
      </c>
      <c r="BH1154" s="24" t="str">
        <f t="shared" si="115"/>
        <v/>
      </c>
      <c r="BI1154" s="24">
        <f t="shared" si="119"/>
        <v>1</v>
      </c>
      <c r="BJ1154" s="24" t="str">
        <f t="shared" si="116"/>
        <v/>
      </c>
    </row>
    <row r="1155" spans="1:62" ht="15" customHeight="1" x14ac:dyDescent="0.25">
      <c r="A1155" t="str">
        <f>"1871999110"</f>
        <v>1871999110</v>
      </c>
      <c r="B1155" t="str">
        <f>"04026615"</f>
        <v>04026615</v>
      </c>
      <c r="C1155" t="s">
        <v>6800</v>
      </c>
      <c r="D1155" t="s">
        <v>7077</v>
      </c>
      <c r="E1155" t="s">
        <v>6938</v>
      </c>
      <c r="G1155" t="s">
        <v>6330</v>
      </c>
      <c r="H1155" t="s">
        <v>6331</v>
      </c>
      <c r="J1155" t="s">
        <v>6332</v>
      </c>
      <c r="L1155" t="s">
        <v>247</v>
      </c>
      <c r="M1155" t="s">
        <v>108</v>
      </c>
      <c r="R1155" t="s">
        <v>6800</v>
      </c>
      <c r="W1155" t="s">
        <v>6938</v>
      </c>
      <c r="X1155" t="s">
        <v>406</v>
      </c>
      <c r="Y1155" t="s">
        <v>129</v>
      </c>
      <c r="Z1155" t="s">
        <v>111</v>
      </c>
      <c r="AA1155" t="str">
        <f>"13790-2107"</f>
        <v>13790-2107</v>
      </c>
      <c r="AB1155" t="s">
        <v>123</v>
      </c>
      <c r="AC1155" t="s">
        <v>113</v>
      </c>
      <c r="AD1155" t="s">
        <v>108</v>
      </c>
      <c r="AE1155" t="s">
        <v>114</v>
      </c>
      <c r="AF1155" t="s">
        <v>115</v>
      </c>
      <c r="AG1155" t="s">
        <v>116</v>
      </c>
      <c r="AK1155" t="str">
        <f t="shared" si="120"/>
        <v>ROSA STEPHANIE</v>
      </c>
      <c r="AL1155" t="s">
        <v>7077</v>
      </c>
      <c r="AM1155" t="s">
        <v>108</v>
      </c>
      <c r="AN1155" t="s">
        <v>108</v>
      </c>
      <c r="AO1155" t="s">
        <v>108</v>
      </c>
      <c r="AP1155" t="s">
        <v>108</v>
      </c>
      <c r="AQ1155" t="s">
        <v>108</v>
      </c>
      <c r="AR1155" t="s">
        <v>108</v>
      </c>
      <c r="AS1155" t="s">
        <v>108</v>
      </c>
      <c r="AT1155" t="s">
        <v>108</v>
      </c>
      <c r="AU1155" t="s">
        <v>108</v>
      </c>
      <c r="AV1155" t="s">
        <v>108</v>
      </c>
      <c r="AW1155" t="s">
        <v>108</v>
      </c>
      <c r="AX1155" s="24" t="str">
        <f t="shared" si="118"/>
        <v/>
      </c>
      <c r="AY1155" s="24">
        <f t="shared" si="118"/>
        <v>1</v>
      </c>
      <c r="AZ1155" s="24" t="str">
        <f t="shared" si="119"/>
        <v/>
      </c>
      <c r="BA1155" s="24" t="str">
        <f t="shared" si="119"/>
        <v/>
      </c>
      <c r="BB1155" s="24" t="str">
        <f t="shared" si="119"/>
        <v/>
      </c>
      <c r="BC1155" s="24" t="str">
        <f t="shared" si="119"/>
        <v/>
      </c>
      <c r="BD1155" s="24" t="str">
        <f t="shared" si="119"/>
        <v/>
      </c>
      <c r="BE1155" s="24" t="str">
        <f t="shared" si="119"/>
        <v/>
      </c>
      <c r="BF1155" s="24" t="str">
        <f t="shared" si="119"/>
        <v/>
      </c>
      <c r="BG1155" s="24" t="str">
        <f t="shared" si="119"/>
        <v/>
      </c>
      <c r="BH1155" s="24" t="str">
        <f t="shared" ref="BH1155:BH1218" si="121">IF(ISERROR(FIND("CBO",$L1155,1)),"",1)</f>
        <v/>
      </c>
      <c r="BI1155" s="24" t="str">
        <f t="shared" si="119"/>
        <v/>
      </c>
      <c r="BJ1155" s="24" t="str">
        <f t="shared" si="116"/>
        <v/>
      </c>
    </row>
    <row r="1156" spans="1:62" ht="15" customHeight="1" x14ac:dyDescent="0.25">
      <c r="A1156" t="str">
        <f>"1043449127"</f>
        <v>1043449127</v>
      </c>
      <c r="B1156" t="str">
        <f>"03479238"</f>
        <v>03479238</v>
      </c>
      <c r="C1156" t="s">
        <v>5624</v>
      </c>
      <c r="D1156" t="s">
        <v>5625</v>
      </c>
      <c r="E1156" t="s">
        <v>5626</v>
      </c>
      <c r="G1156" t="s">
        <v>6330</v>
      </c>
      <c r="H1156" t="s">
        <v>6331</v>
      </c>
      <c r="J1156" t="s">
        <v>6332</v>
      </c>
      <c r="L1156" t="s">
        <v>120</v>
      </c>
      <c r="M1156" t="s">
        <v>108</v>
      </c>
      <c r="R1156" t="s">
        <v>5624</v>
      </c>
      <c r="W1156" t="s">
        <v>5626</v>
      </c>
      <c r="X1156" t="s">
        <v>4040</v>
      </c>
      <c r="Y1156" t="s">
        <v>966</v>
      </c>
      <c r="Z1156" t="s">
        <v>111</v>
      </c>
      <c r="AA1156" t="str">
        <f>"13850-3556"</f>
        <v>13850-3556</v>
      </c>
      <c r="AB1156" t="s">
        <v>123</v>
      </c>
      <c r="AC1156" t="s">
        <v>113</v>
      </c>
      <c r="AD1156" t="s">
        <v>108</v>
      </c>
      <c r="AE1156" t="s">
        <v>114</v>
      </c>
      <c r="AF1156" t="s">
        <v>115</v>
      </c>
      <c r="AG1156" t="s">
        <v>116</v>
      </c>
      <c r="AK1156" t="str">
        <f t="shared" si="120"/>
        <v/>
      </c>
      <c r="AL1156" t="s">
        <v>5625</v>
      </c>
      <c r="AM1156">
        <v>1</v>
      </c>
      <c r="AN1156">
        <v>1</v>
      </c>
      <c r="AO1156">
        <v>0</v>
      </c>
      <c r="AP1156">
        <v>1</v>
      </c>
      <c r="AQ1156">
        <v>1</v>
      </c>
      <c r="AR1156">
        <v>0</v>
      </c>
      <c r="AS1156">
        <v>0</v>
      </c>
      <c r="AT1156">
        <v>0</v>
      </c>
      <c r="AU1156">
        <v>0</v>
      </c>
      <c r="AV1156">
        <v>0</v>
      </c>
      <c r="AW1156">
        <v>0</v>
      </c>
      <c r="AX1156" s="24">
        <f t="shared" si="118"/>
        <v>1</v>
      </c>
      <c r="AY1156" s="24" t="str">
        <f t="shared" si="118"/>
        <v/>
      </c>
      <c r="AZ1156" s="24" t="str">
        <f t="shared" si="119"/>
        <v/>
      </c>
      <c r="BA1156" s="24" t="str">
        <f t="shared" si="119"/>
        <v/>
      </c>
      <c r="BB1156" s="24" t="str">
        <f t="shared" si="119"/>
        <v/>
      </c>
      <c r="BC1156" s="24" t="str">
        <f t="shared" si="119"/>
        <v/>
      </c>
      <c r="BD1156" s="24" t="str">
        <f t="shared" si="119"/>
        <v/>
      </c>
      <c r="BE1156" s="24" t="str">
        <f t="shared" si="119"/>
        <v/>
      </c>
      <c r="BF1156" s="24" t="str">
        <f t="shared" si="119"/>
        <v/>
      </c>
      <c r="BG1156" s="24" t="str">
        <f t="shared" si="119"/>
        <v/>
      </c>
      <c r="BH1156" s="24" t="str">
        <f t="shared" si="121"/>
        <v/>
      </c>
      <c r="BI1156" s="24">
        <f t="shared" si="119"/>
        <v>1</v>
      </c>
      <c r="BJ1156" s="24" t="str">
        <f t="shared" si="116"/>
        <v/>
      </c>
    </row>
    <row r="1157" spans="1:62" ht="15" customHeight="1" x14ac:dyDescent="0.25">
      <c r="A1157" t="str">
        <f>"1639148984"</f>
        <v>1639148984</v>
      </c>
      <c r="B1157" t="str">
        <f>"02699961"</f>
        <v>02699961</v>
      </c>
      <c r="C1157" t="s">
        <v>413</v>
      </c>
      <c r="D1157" t="s">
        <v>414</v>
      </c>
      <c r="E1157" t="s">
        <v>415</v>
      </c>
      <c r="G1157" t="s">
        <v>413</v>
      </c>
      <c r="H1157" t="s">
        <v>403</v>
      </c>
      <c r="J1157" t="s">
        <v>416</v>
      </c>
      <c r="L1157" t="s">
        <v>138</v>
      </c>
      <c r="M1157" t="s">
        <v>108</v>
      </c>
      <c r="R1157" t="s">
        <v>417</v>
      </c>
      <c r="W1157" t="s">
        <v>418</v>
      </c>
      <c r="X1157" t="s">
        <v>406</v>
      </c>
      <c r="Y1157" t="s">
        <v>129</v>
      </c>
      <c r="Z1157" t="s">
        <v>111</v>
      </c>
      <c r="AA1157" t="str">
        <f>"13790-2107"</f>
        <v>13790-2107</v>
      </c>
      <c r="AB1157" t="s">
        <v>123</v>
      </c>
      <c r="AC1157" t="s">
        <v>113</v>
      </c>
      <c r="AD1157" t="s">
        <v>108</v>
      </c>
      <c r="AE1157" t="s">
        <v>114</v>
      </c>
      <c r="AF1157" t="s">
        <v>115</v>
      </c>
      <c r="AG1157" t="s">
        <v>116</v>
      </c>
      <c r="AK1157" t="str">
        <f t="shared" si="120"/>
        <v/>
      </c>
      <c r="AL1157" t="s">
        <v>414</v>
      </c>
      <c r="AM1157">
        <v>1</v>
      </c>
      <c r="AN1157">
        <v>1</v>
      </c>
      <c r="AO1157">
        <v>0</v>
      </c>
      <c r="AP1157">
        <v>1</v>
      </c>
      <c r="AQ1157">
        <v>1</v>
      </c>
      <c r="AR1157">
        <v>0</v>
      </c>
      <c r="AS1157">
        <v>0</v>
      </c>
      <c r="AT1157">
        <v>0</v>
      </c>
      <c r="AU1157">
        <v>0</v>
      </c>
      <c r="AV1157">
        <v>0</v>
      </c>
      <c r="AW1157">
        <v>0</v>
      </c>
      <c r="AX1157" s="24" t="str">
        <f t="shared" si="118"/>
        <v/>
      </c>
      <c r="AY1157" s="24">
        <f t="shared" si="118"/>
        <v>1</v>
      </c>
      <c r="AZ1157" s="24" t="str">
        <f t="shared" si="119"/>
        <v/>
      </c>
      <c r="BA1157" s="24" t="str">
        <f t="shared" si="119"/>
        <v/>
      </c>
      <c r="BB1157" s="24" t="str">
        <f t="shared" si="119"/>
        <v/>
      </c>
      <c r="BC1157" s="24" t="str">
        <f t="shared" si="119"/>
        <v/>
      </c>
      <c r="BD1157" s="24" t="str">
        <f t="shared" si="119"/>
        <v/>
      </c>
      <c r="BE1157" s="24" t="str">
        <f t="shared" si="119"/>
        <v/>
      </c>
      <c r="BF1157" s="24" t="str">
        <f t="shared" si="119"/>
        <v/>
      </c>
      <c r="BG1157" s="24" t="str">
        <f t="shared" si="119"/>
        <v/>
      </c>
      <c r="BH1157" s="24" t="str">
        <f t="shared" si="121"/>
        <v/>
      </c>
      <c r="BI1157" s="24">
        <f t="shared" si="119"/>
        <v>1</v>
      </c>
      <c r="BJ1157" s="24" t="str">
        <f t="shared" si="116"/>
        <v/>
      </c>
    </row>
    <row r="1158" spans="1:62" ht="15" customHeight="1" x14ac:dyDescent="0.25">
      <c r="A1158" t="str">
        <f>"1912995978"</f>
        <v>1912995978</v>
      </c>
      <c r="B1158" t="str">
        <f>"00891823"</f>
        <v>00891823</v>
      </c>
      <c r="C1158" t="s">
        <v>3757</v>
      </c>
      <c r="D1158" t="s">
        <v>3758</v>
      </c>
      <c r="E1158" t="s">
        <v>3759</v>
      </c>
      <c r="G1158" t="s">
        <v>3749</v>
      </c>
      <c r="H1158" t="s">
        <v>3750</v>
      </c>
      <c r="J1158" t="s">
        <v>3751</v>
      </c>
      <c r="L1158" t="s">
        <v>120</v>
      </c>
      <c r="M1158" t="s">
        <v>139</v>
      </c>
      <c r="R1158" t="s">
        <v>3760</v>
      </c>
      <c r="W1158" t="s">
        <v>3759</v>
      </c>
      <c r="X1158" t="s">
        <v>3761</v>
      </c>
      <c r="Y1158" t="s">
        <v>239</v>
      </c>
      <c r="Z1158" t="s">
        <v>111</v>
      </c>
      <c r="AA1158" t="str">
        <f>"13045-1206"</f>
        <v>13045-1206</v>
      </c>
      <c r="AB1158" t="s">
        <v>123</v>
      </c>
      <c r="AC1158" t="s">
        <v>113</v>
      </c>
      <c r="AD1158" t="s">
        <v>108</v>
      </c>
      <c r="AE1158" t="s">
        <v>114</v>
      </c>
      <c r="AF1158" t="s">
        <v>142</v>
      </c>
      <c r="AG1158" t="s">
        <v>116</v>
      </c>
      <c r="AK1158" t="str">
        <f t="shared" si="120"/>
        <v/>
      </c>
      <c r="AL1158" t="s">
        <v>3758</v>
      </c>
      <c r="AM1158">
        <v>0</v>
      </c>
      <c r="AN1158">
        <v>0</v>
      </c>
      <c r="AO1158">
        <v>0</v>
      </c>
      <c r="AP1158">
        <v>0</v>
      </c>
      <c r="AQ1158">
        <v>0</v>
      </c>
      <c r="AR1158">
        <v>0</v>
      </c>
      <c r="AS1158">
        <v>0</v>
      </c>
      <c r="AT1158">
        <v>0</v>
      </c>
      <c r="AU1158">
        <v>0</v>
      </c>
      <c r="AV1158">
        <v>0</v>
      </c>
      <c r="AW1158">
        <v>0</v>
      </c>
      <c r="AX1158" s="24">
        <f t="shared" si="118"/>
        <v>1</v>
      </c>
      <c r="AY1158" s="24" t="str">
        <f t="shared" si="118"/>
        <v/>
      </c>
      <c r="AZ1158" s="24" t="str">
        <f t="shared" si="119"/>
        <v/>
      </c>
      <c r="BA1158" s="24" t="str">
        <f t="shared" si="119"/>
        <v/>
      </c>
      <c r="BB1158" s="24" t="str">
        <f t="shared" si="119"/>
        <v/>
      </c>
      <c r="BC1158" s="24" t="str">
        <f t="shared" si="119"/>
        <v/>
      </c>
      <c r="BD1158" s="24" t="str">
        <f t="shared" si="119"/>
        <v/>
      </c>
      <c r="BE1158" s="24" t="str">
        <f t="shared" si="119"/>
        <v/>
      </c>
      <c r="BF1158" s="24" t="str">
        <f t="shared" si="119"/>
        <v/>
      </c>
      <c r="BG1158" s="24" t="str">
        <f t="shared" si="119"/>
        <v/>
      </c>
      <c r="BH1158" s="24" t="str">
        <f t="shared" si="121"/>
        <v/>
      </c>
      <c r="BI1158" s="24">
        <f t="shared" si="119"/>
        <v>1</v>
      </c>
      <c r="BJ1158" s="24" t="str">
        <f t="shared" si="116"/>
        <v/>
      </c>
    </row>
    <row r="1159" spans="1:62" ht="15" customHeight="1" x14ac:dyDescent="0.25">
      <c r="A1159" t="str">
        <f>"1558476432"</f>
        <v>1558476432</v>
      </c>
      <c r="B1159" t="str">
        <f>"03199828"</f>
        <v>03199828</v>
      </c>
      <c r="C1159" t="s">
        <v>5627</v>
      </c>
      <c r="D1159" t="s">
        <v>5628</v>
      </c>
      <c r="E1159" t="s">
        <v>5627</v>
      </c>
      <c r="L1159" t="s">
        <v>809</v>
      </c>
      <c r="M1159" t="s">
        <v>108</v>
      </c>
      <c r="R1159" t="s">
        <v>5627</v>
      </c>
      <c r="W1159" t="s">
        <v>5627</v>
      </c>
      <c r="X1159" t="s">
        <v>5629</v>
      </c>
      <c r="Y1159" t="s">
        <v>966</v>
      </c>
      <c r="Z1159" t="s">
        <v>111</v>
      </c>
      <c r="AA1159" t="str">
        <f>"13850-1748"</f>
        <v>13850-1748</v>
      </c>
      <c r="AB1159" t="s">
        <v>811</v>
      </c>
      <c r="AC1159" t="s">
        <v>113</v>
      </c>
      <c r="AD1159" t="s">
        <v>108</v>
      </c>
      <c r="AE1159" t="s">
        <v>114</v>
      </c>
      <c r="AF1159" t="s">
        <v>115</v>
      </c>
      <c r="AG1159" t="s">
        <v>116</v>
      </c>
      <c r="AK1159" t="str">
        <f t="shared" si="120"/>
        <v/>
      </c>
      <c r="AL1159" t="s">
        <v>5628</v>
      </c>
      <c r="AM1159">
        <v>0</v>
      </c>
      <c r="AN1159">
        <v>0</v>
      </c>
      <c r="AO1159">
        <v>0</v>
      </c>
      <c r="AP1159">
        <v>0</v>
      </c>
      <c r="AQ1159">
        <v>0</v>
      </c>
      <c r="AR1159">
        <v>0</v>
      </c>
      <c r="AS1159">
        <v>0</v>
      </c>
      <c r="AT1159">
        <v>0</v>
      </c>
      <c r="AU1159">
        <v>0</v>
      </c>
      <c r="AV1159">
        <v>0</v>
      </c>
      <c r="AW1159">
        <v>0</v>
      </c>
      <c r="AX1159" s="24" t="str">
        <f t="shared" si="118"/>
        <v/>
      </c>
      <c r="AY1159" s="24">
        <f t="shared" si="118"/>
        <v>1</v>
      </c>
      <c r="AZ1159" s="24" t="str">
        <f t="shared" si="119"/>
        <v/>
      </c>
      <c r="BA1159" s="24" t="str">
        <f t="shared" si="119"/>
        <v/>
      </c>
      <c r="BB1159" s="24" t="str">
        <f t="shared" si="119"/>
        <v/>
      </c>
      <c r="BC1159" s="24">
        <f t="shared" si="119"/>
        <v>1</v>
      </c>
      <c r="BD1159" s="24" t="str">
        <f t="shared" si="119"/>
        <v/>
      </c>
      <c r="BE1159" s="24" t="str">
        <f t="shared" si="119"/>
        <v/>
      </c>
      <c r="BF1159" s="24" t="str">
        <f t="shared" si="119"/>
        <v/>
      </c>
      <c r="BG1159" s="24" t="str">
        <f t="shared" si="119"/>
        <v/>
      </c>
      <c r="BH1159" s="24" t="str">
        <f t="shared" si="121"/>
        <v/>
      </c>
      <c r="BI1159" s="24" t="str">
        <f t="shared" si="119"/>
        <v/>
      </c>
      <c r="BJ1159" s="24" t="str">
        <f t="shared" si="116"/>
        <v/>
      </c>
    </row>
    <row r="1160" spans="1:62" ht="15" customHeight="1" x14ac:dyDescent="0.25">
      <c r="A1160" t="str">
        <f>"1669472932"</f>
        <v>1669472932</v>
      </c>
      <c r="B1160" t="str">
        <f>"02229110"</f>
        <v>02229110</v>
      </c>
      <c r="C1160" t="s">
        <v>5630</v>
      </c>
      <c r="D1160" t="s">
        <v>5631</v>
      </c>
      <c r="E1160" t="s">
        <v>5632</v>
      </c>
      <c r="L1160" t="s">
        <v>138</v>
      </c>
      <c r="M1160" t="s">
        <v>139</v>
      </c>
      <c r="R1160" t="s">
        <v>5630</v>
      </c>
      <c r="W1160" t="s">
        <v>5632</v>
      </c>
      <c r="X1160" t="s">
        <v>128</v>
      </c>
      <c r="Y1160" t="s">
        <v>129</v>
      </c>
      <c r="Z1160" t="s">
        <v>111</v>
      </c>
      <c r="AA1160" t="str">
        <f>"13790-2544"</f>
        <v>13790-2544</v>
      </c>
      <c r="AB1160" t="s">
        <v>123</v>
      </c>
      <c r="AC1160" t="s">
        <v>113</v>
      </c>
      <c r="AD1160" t="s">
        <v>108</v>
      </c>
      <c r="AE1160" t="s">
        <v>114</v>
      </c>
      <c r="AF1160" t="s">
        <v>115</v>
      </c>
      <c r="AG1160" t="s">
        <v>116</v>
      </c>
      <c r="AK1160" t="str">
        <f t="shared" si="120"/>
        <v/>
      </c>
      <c r="AL1160" t="s">
        <v>5631</v>
      </c>
      <c r="AM1160">
        <v>1</v>
      </c>
      <c r="AN1160">
        <v>1</v>
      </c>
      <c r="AO1160">
        <v>0</v>
      </c>
      <c r="AP1160">
        <v>1</v>
      </c>
      <c r="AQ1160">
        <v>1</v>
      </c>
      <c r="AR1160">
        <v>0</v>
      </c>
      <c r="AS1160">
        <v>0</v>
      </c>
      <c r="AT1160">
        <v>1</v>
      </c>
      <c r="AU1160">
        <v>0</v>
      </c>
      <c r="AV1160">
        <v>0</v>
      </c>
      <c r="AW1160">
        <v>1</v>
      </c>
      <c r="AX1160" s="24" t="str">
        <f t="shared" si="118"/>
        <v/>
      </c>
      <c r="AY1160" s="24">
        <f t="shared" si="118"/>
        <v>1</v>
      </c>
      <c r="AZ1160" s="24" t="str">
        <f t="shared" si="119"/>
        <v/>
      </c>
      <c r="BA1160" s="24" t="str">
        <f t="shared" si="119"/>
        <v/>
      </c>
      <c r="BB1160" s="24" t="str">
        <f t="shared" si="119"/>
        <v/>
      </c>
      <c r="BC1160" s="24" t="str">
        <f t="shared" si="119"/>
        <v/>
      </c>
      <c r="BD1160" s="24" t="str">
        <f t="shared" si="119"/>
        <v/>
      </c>
      <c r="BE1160" s="24" t="str">
        <f t="shared" si="119"/>
        <v/>
      </c>
      <c r="BF1160" s="24" t="str">
        <f t="shared" si="119"/>
        <v/>
      </c>
      <c r="BG1160" s="24" t="str">
        <f t="shared" si="119"/>
        <v/>
      </c>
      <c r="BH1160" s="24" t="str">
        <f t="shared" si="121"/>
        <v/>
      </c>
      <c r="BI1160" s="24">
        <f t="shared" si="119"/>
        <v>1</v>
      </c>
      <c r="BJ1160" s="24" t="str">
        <f t="shared" si="116"/>
        <v/>
      </c>
    </row>
    <row r="1161" spans="1:62" ht="15" customHeight="1" x14ac:dyDescent="0.25">
      <c r="A1161" t="str">
        <f>"1568750651"</f>
        <v>1568750651</v>
      </c>
      <c r="B1161" t="str">
        <f>"03359386"</f>
        <v>03359386</v>
      </c>
      <c r="C1161" t="s">
        <v>5633</v>
      </c>
      <c r="D1161" t="s">
        <v>5634</v>
      </c>
      <c r="E1161" t="s">
        <v>5635</v>
      </c>
      <c r="G1161" t="s">
        <v>6330</v>
      </c>
      <c r="H1161" t="s">
        <v>6331</v>
      </c>
      <c r="J1161" t="s">
        <v>6332</v>
      </c>
      <c r="L1161" t="s">
        <v>120</v>
      </c>
      <c r="M1161" t="s">
        <v>108</v>
      </c>
      <c r="R1161" t="s">
        <v>5633</v>
      </c>
      <c r="W1161" t="s">
        <v>5635</v>
      </c>
      <c r="X1161" t="s">
        <v>1920</v>
      </c>
      <c r="Y1161" t="s">
        <v>110</v>
      </c>
      <c r="Z1161" t="s">
        <v>111</v>
      </c>
      <c r="AA1161" t="str">
        <f>"13903-1619"</f>
        <v>13903-1619</v>
      </c>
      <c r="AB1161" t="s">
        <v>123</v>
      </c>
      <c r="AC1161" t="s">
        <v>113</v>
      </c>
      <c r="AD1161" t="s">
        <v>108</v>
      </c>
      <c r="AE1161" t="s">
        <v>114</v>
      </c>
      <c r="AF1161" t="s">
        <v>115</v>
      </c>
      <c r="AG1161" t="s">
        <v>116</v>
      </c>
      <c r="AK1161" t="str">
        <f t="shared" si="120"/>
        <v/>
      </c>
      <c r="AL1161" t="s">
        <v>5634</v>
      </c>
      <c r="AM1161">
        <v>1</v>
      </c>
      <c r="AN1161">
        <v>1</v>
      </c>
      <c r="AO1161">
        <v>0</v>
      </c>
      <c r="AP1161">
        <v>1</v>
      </c>
      <c r="AQ1161">
        <v>1</v>
      </c>
      <c r="AR1161">
        <v>1</v>
      </c>
      <c r="AS1161">
        <v>0</v>
      </c>
      <c r="AT1161">
        <v>0</v>
      </c>
      <c r="AU1161">
        <v>0</v>
      </c>
      <c r="AV1161">
        <v>0</v>
      </c>
      <c r="AW1161">
        <v>0</v>
      </c>
      <c r="AX1161" s="24">
        <f t="shared" si="118"/>
        <v>1</v>
      </c>
      <c r="AY1161" s="24" t="str">
        <f t="shared" si="118"/>
        <v/>
      </c>
      <c r="AZ1161" s="24" t="str">
        <f t="shared" si="119"/>
        <v/>
      </c>
      <c r="BA1161" s="24" t="str">
        <f t="shared" ref="AZ1161:BI1186" si="122">IF(ISERROR(FIND(BA$1,$L1161,1)),"",1)</f>
        <v/>
      </c>
      <c r="BB1161" s="24" t="str">
        <f t="shared" si="122"/>
        <v/>
      </c>
      <c r="BC1161" s="24" t="str">
        <f t="shared" si="122"/>
        <v/>
      </c>
      <c r="BD1161" s="24" t="str">
        <f t="shared" si="122"/>
        <v/>
      </c>
      <c r="BE1161" s="24" t="str">
        <f t="shared" si="122"/>
        <v/>
      </c>
      <c r="BF1161" s="24" t="str">
        <f t="shared" si="122"/>
        <v/>
      </c>
      <c r="BG1161" s="24" t="str">
        <f t="shared" si="122"/>
        <v/>
      </c>
      <c r="BH1161" s="24" t="str">
        <f t="shared" si="121"/>
        <v/>
      </c>
      <c r="BI1161" s="24">
        <f t="shared" si="122"/>
        <v>1</v>
      </c>
      <c r="BJ1161" s="24" t="str">
        <f t="shared" si="116"/>
        <v/>
      </c>
    </row>
    <row r="1162" spans="1:62" ht="15" customHeight="1" x14ac:dyDescent="0.25">
      <c r="A1162" t="str">
        <f>"1255582516"</f>
        <v>1255582516</v>
      </c>
      <c r="B1162" t="str">
        <f>"03061929"</f>
        <v>03061929</v>
      </c>
      <c r="C1162" t="s">
        <v>5636</v>
      </c>
      <c r="D1162" t="s">
        <v>5637</v>
      </c>
      <c r="E1162" t="s">
        <v>5638</v>
      </c>
      <c r="L1162" t="s">
        <v>138</v>
      </c>
      <c r="M1162" t="s">
        <v>108</v>
      </c>
      <c r="R1162" t="s">
        <v>5639</v>
      </c>
      <c r="W1162" t="s">
        <v>5640</v>
      </c>
      <c r="X1162" t="s">
        <v>406</v>
      </c>
      <c r="Y1162" t="s">
        <v>129</v>
      </c>
      <c r="Z1162" t="s">
        <v>111</v>
      </c>
      <c r="AA1162" t="str">
        <f>"13790-2107"</f>
        <v>13790-2107</v>
      </c>
      <c r="AB1162" t="s">
        <v>123</v>
      </c>
      <c r="AC1162" t="s">
        <v>113</v>
      </c>
      <c r="AD1162" t="s">
        <v>108</v>
      </c>
      <c r="AE1162" t="s">
        <v>114</v>
      </c>
      <c r="AF1162" t="s">
        <v>115</v>
      </c>
      <c r="AG1162" t="s">
        <v>116</v>
      </c>
      <c r="AK1162" t="str">
        <f t="shared" si="120"/>
        <v/>
      </c>
      <c r="AL1162" t="s">
        <v>5637</v>
      </c>
      <c r="AM1162">
        <v>1</v>
      </c>
      <c r="AN1162">
        <v>1</v>
      </c>
      <c r="AO1162">
        <v>0</v>
      </c>
      <c r="AP1162">
        <v>0</v>
      </c>
      <c r="AQ1162">
        <v>0</v>
      </c>
      <c r="AR1162">
        <v>0</v>
      </c>
      <c r="AS1162">
        <v>0</v>
      </c>
      <c r="AT1162">
        <v>0</v>
      </c>
      <c r="AU1162">
        <v>0</v>
      </c>
      <c r="AV1162">
        <v>0</v>
      </c>
      <c r="AW1162">
        <v>0</v>
      </c>
      <c r="AX1162" s="24" t="str">
        <f t="shared" si="118"/>
        <v/>
      </c>
      <c r="AY1162" s="24">
        <f t="shared" si="118"/>
        <v>1</v>
      </c>
      <c r="AZ1162" s="24" t="str">
        <f t="shared" si="122"/>
        <v/>
      </c>
      <c r="BA1162" s="24" t="str">
        <f t="shared" si="122"/>
        <v/>
      </c>
      <c r="BB1162" s="24" t="str">
        <f t="shared" si="122"/>
        <v/>
      </c>
      <c r="BC1162" s="24" t="str">
        <f t="shared" si="122"/>
        <v/>
      </c>
      <c r="BD1162" s="24" t="str">
        <f t="shared" si="122"/>
        <v/>
      </c>
      <c r="BE1162" s="24" t="str">
        <f t="shared" si="122"/>
        <v/>
      </c>
      <c r="BF1162" s="24" t="str">
        <f t="shared" si="122"/>
        <v/>
      </c>
      <c r="BG1162" s="24" t="str">
        <f t="shared" si="122"/>
        <v/>
      </c>
      <c r="BH1162" s="24" t="str">
        <f t="shared" si="121"/>
        <v/>
      </c>
      <c r="BI1162" s="24">
        <f t="shared" si="122"/>
        <v>1</v>
      </c>
      <c r="BJ1162" s="24" t="str">
        <f t="shared" si="116"/>
        <v/>
      </c>
    </row>
    <row r="1163" spans="1:62" ht="15" customHeight="1" x14ac:dyDescent="0.25">
      <c r="A1163" t="str">
        <f>"1538443114"</f>
        <v>1538443114</v>
      </c>
      <c r="B1163" t="str">
        <f>"03412484"</f>
        <v>03412484</v>
      </c>
      <c r="C1163" t="s">
        <v>3355</v>
      </c>
      <c r="D1163" t="s">
        <v>3356</v>
      </c>
      <c r="E1163" t="s">
        <v>3357</v>
      </c>
      <c r="G1163" t="s">
        <v>786</v>
      </c>
      <c r="H1163" t="s">
        <v>787</v>
      </c>
      <c r="J1163" t="s">
        <v>788</v>
      </c>
      <c r="L1163" t="s">
        <v>6867</v>
      </c>
      <c r="M1163" t="s">
        <v>139</v>
      </c>
      <c r="R1163" t="s">
        <v>3355</v>
      </c>
      <c r="W1163" t="s">
        <v>3357</v>
      </c>
      <c r="X1163" t="s">
        <v>3358</v>
      </c>
      <c r="Y1163" t="s">
        <v>3359</v>
      </c>
      <c r="Z1163" t="s">
        <v>111</v>
      </c>
      <c r="AA1163" t="str">
        <f>"14527-1204"</f>
        <v>14527-1204</v>
      </c>
      <c r="AB1163" t="s">
        <v>123</v>
      </c>
      <c r="AC1163" t="s">
        <v>113</v>
      </c>
      <c r="AD1163" t="s">
        <v>108</v>
      </c>
      <c r="AE1163" t="s">
        <v>114</v>
      </c>
      <c r="AF1163" t="s">
        <v>149</v>
      </c>
      <c r="AG1163" t="s">
        <v>116</v>
      </c>
      <c r="AK1163" t="str">
        <f t="shared" si="120"/>
        <v/>
      </c>
      <c r="AL1163" t="s">
        <v>3356</v>
      </c>
      <c r="AM1163">
        <v>0</v>
      </c>
      <c r="AN1163">
        <v>0</v>
      </c>
      <c r="AO1163">
        <v>0</v>
      </c>
      <c r="AP1163">
        <v>0</v>
      </c>
      <c r="AQ1163">
        <v>0</v>
      </c>
      <c r="AR1163">
        <v>0</v>
      </c>
      <c r="AS1163">
        <v>0</v>
      </c>
      <c r="AT1163">
        <v>0</v>
      </c>
      <c r="AU1163">
        <v>0</v>
      </c>
      <c r="AV1163">
        <v>0</v>
      </c>
      <c r="AW1163">
        <v>0</v>
      </c>
      <c r="AX1163" s="24">
        <f t="shared" si="118"/>
        <v>1</v>
      </c>
      <c r="AY1163" s="24">
        <f t="shared" si="118"/>
        <v>1</v>
      </c>
      <c r="AZ1163" s="24" t="str">
        <f t="shared" si="122"/>
        <v/>
      </c>
      <c r="BA1163" s="24" t="str">
        <f t="shared" si="122"/>
        <v/>
      </c>
      <c r="BB1163" s="24" t="str">
        <f t="shared" si="122"/>
        <v/>
      </c>
      <c r="BC1163" s="24" t="str">
        <f t="shared" si="122"/>
        <v/>
      </c>
      <c r="BD1163" s="24" t="str">
        <f t="shared" si="122"/>
        <v/>
      </c>
      <c r="BE1163" s="24" t="str">
        <f t="shared" si="122"/>
        <v/>
      </c>
      <c r="BF1163" s="24" t="str">
        <f t="shared" si="122"/>
        <v/>
      </c>
      <c r="BG1163" s="24" t="str">
        <f t="shared" si="122"/>
        <v/>
      </c>
      <c r="BH1163" s="24" t="str">
        <f t="shared" si="121"/>
        <v/>
      </c>
      <c r="BI1163" s="24">
        <f t="shared" si="122"/>
        <v>1</v>
      </c>
      <c r="BJ1163" s="24" t="str">
        <f t="shared" si="116"/>
        <v/>
      </c>
    </row>
    <row r="1164" spans="1:62" ht="15" customHeight="1" x14ac:dyDescent="0.25">
      <c r="A1164" t="str">
        <f>"1255304838"</f>
        <v>1255304838</v>
      </c>
      <c r="B1164" t="str">
        <f>"00761519"</f>
        <v>00761519</v>
      </c>
      <c r="C1164" t="s">
        <v>187</v>
      </c>
      <c r="D1164" t="s">
        <v>188</v>
      </c>
      <c r="E1164" t="s">
        <v>189</v>
      </c>
      <c r="G1164" t="s">
        <v>177</v>
      </c>
      <c r="H1164" t="s">
        <v>178</v>
      </c>
      <c r="J1164" t="s">
        <v>179</v>
      </c>
      <c r="L1164" t="s">
        <v>138</v>
      </c>
      <c r="M1164" t="s">
        <v>108</v>
      </c>
      <c r="R1164" t="s">
        <v>187</v>
      </c>
      <c r="W1164" t="s">
        <v>189</v>
      </c>
      <c r="X1164" t="s">
        <v>186</v>
      </c>
      <c r="Y1164" t="s">
        <v>181</v>
      </c>
      <c r="Z1164" t="s">
        <v>182</v>
      </c>
      <c r="AA1164" t="str">
        <f>"18840"</f>
        <v>18840</v>
      </c>
      <c r="AB1164" t="s">
        <v>123</v>
      </c>
      <c r="AC1164" t="s">
        <v>113</v>
      </c>
      <c r="AD1164" t="s">
        <v>108</v>
      </c>
      <c r="AE1164" t="s">
        <v>114</v>
      </c>
      <c r="AF1164" t="s">
        <v>115</v>
      </c>
      <c r="AG1164" t="s">
        <v>116</v>
      </c>
      <c r="AK1164" t="str">
        <f t="shared" si="120"/>
        <v/>
      </c>
      <c r="AL1164" t="s">
        <v>188</v>
      </c>
      <c r="AM1164">
        <v>0</v>
      </c>
      <c r="AN1164">
        <v>0</v>
      </c>
      <c r="AO1164">
        <v>0</v>
      </c>
      <c r="AP1164">
        <v>0</v>
      </c>
      <c r="AQ1164">
        <v>0</v>
      </c>
      <c r="AR1164">
        <v>0</v>
      </c>
      <c r="AS1164">
        <v>0</v>
      </c>
      <c r="AT1164">
        <v>0</v>
      </c>
      <c r="AU1164">
        <v>0</v>
      </c>
      <c r="AV1164">
        <v>0</v>
      </c>
      <c r="AW1164">
        <v>0</v>
      </c>
      <c r="AX1164" s="24" t="str">
        <f t="shared" si="118"/>
        <v/>
      </c>
      <c r="AY1164" s="24">
        <f t="shared" si="118"/>
        <v>1</v>
      </c>
      <c r="AZ1164" s="24" t="str">
        <f t="shared" si="122"/>
        <v/>
      </c>
      <c r="BA1164" s="24" t="str">
        <f t="shared" si="122"/>
        <v/>
      </c>
      <c r="BB1164" s="24" t="str">
        <f t="shared" si="122"/>
        <v/>
      </c>
      <c r="BC1164" s="24" t="str">
        <f t="shared" si="122"/>
        <v/>
      </c>
      <c r="BD1164" s="24" t="str">
        <f t="shared" si="122"/>
        <v/>
      </c>
      <c r="BE1164" s="24" t="str">
        <f t="shared" si="122"/>
        <v/>
      </c>
      <c r="BF1164" s="24" t="str">
        <f t="shared" si="122"/>
        <v/>
      </c>
      <c r="BG1164" s="24" t="str">
        <f t="shared" si="122"/>
        <v/>
      </c>
      <c r="BH1164" s="24" t="str">
        <f t="shared" si="121"/>
        <v/>
      </c>
      <c r="BI1164" s="24">
        <f t="shared" si="122"/>
        <v>1</v>
      </c>
      <c r="BJ1164" s="24" t="str">
        <f t="shared" si="116"/>
        <v/>
      </c>
    </row>
    <row r="1165" spans="1:62" ht="15" customHeight="1" x14ac:dyDescent="0.25">
      <c r="A1165" t="str">
        <f>"1427218841"</f>
        <v>1427218841</v>
      </c>
      <c r="B1165" t="str">
        <f>"03039810"</f>
        <v>03039810</v>
      </c>
      <c r="C1165" t="s">
        <v>5641</v>
      </c>
      <c r="D1165" t="s">
        <v>5642</v>
      </c>
      <c r="E1165" t="s">
        <v>5641</v>
      </c>
      <c r="L1165" t="s">
        <v>809</v>
      </c>
      <c r="M1165" t="s">
        <v>108</v>
      </c>
      <c r="R1165" t="s">
        <v>5641</v>
      </c>
      <c r="W1165" t="s">
        <v>5641</v>
      </c>
      <c r="X1165" t="s">
        <v>1237</v>
      </c>
      <c r="Y1165" t="s">
        <v>129</v>
      </c>
      <c r="Z1165" t="s">
        <v>111</v>
      </c>
      <c r="AA1165" t="str">
        <f>"13790-2102"</f>
        <v>13790-2102</v>
      </c>
      <c r="AB1165" t="s">
        <v>811</v>
      </c>
      <c r="AC1165" t="s">
        <v>113</v>
      </c>
      <c r="AD1165" t="s">
        <v>108</v>
      </c>
      <c r="AE1165" t="s">
        <v>114</v>
      </c>
      <c r="AF1165" t="s">
        <v>115</v>
      </c>
      <c r="AG1165" t="s">
        <v>116</v>
      </c>
      <c r="AK1165" t="str">
        <f t="shared" si="120"/>
        <v/>
      </c>
      <c r="AL1165" t="s">
        <v>5642</v>
      </c>
      <c r="AM1165">
        <v>0</v>
      </c>
      <c r="AN1165">
        <v>0</v>
      </c>
      <c r="AO1165">
        <v>0</v>
      </c>
      <c r="AP1165">
        <v>0</v>
      </c>
      <c r="AQ1165">
        <v>0</v>
      </c>
      <c r="AR1165">
        <v>0</v>
      </c>
      <c r="AS1165">
        <v>0</v>
      </c>
      <c r="AT1165">
        <v>0</v>
      </c>
      <c r="AU1165">
        <v>0</v>
      </c>
      <c r="AV1165">
        <v>0</v>
      </c>
      <c r="AW1165">
        <v>0</v>
      </c>
      <c r="AX1165" s="24" t="str">
        <f t="shared" si="118"/>
        <v/>
      </c>
      <c r="AY1165" s="24">
        <f t="shared" si="118"/>
        <v>1</v>
      </c>
      <c r="AZ1165" s="24" t="str">
        <f t="shared" si="122"/>
        <v/>
      </c>
      <c r="BA1165" s="24" t="str">
        <f t="shared" si="122"/>
        <v/>
      </c>
      <c r="BB1165" s="24" t="str">
        <f t="shared" si="122"/>
        <v/>
      </c>
      <c r="BC1165" s="24">
        <f t="shared" si="122"/>
        <v>1</v>
      </c>
      <c r="BD1165" s="24" t="str">
        <f t="shared" si="122"/>
        <v/>
      </c>
      <c r="BE1165" s="24" t="str">
        <f t="shared" si="122"/>
        <v/>
      </c>
      <c r="BF1165" s="24" t="str">
        <f t="shared" si="122"/>
        <v/>
      </c>
      <c r="BG1165" s="24" t="str">
        <f t="shared" si="122"/>
        <v/>
      </c>
      <c r="BH1165" s="24" t="str">
        <f t="shared" si="121"/>
        <v/>
      </c>
      <c r="BI1165" s="24" t="str">
        <f t="shared" si="122"/>
        <v/>
      </c>
      <c r="BJ1165" s="24" t="str">
        <f t="shared" si="116"/>
        <v/>
      </c>
    </row>
    <row r="1166" spans="1:62" ht="15" customHeight="1" x14ac:dyDescent="0.25">
      <c r="A1166" t="str">
        <f>"1427098672"</f>
        <v>1427098672</v>
      </c>
      <c r="B1166" t="str">
        <f>"02150223"</f>
        <v>02150223</v>
      </c>
      <c r="C1166" t="s">
        <v>4454</v>
      </c>
      <c r="D1166" t="s">
        <v>4455</v>
      </c>
      <c r="E1166" t="s">
        <v>4456</v>
      </c>
      <c r="G1166" t="s">
        <v>4447</v>
      </c>
      <c r="H1166" t="s">
        <v>4448</v>
      </c>
      <c r="J1166" t="s">
        <v>4449</v>
      </c>
      <c r="L1166" t="s">
        <v>247</v>
      </c>
      <c r="M1166" t="s">
        <v>108</v>
      </c>
      <c r="R1166" t="s">
        <v>4454</v>
      </c>
      <c r="W1166" t="s">
        <v>4454</v>
      </c>
      <c r="X1166" t="s">
        <v>4457</v>
      </c>
      <c r="Y1166" t="s">
        <v>1227</v>
      </c>
      <c r="Z1166" t="s">
        <v>111</v>
      </c>
      <c r="AA1166" t="str">
        <f>"13501-5930"</f>
        <v>13501-5930</v>
      </c>
      <c r="AB1166" t="s">
        <v>123</v>
      </c>
      <c r="AC1166" t="s">
        <v>113</v>
      </c>
      <c r="AD1166" t="s">
        <v>108</v>
      </c>
      <c r="AE1166" t="s">
        <v>114</v>
      </c>
      <c r="AF1166" t="s">
        <v>115</v>
      </c>
      <c r="AG1166" t="s">
        <v>116</v>
      </c>
      <c r="AK1166" t="str">
        <f t="shared" si="120"/>
        <v/>
      </c>
      <c r="AL1166" t="s">
        <v>4455</v>
      </c>
      <c r="AM1166">
        <v>0</v>
      </c>
      <c r="AN1166">
        <v>0</v>
      </c>
      <c r="AO1166">
        <v>0</v>
      </c>
      <c r="AP1166">
        <v>0</v>
      </c>
      <c r="AQ1166">
        <v>0</v>
      </c>
      <c r="AR1166">
        <v>0</v>
      </c>
      <c r="AS1166">
        <v>0</v>
      </c>
      <c r="AT1166">
        <v>0</v>
      </c>
      <c r="AU1166">
        <v>0</v>
      </c>
      <c r="AV1166">
        <v>0</v>
      </c>
      <c r="AW1166">
        <v>0</v>
      </c>
      <c r="AX1166" s="24" t="str">
        <f t="shared" si="118"/>
        <v/>
      </c>
      <c r="AY1166" s="24">
        <f t="shared" si="118"/>
        <v>1</v>
      </c>
      <c r="AZ1166" s="24" t="str">
        <f t="shared" si="122"/>
        <v/>
      </c>
      <c r="BA1166" s="24" t="str">
        <f t="shared" si="122"/>
        <v/>
      </c>
      <c r="BB1166" s="24" t="str">
        <f t="shared" si="122"/>
        <v/>
      </c>
      <c r="BC1166" s="24" t="str">
        <f t="shared" si="122"/>
        <v/>
      </c>
      <c r="BD1166" s="24" t="str">
        <f t="shared" si="122"/>
        <v/>
      </c>
      <c r="BE1166" s="24" t="str">
        <f t="shared" si="122"/>
        <v/>
      </c>
      <c r="BF1166" s="24" t="str">
        <f t="shared" si="122"/>
        <v/>
      </c>
      <c r="BG1166" s="24" t="str">
        <f t="shared" si="122"/>
        <v/>
      </c>
      <c r="BH1166" s="24" t="str">
        <f t="shared" si="121"/>
        <v/>
      </c>
      <c r="BI1166" s="24" t="str">
        <f t="shared" si="122"/>
        <v/>
      </c>
      <c r="BJ1166" s="24" t="str">
        <f t="shared" si="116"/>
        <v/>
      </c>
    </row>
    <row r="1167" spans="1:62" ht="15" customHeight="1" x14ac:dyDescent="0.25">
      <c r="A1167" t="str">
        <f>"1457466427"</f>
        <v>1457466427</v>
      </c>
      <c r="B1167" t="str">
        <f>"02035876"</f>
        <v>02035876</v>
      </c>
      <c r="C1167" t="s">
        <v>5643</v>
      </c>
      <c r="D1167" t="s">
        <v>5644</v>
      </c>
      <c r="E1167" t="s">
        <v>5643</v>
      </c>
      <c r="L1167" t="s">
        <v>809</v>
      </c>
      <c r="M1167" t="s">
        <v>108</v>
      </c>
      <c r="R1167" t="s">
        <v>5643</v>
      </c>
      <c r="W1167" t="s">
        <v>5645</v>
      </c>
      <c r="X1167" t="s">
        <v>810</v>
      </c>
      <c r="Y1167" t="s">
        <v>110</v>
      </c>
      <c r="Z1167" t="s">
        <v>111</v>
      </c>
      <c r="AA1167" t="str">
        <f>"13905-2522"</f>
        <v>13905-2522</v>
      </c>
      <c r="AB1167" t="s">
        <v>811</v>
      </c>
      <c r="AC1167" t="s">
        <v>113</v>
      </c>
      <c r="AD1167" t="s">
        <v>108</v>
      </c>
      <c r="AE1167" t="s">
        <v>114</v>
      </c>
      <c r="AF1167" t="s">
        <v>115</v>
      </c>
      <c r="AG1167" t="s">
        <v>116</v>
      </c>
      <c r="AK1167" t="str">
        <f t="shared" si="120"/>
        <v/>
      </c>
      <c r="AL1167" t="s">
        <v>5644</v>
      </c>
      <c r="AM1167">
        <v>0</v>
      </c>
      <c r="AN1167">
        <v>0</v>
      </c>
      <c r="AO1167">
        <v>0</v>
      </c>
      <c r="AP1167">
        <v>0</v>
      </c>
      <c r="AQ1167">
        <v>0</v>
      </c>
      <c r="AR1167">
        <v>0</v>
      </c>
      <c r="AS1167">
        <v>0</v>
      </c>
      <c r="AT1167">
        <v>0</v>
      </c>
      <c r="AU1167">
        <v>0</v>
      </c>
      <c r="AV1167">
        <v>0</v>
      </c>
      <c r="AW1167">
        <v>0</v>
      </c>
      <c r="AX1167" s="24" t="str">
        <f t="shared" si="118"/>
        <v/>
      </c>
      <c r="AY1167" s="24">
        <f t="shared" si="118"/>
        <v>1</v>
      </c>
      <c r="AZ1167" s="24" t="str">
        <f t="shared" si="122"/>
        <v/>
      </c>
      <c r="BA1167" s="24" t="str">
        <f t="shared" si="122"/>
        <v/>
      </c>
      <c r="BB1167" s="24" t="str">
        <f t="shared" si="122"/>
        <v/>
      </c>
      <c r="BC1167" s="24">
        <f t="shared" si="122"/>
        <v>1</v>
      </c>
      <c r="BD1167" s="24" t="str">
        <f t="shared" si="122"/>
        <v/>
      </c>
      <c r="BE1167" s="24" t="str">
        <f t="shared" si="122"/>
        <v/>
      </c>
      <c r="BF1167" s="24" t="str">
        <f t="shared" si="122"/>
        <v/>
      </c>
      <c r="BG1167" s="24" t="str">
        <f t="shared" si="122"/>
        <v/>
      </c>
      <c r="BH1167" s="24" t="str">
        <f t="shared" si="121"/>
        <v/>
      </c>
      <c r="BI1167" s="24" t="str">
        <f t="shared" si="122"/>
        <v/>
      </c>
      <c r="BJ1167" s="24" t="str">
        <f t="shared" si="116"/>
        <v/>
      </c>
    </row>
    <row r="1168" spans="1:62" ht="15" customHeight="1" x14ac:dyDescent="0.25">
      <c r="A1168" t="str">
        <f>"1578768495"</f>
        <v>1578768495</v>
      </c>
      <c r="B1168" t="str">
        <f>"03631894"</f>
        <v>03631894</v>
      </c>
      <c r="C1168" t="s">
        <v>2477</v>
      </c>
      <c r="D1168" t="s">
        <v>2478</v>
      </c>
      <c r="E1168" t="s">
        <v>2479</v>
      </c>
      <c r="G1168" t="s">
        <v>177</v>
      </c>
      <c r="H1168" t="s">
        <v>178</v>
      </c>
      <c r="J1168" t="s">
        <v>179</v>
      </c>
      <c r="L1168" t="s">
        <v>138</v>
      </c>
      <c r="M1168" t="s">
        <v>108</v>
      </c>
      <c r="R1168" t="s">
        <v>2477</v>
      </c>
      <c r="W1168" t="s">
        <v>2479</v>
      </c>
      <c r="X1168" t="s">
        <v>196</v>
      </c>
      <c r="Y1168" t="s">
        <v>181</v>
      </c>
      <c r="Z1168" t="s">
        <v>182</v>
      </c>
      <c r="AA1168" t="str">
        <f>"18840-1625"</f>
        <v>18840-1625</v>
      </c>
      <c r="AB1168" t="s">
        <v>123</v>
      </c>
      <c r="AC1168" t="s">
        <v>113</v>
      </c>
      <c r="AD1168" t="s">
        <v>108</v>
      </c>
      <c r="AE1168" t="s">
        <v>114</v>
      </c>
      <c r="AF1168" t="s">
        <v>115</v>
      </c>
      <c r="AG1168" t="s">
        <v>116</v>
      </c>
      <c r="AK1168" t="str">
        <f t="shared" si="120"/>
        <v/>
      </c>
      <c r="AL1168" t="s">
        <v>2478</v>
      </c>
      <c r="AM1168">
        <v>0</v>
      </c>
      <c r="AN1168">
        <v>0</v>
      </c>
      <c r="AO1168">
        <v>0</v>
      </c>
      <c r="AP1168">
        <v>0</v>
      </c>
      <c r="AQ1168">
        <v>0</v>
      </c>
      <c r="AR1168">
        <v>0</v>
      </c>
      <c r="AS1168">
        <v>0</v>
      </c>
      <c r="AT1168">
        <v>0</v>
      </c>
      <c r="AU1168">
        <v>0</v>
      </c>
      <c r="AV1168">
        <v>0</v>
      </c>
      <c r="AW1168">
        <v>0</v>
      </c>
      <c r="AX1168" s="24" t="str">
        <f t="shared" si="118"/>
        <v/>
      </c>
      <c r="AY1168" s="24">
        <f t="shared" si="118"/>
        <v>1</v>
      </c>
      <c r="AZ1168" s="24" t="str">
        <f t="shared" si="122"/>
        <v/>
      </c>
      <c r="BA1168" s="24" t="str">
        <f t="shared" si="122"/>
        <v/>
      </c>
      <c r="BB1168" s="24" t="str">
        <f t="shared" si="122"/>
        <v/>
      </c>
      <c r="BC1168" s="24" t="str">
        <f t="shared" si="122"/>
        <v/>
      </c>
      <c r="BD1168" s="24" t="str">
        <f t="shared" si="122"/>
        <v/>
      </c>
      <c r="BE1168" s="24" t="str">
        <f t="shared" si="122"/>
        <v/>
      </c>
      <c r="BF1168" s="24" t="str">
        <f t="shared" si="122"/>
        <v/>
      </c>
      <c r="BG1168" s="24" t="str">
        <f t="shared" si="122"/>
        <v/>
      </c>
      <c r="BH1168" s="24" t="str">
        <f t="shared" si="121"/>
        <v/>
      </c>
      <c r="BI1168" s="24">
        <f t="shared" si="122"/>
        <v>1</v>
      </c>
      <c r="BJ1168" s="24" t="str">
        <f t="shared" si="116"/>
        <v/>
      </c>
    </row>
    <row r="1169" spans="1:62" ht="15" customHeight="1" x14ac:dyDescent="0.25">
      <c r="A1169" t="str">
        <f>"1003004326"</f>
        <v>1003004326</v>
      </c>
      <c r="B1169" t="str">
        <f>"03079509"</f>
        <v>03079509</v>
      </c>
      <c r="C1169" t="s">
        <v>5646</v>
      </c>
      <c r="D1169" t="s">
        <v>5647</v>
      </c>
      <c r="E1169" t="s">
        <v>5648</v>
      </c>
      <c r="L1169" t="s">
        <v>133</v>
      </c>
      <c r="M1169" t="s">
        <v>108</v>
      </c>
      <c r="R1169" t="s">
        <v>5646</v>
      </c>
      <c r="W1169" t="s">
        <v>5648</v>
      </c>
      <c r="X1169" t="s">
        <v>5649</v>
      </c>
      <c r="Y1169" t="s">
        <v>991</v>
      </c>
      <c r="Z1169" t="s">
        <v>111</v>
      </c>
      <c r="AA1169" t="str">
        <f>"13838-1330"</f>
        <v>13838-1330</v>
      </c>
      <c r="AB1169" t="s">
        <v>123</v>
      </c>
      <c r="AC1169" t="s">
        <v>113</v>
      </c>
      <c r="AD1169" t="s">
        <v>108</v>
      </c>
      <c r="AE1169" t="s">
        <v>114</v>
      </c>
      <c r="AF1169" t="s">
        <v>124</v>
      </c>
      <c r="AG1169" t="s">
        <v>116</v>
      </c>
      <c r="AK1169" t="str">
        <f t="shared" si="120"/>
        <v>RUITER TODD DR.</v>
      </c>
      <c r="AL1169" t="s">
        <v>5647</v>
      </c>
      <c r="AM1169" t="s">
        <v>108</v>
      </c>
      <c r="AN1169" t="s">
        <v>108</v>
      </c>
      <c r="AO1169" t="s">
        <v>108</v>
      </c>
      <c r="AP1169" t="s">
        <v>108</v>
      </c>
      <c r="AQ1169" t="s">
        <v>108</v>
      </c>
      <c r="AR1169" t="s">
        <v>108</v>
      </c>
      <c r="AS1169" t="s">
        <v>108</v>
      </c>
      <c r="AT1169" t="s">
        <v>108</v>
      </c>
      <c r="AU1169" t="s">
        <v>108</v>
      </c>
      <c r="AV1169" t="s">
        <v>108</v>
      </c>
      <c r="AW1169" t="s">
        <v>108</v>
      </c>
      <c r="AX1169" s="24" t="str">
        <f t="shared" si="118"/>
        <v/>
      </c>
      <c r="AY1169" s="24" t="str">
        <f t="shared" si="118"/>
        <v/>
      </c>
      <c r="AZ1169" s="24" t="str">
        <f t="shared" si="122"/>
        <v/>
      </c>
      <c r="BA1169" s="24" t="str">
        <f t="shared" si="122"/>
        <v/>
      </c>
      <c r="BB1169" s="24" t="str">
        <f t="shared" si="122"/>
        <v/>
      </c>
      <c r="BC1169" s="24" t="str">
        <f t="shared" si="122"/>
        <v/>
      </c>
      <c r="BD1169" s="24" t="str">
        <f t="shared" si="122"/>
        <v/>
      </c>
      <c r="BE1169" s="24" t="str">
        <f t="shared" si="122"/>
        <v/>
      </c>
      <c r="BF1169" s="24" t="str">
        <f t="shared" si="122"/>
        <v/>
      </c>
      <c r="BG1169" s="24" t="str">
        <f t="shared" si="122"/>
        <v/>
      </c>
      <c r="BH1169" s="24" t="str">
        <f t="shared" si="121"/>
        <v/>
      </c>
      <c r="BI1169" s="24" t="str">
        <f t="shared" si="122"/>
        <v/>
      </c>
      <c r="BJ1169" s="24">
        <f t="shared" si="116"/>
        <v>1</v>
      </c>
    </row>
    <row r="1170" spans="1:62" ht="15" customHeight="1" x14ac:dyDescent="0.25">
      <c r="C1170" t="s">
        <v>3835</v>
      </c>
      <c r="G1170" t="s">
        <v>3836</v>
      </c>
      <c r="H1170" t="s">
        <v>3837</v>
      </c>
      <c r="J1170" t="s">
        <v>3838</v>
      </c>
      <c r="K1170" t="s">
        <v>780</v>
      </c>
      <c r="L1170" t="s">
        <v>781</v>
      </c>
      <c r="M1170" t="s">
        <v>108</v>
      </c>
      <c r="N1170" t="s">
        <v>3839</v>
      </c>
      <c r="O1170" t="s">
        <v>3840</v>
      </c>
      <c r="P1170" t="s">
        <v>111</v>
      </c>
      <c r="Q1170" t="str">
        <f>"13862"</f>
        <v>13862</v>
      </c>
      <c r="AC1170" t="s">
        <v>113</v>
      </c>
      <c r="AD1170" t="s">
        <v>108</v>
      </c>
      <c r="AE1170" t="s">
        <v>784</v>
      </c>
      <c r="AF1170" t="s">
        <v>115</v>
      </c>
      <c r="AG1170" t="s">
        <v>116</v>
      </c>
      <c r="AK1170" t="str">
        <f t="shared" si="120"/>
        <v/>
      </c>
      <c r="AL1170" t="s">
        <v>3835</v>
      </c>
      <c r="AM1170">
        <v>1</v>
      </c>
      <c r="AP1170">
        <v>1</v>
      </c>
      <c r="AQ1170">
        <v>1</v>
      </c>
      <c r="AR1170" t="s">
        <v>108</v>
      </c>
      <c r="AS1170" t="s">
        <v>108</v>
      </c>
      <c r="AT1170" t="s">
        <v>108</v>
      </c>
      <c r="AU1170" t="s">
        <v>108</v>
      </c>
      <c r="AV1170" t="s">
        <v>108</v>
      </c>
      <c r="AW1170" t="s">
        <v>108</v>
      </c>
      <c r="AX1170" s="24" t="str">
        <f t="shared" si="118"/>
        <v/>
      </c>
      <c r="AY1170" s="24" t="str">
        <f t="shared" si="118"/>
        <v/>
      </c>
      <c r="AZ1170" s="24" t="str">
        <f t="shared" si="122"/>
        <v/>
      </c>
      <c r="BA1170" s="24" t="str">
        <f t="shared" si="122"/>
        <v/>
      </c>
      <c r="BB1170" s="24" t="str">
        <f t="shared" si="122"/>
        <v/>
      </c>
      <c r="BC1170" s="24" t="str">
        <f t="shared" si="122"/>
        <v/>
      </c>
      <c r="BD1170" s="24" t="str">
        <f t="shared" si="122"/>
        <v/>
      </c>
      <c r="BE1170" s="24" t="str">
        <f t="shared" si="122"/>
        <v/>
      </c>
      <c r="BF1170" s="24" t="str">
        <f t="shared" si="122"/>
        <v/>
      </c>
      <c r="BG1170" s="24" t="str">
        <f t="shared" si="122"/>
        <v/>
      </c>
      <c r="BH1170" s="24">
        <f t="shared" si="121"/>
        <v>1</v>
      </c>
      <c r="BI1170" s="24" t="str">
        <f t="shared" si="122"/>
        <v/>
      </c>
      <c r="BJ1170" s="24" t="str">
        <f t="shared" ref="BJ1170:BJ1233" si="123">IF(ISERROR(FIND(BJ$1,$L1170,1)),"",1)</f>
        <v/>
      </c>
    </row>
    <row r="1171" spans="1:62" ht="15" customHeight="1" x14ac:dyDescent="0.25">
      <c r="A1171" t="str">
        <f>"1427386192"</f>
        <v>1427386192</v>
      </c>
      <c r="B1171" t="str">
        <f>"03187735"</f>
        <v>03187735</v>
      </c>
      <c r="C1171" t="s">
        <v>6215</v>
      </c>
      <c r="D1171" t="s">
        <v>6216</v>
      </c>
      <c r="E1171" t="s">
        <v>6217</v>
      </c>
      <c r="G1171" t="s">
        <v>815</v>
      </c>
      <c r="H1171" t="s">
        <v>816</v>
      </c>
      <c r="J1171" t="s">
        <v>817</v>
      </c>
      <c r="L1171" t="s">
        <v>138</v>
      </c>
      <c r="M1171" t="s">
        <v>108</v>
      </c>
      <c r="R1171" t="s">
        <v>6218</v>
      </c>
      <c r="W1171" t="s">
        <v>6217</v>
      </c>
      <c r="X1171" t="s">
        <v>204</v>
      </c>
      <c r="Y1171" t="s">
        <v>110</v>
      </c>
      <c r="Z1171" t="s">
        <v>111</v>
      </c>
      <c r="AA1171" t="str">
        <f>"13905-4246"</f>
        <v>13905-4246</v>
      </c>
      <c r="AB1171" t="s">
        <v>123</v>
      </c>
      <c r="AC1171" t="s">
        <v>113</v>
      </c>
      <c r="AD1171" t="s">
        <v>108</v>
      </c>
      <c r="AE1171" t="s">
        <v>114</v>
      </c>
      <c r="AF1171" t="s">
        <v>115</v>
      </c>
      <c r="AG1171" t="s">
        <v>116</v>
      </c>
      <c r="AK1171" t="str">
        <f t="shared" si="120"/>
        <v>Ryan C. Brown, RPA-C</v>
      </c>
      <c r="AL1171" t="s">
        <v>6216</v>
      </c>
      <c r="AM1171" t="s">
        <v>108</v>
      </c>
      <c r="AN1171" t="s">
        <v>108</v>
      </c>
      <c r="AO1171" t="s">
        <v>108</v>
      </c>
      <c r="AP1171" t="s">
        <v>108</v>
      </c>
      <c r="AQ1171" t="s">
        <v>108</v>
      </c>
      <c r="AR1171" t="s">
        <v>108</v>
      </c>
      <c r="AS1171" t="s">
        <v>108</v>
      </c>
      <c r="AT1171" t="s">
        <v>108</v>
      </c>
      <c r="AU1171" t="s">
        <v>108</v>
      </c>
      <c r="AV1171" t="s">
        <v>108</v>
      </c>
      <c r="AW1171" t="s">
        <v>108</v>
      </c>
      <c r="AX1171" s="24" t="str">
        <f t="shared" si="118"/>
        <v/>
      </c>
      <c r="AY1171" s="24">
        <f t="shared" si="118"/>
        <v>1</v>
      </c>
      <c r="AZ1171" s="24" t="str">
        <f t="shared" si="122"/>
        <v/>
      </c>
      <c r="BA1171" s="24" t="str">
        <f t="shared" si="122"/>
        <v/>
      </c>
      <c r="BB1171" s="24" t="str">
        <f t="shared" si="122"/>
        <v/>
      </c>
      <c r="BC1171" s="24" t="str">
        <f t="shared" si="122"/>
        <v/>
      </c>
      <c r="BD1171" s="24" t="str">
        <f t="shared" si="122"/>
        <v/>
      </c>
      <c r="BE1171" s="24" t="str">
        <f t="shared" si="122"/>
        <v/>
      </c>
      <c r="BF1171" s="24" t="str">
        <f t="shared" si="122"/>
        <v/>
      </c>
      <c r="BG1171" s="24" t="str">
        <f t="shared" si="122"/>
        <v/>
      </c>
      <c r="BH1171" s="24" t="str">
        <f t="shared" si="121"/>
        <v/>
      </c>
      <c r="BI1171" s="24">
        <f t="shared" si="122"/>
        <v>1</v>
      </c>
      <c r="BJ1171" s="24" t="str">
        <f t="shared" si="123"/>
        <v/>
      </c>
    </row>
    <row r="1172" spans="1:62" ht="15" customHeight="1" x14ac:dyDescent="0.25">
      <c r="A1172" t="str">
        <f>"1205824141"</f>
        <v>1205824141</v>
      </c>
      <c r="B1172" t="str">
        <f>"01466348"</f>
        <v>01466348</v>
      </c>
      <c r="C1172" t="s">
        <v>5650</v>
      </c>
      <c r="D1172" t="s">
        <v>5651</v>
      </c>
      <c r="E1172" t="s">
        <v>5652</v>
      </c>
      <c r="L1172" t="s">
        <v>120</v>
      </c>
      <c r="M1172" t="s">
        <v>139</v>
      </c>
      <c r="R1172" t="s">
        <v>5650</v>
      </c>
      <c r="W1172" t="s">
        <v>5652</v>
      </c>
      <c r="X1172" t="s">
        <v>1237</v>
      </c>
      <c r="Y1172" t="s">
        <v>129</v>
      </c>
      <c r="Z1172" t="s">
        <v>111</v>
      </c>
      <c r="AA1172" t="str">
        <f>"13790-2102"</f>
        <v>13790-2102</v>
      </c>
      <c r="AB1172" t="s">
        <v>123</v>
      </c>
      <c r="AC1172" t="s">
        <v>113</v>
      </c>
      <c r="AD1172" t="s">
        <v>108</v>
      </c>
      <c r="AE1172" t="s">
        <v>114</v>
      </c>
      <c r="AF1172" t="s">
        <v>115</v>
      </c>
      <c r="AG1172" t="s">
        <v>116</v>
      </c>
      <c r="AK1172" t="str">
        <f t="shared" si="120"/>
        <v/>
      </c>
      <c r="AL1172" t="s">
        <v>5651</v>
      </c>
      <c r="AM1172">
        <v>0</v>
      </c>
      <c r="AN1172">
        <v>0</v>
      </c>
      <c r="AO1172">
        <v>0</v>
      </c>
      <c r="AP1172">
        <v>0</v>
      </c>
      <c r="AQ1172">
        <v>0</v>
      </c>
      <c r="AR1172">
        <v>0</v>
      </c>
      <c r="AS1172">
        <v>0</v>
      </c>
      <c r="AT1172">
        <v>0</v>
      </c>
      <c r="AU1172">
        <v>0</v>
      </c>
      <c r="AV1172">
        <v>0</v>
      </c>
      <c r="AW1172">
        <v>0</v>
      </c>
      <c r="AX1172" s="24">
        <f t="shared" si="118"/>
        <v>1</v>
      </c>
      <c r="AY1172" s="24" t="str">
        <f t="shared" si="118"/>
        <v/>
      </c>
      <c r="AZ1172" s="24" t="str">
        <f t="shared" si="122"/>
        <v/>
      </c>
      <c r="BA1172" s="24" t="str">
        <f t="shared" si="122"/>
        <v/>
      </c>
      <c r="BB1172" s="24" t="str">
        <f t="shared" si="122"/>
        <v/>
      </c>
      <c r="BC1172" s="24" t="str">
        <f t="shared" si="122"/>
        <v/>
      </c>
      <c r="BD1172" s="24" t="str">
        <f t="shared" si="122"/>
        <v/>
      </c>
      <c r="BE1172" s="24" t="str">
        <f t="shared" si="122"/>
        <v/>
      </c>
      <c r="BF1172" s="24" t="str">
        <f t="shared" si="122"/>
        <v/>
      </c>
      <c r="BG1172" s="24" t="str">
        <f t="shared" si="122"/>
        <v/>
      </c>
      <c r="BH1172" s="24" t="str">
        <f t="shared" si="121"/>
        <v/>
      </c>
      <c r="BI1172" s="24">
        <f t="shared" si="122"/>
        <v>1</v>
      </c>
      <c r="BJ1172" s="24" t="str">
        <f t="shared" si="123"/>
        <v/>
      </c>
    </row>
    <row r="1173" spans="1:62" ht="15" customHeight="1" x14ac:dyDescent="0.25">
      <c r="A1173" t="str">
        <f>"1912971276"</f>
        <v>1912971276</v>
      </c>
      <c r="B1173" t="str">
        <f>"00960605"</f>
        <v>00960605</v>
      </c>
      <c r="C1173" t="s">
        <v>703</v>
      </c>
      <c r="D1173" t="s">
        <v>704</v>
      </c>
      <c r="E1173" t="s">
        <v>705</v>
      </c>
      <c r="G1173" t="s">
        <v>699</v>
      </c>
      <c r="H1173" t="s">
        <v>700</v>
      </c>
      <c r="J1173" t="s">
        <v>701</v>
      </c>
      <c r="L1173" t="s">
        <v>120</v>
      </c>
      <c r="M1173" t="s">
        <v>108</v>
      </c>
      <c r="R1173" t="s">
        <v>706</v>
      </c>
      <c r="W1173" t="s">
        <v>707</v>
      </c>
      <c r="X1173" t="s">
        <v>186</v>
      </c>
      <c r="Y1173" t="s">
        <v>181</v>
      </c>
      <c r="Z1173" t="s">
        <v>182</v>
      </c>
      <c r="AA1173" t="str">
        <f>"18840"</f>
        <v>18840</v>
      </c>
      <c r="AB1173" t="s">
        <v>123</v>
      </c>
      <c r="AC1173" t="s">
        <v>113</v>
      </c>
      <c r="AD1173" t="s">
        <v>108</v>
      </c>
      <c r="AE1173" t="s">
        <v>114</v>
      </c>
      <c r="AF1173" t="s">
        <v>115</v>
      </c>
      <c r="AG1173" t="s">
        <v>116</v>
      </c>
      <c r="AK1173" t="str">
        <f t="shared" si="120"/>
        <v/>
      </c>
      <c r="AL1173" t="s">
        <v>704</v>
      </c>
      <c r="AM1173">
        <v>1</v>
      </c>
      <c r="AN1173">
        <v>1</v>
      </c>
      <c r="AO1173">
        <v>0</v>
      </c>
      <c r="AP1173">
        <v>0</v>
      </c>
      <c r="AQ1173">
        <v>0</v>
      </c>
      <c r="AR1173">
        <v>0</v>
      </c>
      <c r="AS1173">
        <v>0</v>
      </c>
      <c r="AT1173">
        <v>1</v>
      </c>
      <c r="AU1173">
        <v>1</v>
      </c>
      <c r="AV1173">
        <v>1</v>
      </c>
      <c r="AW1173">
        <v>0</v>
      </c>
      <c r="AX1173" s="24">
        <f t="shared" si="118"/>
        <v>1</v>
      </c>
      <c r="AY1173" s="24" t="str">
        <f t="shared" si="118"/>
        <v/>
      </c>
      <c r="AZ1173" s="24" t="str">
        <f t="shared" si="122"/>
        <v/>
      </c>
      <c r="BA1173" s="24" t="str">
        <f t="shared" si="122"/>
        <v/>
      </c>
      <c r="BB1173" s="24" t="str">
        <f t="shared" si="122"/>
        <v/>
      </c>
      <c r="BC1173" s="24" t="str">
        <f t="shared" si="122"/>
        <v/>
      </c>
      <c r="BD1173" s="24" t="str">
        <f t="shared" si="122"/>
        <v/>
      </c>
      <c r="BE1173" s="24" t="str">
        <f t="shared" si="122"/>
        <v/>
      </c>
      <c r="BF1173" s="24" t="str">
        <f t="shared" si="122"/>
        <v/>
      </c>
      <c r="BG1173" s="24" t="str">
        <f t="shared" si="122"/>
        <v/>
      </c>
      <c r="BH1173" s="24" t="str">
        <f t="shared" si="121"/>
        <v/>
      </c>
      <c r="BI1173" s="24">
        <f t="shared" si="122"/>
        <v>1</v>
      </c>
      <c r="BJ1173" s="24" t="str">
        <f t="shared" si="123"/>
        <v/>
      </c>
    </row>
    <row r="1174" spans="1:62" ht="15" customHeight="1" x14ac:dyDescent="0.25">
      <c r="A1174" t="str">
        <f>"1053644179"</f>
        <v>1053644179</v>
      </c>
      <c r="B1174" t="str">
        <f>"03802068"</f>
        <v>03802068</v>
      </c>
      <c r="C1174" t="s">
        <v>6347</v>
      </c>
      <c r="D1174" t="s">
        <v>6348</v>
      </c>
      <c r="E1174" t="s">
        <v>6349</v>
      </c>
      <c r="G1174" t="s">
        <v>6330</v>
      </c>
      <c r="H1174" t="s">
        <v>6331</v>
      </c>
      <c r="J1174" t="s">
        <v>6332</v>
      </c>
      <c r="L1174" t="s">
        <v>120</v>
      </c>
      <c r="M1174" t="s">
        <v>108</v>
      </c>
      <c r="R1174" t="s">
        <v>6350</v>
      </c>
      <c r="W1174" t="s">
        <v>6349</v>
      </c>
      <c r="X1174" t="s">
        <v>6351</v>
      </c>
      <c r="Y1174" t="s">
        <v>1718</v>
      </c>
      <c r="Z1174" t="s">
        <v>111</v>
      </c>
      <c r="AA1174" t="str">
        <f>"14521-0000"</f>
        <v>14521-0000</v>
      </c>
      <c r="AB1174" t="s">
        <v>123</v>
      </c>
      <c r="AC1174" t="s">
        <v>113</v>
      </c>
      <c r="AD1174" t="s">
        <v>108</v>
      </c>
      <c r="AE1174" t="s">
        <v>114</v>
      </c>
      <c r="AF1174" t="s">
        <v>115</v>
      </c>
      <c r="AG1174" t="s">
        <v>116</v>
      </c>
      <c r="AK1174" t="str">
        <f t="shared" si="120"/>
        <v>Ryan Elizabeth</v>
      </c>
      <c r="AL1174" t="s">
        <v>6348</v>
      </c>
      <c r="AM1174" t="s">
        <v>108</v>
      </c>
      <c r="AN1174" t="s">
        <v>108</v>
      </c>
      <c r="AO1174" t="s">
        <v>108</v>
      </c>
      <c r="AP1174" t="s">
        <v>108</v>
      </c>
      <c r="AQ1174" t="s">
        <v>108</v>
      </c>
      <c r="AR1174" t="s">
        <v>108</v>
      </c>
      <c r="AS1174" t="s">
        <v>108</v>
      </c>
      <c r="AT1174" t="s">
        <v>108</v>
      </c>
      <c r="AU1174" t="s">
        <v>108</v>
      </c>
      <c r="AV1174" t="s">
        <v>108</v>
      </c>
      <c r="AW1174" t="s">
        <v>108</v>
      </c>
      <c r="AX1174" s="24">
        <f t="shared" si="118"/>
        <v>1</v>
      </c>
      <c r="AY1174" s="24" t="str">
        <f t="shared" si="118"/>
        <v/>
      </c>
      <c r="AZ1174" s="24" t="str">
        <f t="shared" si="122"/>
        <v/>
      </c>
      <c r="BA1174" s="24" t="str">
        <f t="shared" si="122"/>
        <v/>
      </c>
      <c r="BB1174" s="24" t="str">
        <f t="shared" si="122"/>
        <v/>
      </c>
      <c r="BC1174" s="24" t="str">
        <f t="shared" si="122"/>
        <v/>
      </c>
      <c r="BD1174" s="24" t="str">
        <f t="shared" si="122"/>
        <v/>
      </c>
      <c r="BE1174" s="24" t="str">
        <f t="shared" si="122"/>
        <v/>
      </c>
      <c r="BF1174" s="24" t="str">
        <f t="shared" si="122"/>
        <v/>
      </c>
      <c r="BG1174" s="24" t="str">
        <f t="shared" si="122"/>
        <v/>
      </c>
      <c r="BH1174" s="24" t="str">
        <f t="shared" si="121"/>
        <v/>
      </c>
      <c r="BI1174" s="24">
        <f t="shared" si="122"/>
        <v>1</v>
      </c>
      <c r="BJ1174" s="24" t="str">
        <f t="shared" si="123"/>
        <v/>
      </c>
    </row>
    <row r="1175" spans="1:62" ht="15" customHeight="1" x14ac:dyDescent="0.25">
      <c r="C1175" t="s">
        <v>1593</v>
      </c>
      <c r="G1175" t="s">
        <v>1594</v>
      </c>
      <c r="H1175" t="s">
        <v>1595</v>
      </c>
      <c r="J1175" t="s">
        <v>1596</v>
      </c>
      <c r="K1175" t="s">
        <v>780</v>
      </c>
      <c r="L1175" t="s">
        <v>781</v>
      </c>
      <c r="M1175" t="s">
        <v>108</v>
      </c>
      <c r="N1175" t="s">
        <v>1598</v>
      </c>
      <c r="O1175" t="s">
        <v>1599</v>
      </c>
      <c r="P1175" t="s">
        <v>111</v>
      </c>
      <c r="Q1175" t="str">
        <f>"14830"</f>
        <v>14830</v>
      </c>
      <c r="AC1175" t="s">
        <v>113</v>
      </c>
      <c r="AD1175" t="s">
        <v>108</v>
      </c>
      <c r="AE1175" t="s">
        <v>784</v>
      </c>
      <c r="AF1175" t="s">
        <v>149</v>
      </c>
      <c r="AG1175" t="s">
        <v>116</v>
      </c>
      <c r="AK1175" t="str">
        <f t="shared" si="120"/>
        <v/>
      </c>
      <c r="AL1175" t="s">
        <v>1593</v>
      </c>
      <c r="AM1175">
        <v>1</v>
      </c>
      <c r="AP1175">
        <v>1</v>
      </c>
      <c r="AQ1175">
        <v>1</v>
      </c>
      <c r="AR1175" t="s">
        <v>108</v>
      </c>
      <c r="AS1175" t="s">
        <v>108</v>
      </c>
      <c r="AT1175" t="s">
        <v>108</v>
      </c>
      <c r="AU1175" t="s">
        <v>108</v>
      </c>
      <c r="AV1175" t="s">
        <v>108</v>
      </c>
      <c r="AW1175" t="s">
        <v>108</v>
      </c>
      <c r="AX1175" s="24" t="str">
        <f t="shared" si="118"/>
        <v/>
      </c>
      <c r="AY1175" s="24" t="str">
        <f t="shared" si="118"/>
        <v/>
      </c>
      <c r="AZ1175" s="24" t="str">
        <f t="shared" si="122"/>
        <v/>
      </c>
      <c r="BA1175" s="24" t="str">
        <f t="shared" si="122"/>
        <v/>
      </c>
      <c r="BB1175" s="24" t="str">
        <f t="shared" si="122"/>
        <v/>
      </c>
      <c r="BC1175" s="24" t="str">
        <f t="shared" si="122"/>
        <v/>
      </c>
      <c r="BD1175" s="24" t="str">
        <f t="shared" si="122"/>
        <v/>
      </c>
      <c r="BE1175" s="24" t="str">
        <f t="shared" si="122"/>
        <v/>
      </c>
      <c r="BF1175" s="24" t="str">
        <f t="shared" si="122"/>
        <v/>
      </c>
      <c r="BG1175" s="24" t="str">
        <f t="shared" si="122"/>
        <v/>
      </c>
      <c r="BH1175" s="24">
        <f t="shared" si="121"/>
        <v>1</v>
      </c>
      <c r="BI1175" s="24" t="str">
        <f t="shared" si="122"/>
        <v/>
      </c>
      <c r="BJ1175" s="24" t="str">
        <f t="shared" si="123"/>
        <v/>
      </c>
    </row>
    <row r="1176" spans="1:62" ht="15" customHeight="1" x14ac:dyDescent="0.25">
      <c r="A1176" t="str">
        <f>"1447425673"</f>
        <v>1447425673</v>
      </c>
      <c r="B1176" t="str">
        <f>"03361231"</f>
        <v>03361231</v>
      </c>
      <c r="C1176" t="s">
        <v>5653</v>
      </c>
      <c r="D1176" t="s">
        <v>5654</v>
      </c>
      <c r="E1176" t="s">
        <v>5655</v>
      </c>
      <c r="L1176" t="s">
        <v>809</v>
      </c>
      <c r="M1176" t="s">
        <v>108</v>
      </c>
      <c r="R1176" t="s">
        <v>5653</v>
      </c>
      <c r="W1176" t="s">
        <v>5655</v>
      </c>
      <c r="X1176" t="s">
        <v>1009</v>
      </c>
      <c r="Y1176" t="s">
        <v>110</v>
      </c>
      <c r="Z1176" t="s">
        <v>111</v>
      </c>
      <c r="AA1176" t="str">
        <f>"13903-1617"</f>
        <v>13903-1617</v>
      </c>
      <c r="AB1176" t="s">
        <v>123</v>
      </c>
      <c r="AC1176" t="s">
        <v>113</v>
      </c>
      <c r="AD1176" t="s">
        <v>108</v>
      </c>
      <c r="AE1176" t="s">
        <v>114</v>
      </c>
      <c r="AF1176" t="s">
        <v>115</v>
      </c>
      <c r="AG1176" t="s">
        <v>116</v>
      </c>
      <c r="AK1176" t="str">
        <f t="shared" si="120"/>
        <v/>
      </c>
      <c r="AL1176" t="s">
        <v>5654</v>
      </c>
      <c r="AM1176">
        <v>0</v>
      </c>
      <c r="AN1176">
        <v>0</v>
      </c>
      <c r="AO1176">
        <v>0</v>
      </c>
      <c r="AP1176">
        <v>0</v>
      </c>
      <c r="AQ1176">
        <v>0</v>
      </c>
      <c r="AR1176">
        <v>0</v>
      </c>
      <c r="AS1176">
        <v>0</v>
      </c>
      <c r="AT1176">
        <v>0</v>
      </c>
      <c r="AU1176">
        <v>0</v>
      </c>
      <c r="AV1176">
        <v>0</v>
      </c>
      <c r="AW1176">
        <v>0</v>
      </c>
      <c r="AX1176" s="24" t="str">
        <f t="shared" si="118"/>
        <v/>
      </c>
      <c r="AY1176" s="24">
        <f t="shared" si="118"/>
        <v>1</v>
      </c>
      <c r="AZ1176" s="24" t="str">
        <f t="shared" si="122"/>
        <v/>
      </c>
      <c r="BA1176" s="24" t="str">
        <f t="shared" si="122"/>
        <v/>
      </c>
      <c r="BB1176" s="24" t="str">
        <f t="shared" si="122"/>
        <v/>
      </c>
      <c r="BC1176" s="24">
        <f t="shared" si="122"/>
        <v>1</v>
      </c>
      <c r="BD1176" s="24" t="str">
        <f t="shared" si="122"/>
        <v/>
      </c>
      <c r="BE1176" s="24" t="str">
        <f t="shared" si="122"/>
        <v/>
      </c>
      <c r="BF1176" s="24" t="str">
        <f t="shared" si="122"/>
        <v/>
      </c>
      <c r="BG1176" s="24" t="str">
        <f t="shared" si="122"/>
        <v/>
      </c>
      <c r="BH1176" s="24" t="str">
        <f t="shared" si="121"/>
        <v/>
      </c>
      <c r="BI1176" s="24" t="str">
        <f t="shared" si="122"/>
        <v/>
      </c>
      <c r="BJ1176" s="24" t="str">
        <f t="shared" si="123"/>
        <v/>
      </c>
    </row>
    <row r="1177" spans="1:62" ht="15" customHeight="1" x14ac:dyDescent="0.25">
      <c r="A1177" t="str">
        <f>"1013036342"</f>
        <v>1013036342</v>
      </c>
      <c r="B1177" t="str">
        <f>"01857441"</f>
        <v>01857441</v>
      </c>
      <c r="C1177" t="s">
        <v>5656</v>
      </c>
      <c r="D1177" t="s">
        <v>5657</v>
      </c>
      <c r="E1177" t="s">
        <v>5658</v>
      </c>
      <c r="L1177" t="s">
        <v>442</v>
      </c>
      <c r="M1177" t="s">
        <v>108</v>
      </c>
      <c r="R1177" t="s">
        <v>5656</v>
      </c>
      <c r="W1177" t="s">
        <v>5658</v>
      </c>
      <c r="X1177" t="s">
        <v>327</v>
      </c>
      <c r="Y1177" t="s">
        <v>122</v>
      </c>
      <c r="Z1177" t="s">
        <v>111</v>
      </c>
      <c r="AA1177" t="str">
        <f>"13815-1240"</f>
        <v>13815-1240</v>
      </c>
      <c r="AB1177" t="s">
        <v>123</v>
      </c>
      <c r="AC1177" t="s">
        <v>113</v>
      </c>
      <c r="AD1177" t="s">
        <v>108</v>
      </c>
      <c r="AE1177" t="s">
        <v>114</v>
      </c>
      <c r="AF1177" t="s">
        <v>124</v>
      </c>
      <c r="AG1177" t="s">
        <v>116</v>
      </c>
      <c r="AK1177" t="str">
        <f t="shared" si="120"/>
        <v/>
      </c>
      <c r="AL1177" t="s">
        <v>5657</v>
      </c>
      <c r="AM1177">
        <v>0</v>
      </c>
      <c r="AN1177">
        <v>0</v>
      </c>
      <c r="AO1177">
        <v>0</v>
      </c>
      <c r="AP1177">
        <v>0</v>
      </c>
      <c r="AQ1177">
        <v>0</v>
      </c>
      <c r="AR1177">
        <v>0</v>
      </c>
      <c r="AS1177">
        <v>0</v>
      </c>
      <c r="AT1177">
        <v>0</v>
      </c>
      <c r="AU1177">
        <v>0</v>
      </c>
      <c r="AV1177">
        <v>0</v>
      </c>
      <c r="AW1177">
        <v>0</v>
      </c>
      <c r="AX1177" s="24">
        <f t="shared" si="118"/>
        <v>1</v>
      </c>
      <c r="AY1177" s="24" t="str">
        <f t="shared" si="118"/>
        <v/>
      </c>
      <c r="AZ1177" s="24" t="str">
        <f t="shared" si="122"/>
        <v/>
      </c>
      <c r="BA1177" s="24" t="str">
        <f t="shared" si="122"/>
        <v/>
      </c>
      <c r="BB1177" s="24" t="str">
        <f t="shared" si="122"/>
        <v/>
      </c>
      <c r="BC1177" s="24" t="str">
        <f t="shared" si="122"/>
        <v/>
      </c>
      <c r="BD1177" s="24" t="str">
        <f t="shared" si="122"/>
        <v/>
      </c>
      <c r="BE1177" s="24" t="str">
        <f t="shared" si="122"/>
        <v/>
      </c>
      <c r="BF1177" s="24" t="str">
        <f t="shared" si="122"/>
        <v/>
      </c>
      <c r="BG1177" s="24" t="str">
        <f t="shared" si="122"/>
        <v/>
      </c>
      <c r="BH1177" s="24" t="str">
        <f t="shared" si="121"/>
        <v/>
      </c>
      <c r="BI1177" s="24" t="str">
        <f t="shared" si="122"/>
        <v/>
      </c>
      <c r="BJ1177" s="24" t="str">
        <f t="shared" si="123"/>
        <v/>
      </c>
    </row>
    <row r="1178" spans="1:62" ht="15" customHeight="1" x14ac:dyDescent="0.25">
      <c r="A1178" t="str">
        <f>"1265431993"</f>
        <v>1265431993</v>
      </c>
      <c r="B1178" t="str">
        <f>"01561857"</f>
        <v>01561857</v>
      </c>
      <c r="C1178" t="s">
        <v>5659</v>
      </c>
      <c r="D1178" t="s">
        <v>5660</v>
      </c>
      <c r="E1178" t="s">
        <v>5661</v>
      </c>
      <c r="L1178" t="s">
        <v>138</v>
      </c>
      <c r="M1178" t="s">
        <v>108</v>
      </c>
      <c r="R1178" t="s">
        <v>5659</v>
      </c>
      <c r="W1178" t="s">
        <v>5661</v>
      </c>
      <c r="X1178" t="s">
        <v>121</v>
      </c>
      <c r="Y1178" t="s">
        <v>122</v>
      </c>
      <c r="Z1178" t="s">
        <v>111</v>
      </c>
      <c r="AA1178" t="str">
        <f>"13815-1019"</f>
        <v>13815-1019</v>
      </c>
      <c r="AB1178" t="s">
        <v>123</v>
      </c>
      <c r="AC1178" t="s">
        <v>113</v>
      </c>
      <c r="AD1178" t="s">
        <v>108</v>
      </c>
      <c r="AE1178" t="s">
        <v>114</v>
      </c>
      <c r="AF1178" t="s">
        <v>124</v>
      </c>
      <c r="AG1178" t="s">
        <v>116</v>
      </c>
      <c r="AK1178" t="str">
        <f t="shared" si="120"/>
        <v/>
      </c>
      <c r="AL1178" t="s">
        <v>5660</v>
      </c>
      <c r="AM1178">
        <v>1</v>
      </c>
      <c r="AN1178">
        <v>1</v>
      </c>
      <c r="AO1178">
        <v>0</v>
      </c>
      <c r="AP1178">
        <v>1</v>
      </c>
      <c r="AQ1178">
        <v>1</v>
      </c>
      <c r="AR1178">
        <v>0</v>
      </c>
      <c r="AS1178">
        <v>0</v>
      </c>
      <c r="AT1178">
        <v>0</v>
      </c>
      <c r="AU1178">
        <v>0</v>
      </c>
      <c r="AV1178">
        <v>0</v>
      </c>
      <c r="AW1178">
        <v>0</v>
      </c>
      <c r="AX1178" s="24" t="str">
        <f t="shared" si="118"/>
        <v/>
      </c>
      <c r="AY1178" s="24">
        <f t="shared" si="118"/>
        <v>1</v>
      </c>
      <c r="AZ1178" s="24" t="str">
        <f t="shared" si="122"/>
        <v/>
      </c>
      <c r="BA1178" s="24" t="str">
        <f t="shared" si="122"/>
        <v/>
      </c>
      <c r="BB1178" s="24" t="str">
        <f t="shared" si="122"/>
        <v/>
      </c>
      <c r="BC1178" s="24" t="str">
        <f t="shared" si="122"/>
        <v/>
      </c>
      <c r="BD1178" s="24" t="str">
        <f t="shared" si="122"/>
        <v/>
      </c>
      <c r="BE1178" s="24" t="str">
        <f t="shared" si="122"/>
        <v/>
      </c>
      <c r="BF1178" s="24" t="str">
        <f t="shared" si="122"/>
        <v/>
      </c>
      <c r="BG1178" s="24" t="str">
        <f t="shared" si="122"/>
        <v/>
      </c>
      <c r="BH1178" s="24" t="str">
        <f t="shared" si="121"/>
        <v/>
      </c>
      <c r="BI1178" s="24">
        <f t="shared" si="122"/>
        <v>1</v>
      </c>
      <c r="BJ1178" s="24" t="str">
        <f t="shared" si="123"/>
        <v/>
      </c>
    </row>
    <row r="1179" spans="1:62" ht="15" customHeight="1" x14ac:dyDescent="0.25">
      <c r="A1179" t="str">
        <f>"1700990165"</f>
        <v>1700990165</v>
      </c>
      <c r="B1179" t="str">
        <f>"01209883"</f>
        <v>01209883</v>
      </c>
      <c r="C1179" t="s">
        <v>6766</v>
      </c>
      <c r="D1179" t="s">
        <v>7036</v>
      </c>
      <c r="E1179" t="s">
        <v>7037</v>
      </c>
      <c r="G1179" t="s">
        <v>6330</v>
      </c>
      <c r="H1179" t="s">
        <v>6331</v>
      </c>
      <c r="J1179" t="s">
        <v>6332</v>
      </c>
      <c r="L1179" t="s">
        <v>120</v>
      </c>
      <c r="M1179" t="s">
        <v>139</v>
      </c>
      <c r="R1179" t="s">
        <v>6766</v>
      </c>
      <c r="W1179" t="s">
        <v>6891</v>
      </c>
      <c r="X1179" t="s">
        <v>6892</v>
      </c>
      <c r="Y1179" t="s">
        <v>865</v>
      </c>
      <c r="Z1179" t="s">
        <v>111</v>
      </c>
      <c r="AA1179" t="str">
        <f>"11201-5514"</f>
        <v>11201-5514</v>
      </c>
      <c r="AB1179" t="s">
        <v>123</v>
      </c>
      <c r="AC1179" t="s">
        <v>113</v>
      </c>
      <c r="AD1179" t="s">
        <v>108</v>
      </c>
      <c r="AE1179" t="s">
        <v>114</v>
      </c>
      <c r="AF1179" t="s">
        <v>115</v>
      </c>
      <c r="AG1179" t="s">
        <v>116</v>
      </c>
      <c r="AK1179" t="str">
        <f t="shared" si="120"/>
        <v>SAEED AZMAT DR.</v>
      </c>
      <c r="AL1179" t="s">
        <v>7036</v>
      </c>
      <c r="AM1179" t="s">
        <v>108</v>
      </c>
      <c r="AN1179" t="s">
        <v>108</v>
      </c>
      <c r="AO1179" t="s">
        <v>108</v>
      </c>
      <c r="AP1179" t="s">
        <v>108</v>
      </c>
      <c r="AQ1179" t="s">
        <v>108</v>
      </c>
      <c r="AR1179" t="s">
        <v>108</v>
      </c>
      <c r="AS1179" t="s">
        <v>108</v>
      </c>
      <c r="AT1179" t="s">
        <v>108</v>
      </c>
      <c r="AU1179" t="s">
        <v>108</v>
      </c>
      <c r="AV1179" t="s">
        <v>108</v>
      </c>
      <c r="AW1179" t="s">
        <v>108</v>
      </c>
      <c r="AX1179" s="24">
        <f t="shared" si="118"/>
        <v>1</v>
      </c>
      <c r="AY1179" s="24" t="str">
        <f t="shared" si="118"/>
        <v/>
      </c>
      <c r="AZ1179" s="24" t="str">
        <f t="shared" si="122"/>
        <v/>
      </c>
      <c r="BA1179" s="24" t="str">
        <f t="shared" si="122"/>
        <v/>
      </c>
      <c r="BB1179" s="24" t="str">
        <f t="shared" si="122"/>
        <v/>
      </c>
      <c r="BC1179" s="24" t="str">
        <f t="shared" si="122"/>
        <v/>
      </c>
      <c r="BD1179" s="24" t="str">
        <f t="shared" si="122"/>
        <v/>
      </c>
      <c r="BE1179" s="24" t="str">
        <f t="shared" si="122"/>
        <v/>
      </c>
      <c r="BF1179" s="24" t="str">
        <f t="shared" si="122"/>
        <v/>
      </c>
      <c r="BG1179" s="24" t="str">
        <f t="shared" si="122"/>
        <v/>
      </c>
      <c r="BH1179" s="24" t="str">
        <f t="shared" si="121"/>
        <v/>
      </c>
      <c r="BI1179" s="24">
        <f t="shared" si="122"/>
        <v>1</v>
      </c>
      <c r="BJ1179" s="24" t="str">
        <f t="shared" si="123"/>
        <v/>
      </c>
    </row>
    <row r="1180" spans="1:62" ht="15" customHeight="1" x14ac:dyDescent="0.25">
      <c r="A1180" t="str">
        <f>"1679507040"</f>
        <v>1679507040</v>
      </c>
      <c r="B1180" t="str">
        <f>"00904238"</f>
        <v>00904238</v>
      </c>
      <c r="C1180" t="s">
        <v>6767</v>
      </c>
      <c r="D1180" t="s">
        <v>7038</v>
      </c>
      <c r="E1180" t="s">
        <v>7039</v>
      </c>
      <c r="G1180" t="s">
        <v>1352</v>
      </c>
      <c r="H1180" t="s">
        <v>1301</v>
      </c>
      <c r="J1180" t="s">
        <v>1354</v>
      </c>
      <c r="L1180" t="s">
        <v>120</v>
      </c>
      <c r="M1180" t="s">
        <v>108</v>
      </c>
      <c r="R1180" t="s">
        <v>6767</v>
      </c>
      <c r="W1180" t="s">
        <v>6893</v>
      </c>
      <c r="X1180" t="s">
        <v>6894</v>
      </c>
      <c r="Y1180" t="s">
        <v>239</v>
      </c>
      <c r="Z1180" t="s">
        <v>111</v>
      </c>
      <c r="AA1180" t="str">
        <f>"13045-1409"</f>
        <v>13045-1409</v>
      </c>
      <c r="AB1180" t="s">
        <v>123</v>
      </c>
      <c r="AC1180" t="s">
        <v>113</v>
      </c>
      <c r="AD1180" t="s">
        <v>108</v>
      </c>
      <c r="AE1180" t="s">
        <v>114</v>
      </c>
      <c r="AF1180" t="s">
        <v>142</v>
      </c>
      <c r="AG1180" t="s">
        <v>116</v>
      </c>
      <c r="AK1180" t="str">
        <f t="shared" si="120"/>
        <v>SALMAN NADA</v>
      </c>
      <c r="AL1180" t="s">
        <v>7038</v>
      </c>
      <c r="AM1180" t="s">
        <v>108</v>
      </c>
      <c r="AN1180" t="s">
        <v>108</v>
      </c>
      <c r="AO1180" t="s">
        <v>108</v>
      </c>
      <c r="AP1180" t="s">
        <v>108</v>
      </c>
      <c r="AQ1180" t="s">
        <v>108</v>
      </c>
      <c r="AR1180" t="s">
        <v>108</v>
      </c>
      <c r="AS1180" t="s">
        <v>108</v>
      </c>
      <c r="AT1180" t="s">
        <v>108</v>
      </c>
      <c r="AU1180" t="s">
        <v>108</v>
      </c>
      <c r="AV1180" t="s">
        <v>108</v>
      </c>
      <c r="AW1180" t="s">
        <v>108</v>
      </c>
      <c r="AX1180" s="24">
        <f t="shared" si="118"/>
        <v>1</v>
      </c>
      <c r="AY1180" s="24" t="str">
        <f t="shared" si="118"/>
        <v/>
      </c>
      <c r="AZ1180" s="24" t="str">
        <f t="shared" si="122"/>
        <v/>
      </c>
      <c r="BA1180" s="24" t="str">
        <f t="shared" si="122"/>
        <v/>
      </c>
      <c r="BB1180" s="24" t="str">
        <f t="shared" si="122"/>
        <v/>
      </c>
      <c r="BC1180" s="24" t="str">
        <f t="shared" si="122"/>
        <v/>
      </c>
      <c r="BD1180" s="24" t="str">
        <f t="shared" si="122"/>
        <v/>
      </c>
      <c r="BE1180" s="24" t="str">
        <f t="shared" si="122"/>
        <v/>
      </c>
      <c r="BF1180" s="24" t="str">
        <f t="shared" si="122"/>
        <v/>
      </c>
      <c r="BG1180" s="24" t="str">
        <f t="shared" si="122"/>
        <v/>
      </c>
      <c r="BH1180" s="24" t="str">
        <f t="shared" si="121"/>
        <v/>
      </c>
      <c r="BI1180" s="24">
        <f t="shared" si="122"/>
        <v>1</v>
      </c>
      <c r="BJ1180" s="24" t="str">
        <f t="shared" si="123"/>
        <v/>
      </c>
    </row>
    <row r="1181" spans="1:62" ht="15" customHeight="1" x14ac:dyDescent="0.25">
      <c r="A1181" t="str">
        <f>"1871563577"</f>
        <v>1871563577</v>
      </c>
      <c r="B1181" t="str">
        <f>"00756510"</f>
        <v>00756510</v>
      </c>
      <c r="C1181" t="s">
        <v>4687</v>
      </c>
      <c r="D1181" t="s">
        <v>4688</v>
      </c>
      <c r="E1181" t="s">
        <v>4689</v>
      </c>
      <c r="G1181" t="s">
        <v>4690</v>
      </c>
      <c r="H1181" t="s">
        <v>4691</v>
      </c>
      <c r="J1181" t="s">
        <v>4692</v>
      </c>
      <c r="L1181" t="s">
        <v>138</v>
      </c>
      <c r="M1181" t="s">
        <v>108</v>
      </c>
      <c r="R1181" t="s">
        <v>4693</v>
      </c>
      <c r="W1181" t="s">
        <v>4689</v>
      </c>
      <c r="X1181" t="s">
        <v>1166</v>
      </c>
      <c r="Y1181" t="s">
        <v>293</v>
      </c>
      <c r="Z1181" t="s">
        <v>111</v>
      </c>
      <c r="AA1181" t="str">
        <f>"14850-1397"</f>
        <v>14850-1397</v>
      </c>
      <c r="AB1181" t="s">
        <v>123</v>
      </c>
      <c r="AC1181" t="s">
        <v>113</v>
      </c>
      <c r="AD1181" t="s">
        <v>108</v>
      </c>
      <c r="AE1181" t="s">
        <v>114</v>
      </c>
      <c r="AF1181" t="s">
        <v>142</v>
      </c>
      <c r="AG1181" t="s">
        <v>116</v>
      </c>
      <c r="AK1181" t="str">
        <f t="shared" si="120"/>
        <v/>
      </c>
      <c r="AL1181" t="s">
        <v>4688</v>
      </c>
      <c r="AM1181">
        <v>1</v>
      </c>
      <c r="AN1181">
        <v>1</v>
      </c>
      <c r="AO1181">
        <v>0</v>
      </c>
      <c r="AP1181">
        <v>0</v>
      </c>
      <c r="AQ1181">
        <v>0</v>
      </c>
      <c r="AR1181">
        <v>0</v>
      </c>
      <c r="AS1181">
        <v>0</v>
      </c>
      <c r="AT1181">
        <v>0</v>
      </c>
      <c r="AU1181">
        <v>0</v>
      </c>
      <c r="AV1181">
        <v>0</v>
      </c>
      <c r="AW1181">
        <v>0</v>
      </c>
      <c r="AX1181" s="24" t="str">
        <f t="shared" si="118"/>
        <v/>
      </c>
      <c r="AY1181" s="24">
        <f t="shared" si="118"/>
        <v>1</v>
      </c>
      <c r="AZ1181" s="24" t="str">
        <f t="shared" si="122"/>
        <v/>
      </c>
      <c r="BA1181" s="24" t="str">
        <f t="shared" si="122"/>
        <v/>
      </c>
      <c r="BB1181" s="24" t="str">
        <f t="shared" si="122"/>
        <v/>
      </c>
      <c r="BC1181" s="24" t="str">
        <f t="shared" si="122"/>
        <v/>
      </c>
      <c r="BD1181" s="24" t="str">
        <f t="shared" si="122"/>
        <v/>
      </c>
      <c r="BE1181" s="24" t="str">
        <f t="shared" si="122"/>
        <v/>
      </c>
      <c r="BF1181" s="24" t="str">
        <f t="shared" si="122"/>
        <v/>
      </c>
      <c r="BG1181" s="24" t="str">
        <f t="shared" si="122"/>
        <v/>
      </c>
      <c r="BH1181" s="24" t="str">
        <f t="shared" si="121"/>
        <v/>
      </c>
      <c r="BI1181" s="24">
        <f t="shared" si="122"/>
        <v>1</v>
      </c>
      <c r="BJ1181" s="24" t="str">
        <f t="shared" si="123"/>
        <v/>
      </c>
    </row>
    <row r="1182" spans="1:62" ht="15" customHeight="1" x14ac:dyDescent="0.25">
      <c r="A1182" t="str">
        <f>"1710951249"</f>
        <v>1710951249</v>
      </c>
      <c r="B1182" t="str">
        <f>"02581473"</f>
        <v>02581473</v>
      </c>
      <c r="C1182" t="s">
        <v>708</v>
      </c>
      <c r="D1182" t="s">
        <v>709</v>
      </c>
      <c r="E1182" t="s">
        <v>708</v>
      </c>
      <c r="G1182" t="s">
        <v>699</v>
      </c>
      <c r="H1182" t="s">
        <v>700</v>
      </c>
      <c r="J1182" t="s">
        <v>701</v>
      </c>
      <c r="L1182" t="s">
        <v>120</v>
      </c>
      <c r="M1182" t="s">
        <v>108</v>
      </c>
      <c r="R1182" t="s">
        <v>710</v>
      </c>
      <c r="W1182" t="s">
        <v>708</v>
      </c>
      <c r="X1182" t="s">
        <v>711</v>
      </c>
      <c r="Y1182" t="s">
        <v>148</v>
      </c>
      <c r="Z1182" t="s">
        <v>111</v>
      </c>
      <c r="AA1182" t="str">
        <f>"14845-8533"</f>
        <v>14845-8533</v>
      </c>
      <c r="AB1182" t="s">
        <v>123</v>
      </c>
      <c r="AC1182" t="s">
        <v>113</v>
      </c>
      <c r="AD1182" t="s">
        <v>108</v>
      </c>
      <c r="AE1182" t="s">
        <v>114</v>
      </c>
      <c r="AF1182" t="s">
        <v>149</v>
      </c>
      <c r="AG1182" t="s">
        <v>116</v>
      </c>
      <c r="AK1182" t="str">
        <f t="shared" si="120"/>
        <v/>
      </c>
      <c r="AL1182" t="s">
        <v>709</v>
      </c>
      <c r="AM1182">
        <v>1</v>
      </c>
      <c r="AN1182">
        <v>1</v>
      </c>
      <c r="AO1182">
        <v>0</v>
      </c>
      <c r="AP1182">
        <v>0</v>
      </c>
      <c r="AQ1182">
        <v>0</v>
      </c>
      <c r="AR1182">
        <v>0</v>
      </c>
      <c r="AS1182">
        <v>0</v>
      </c>
      <c r="AT1182">
        <v>1</v>
      </c>
      <c r="AU1182">
        <v>1</v>
      </c>
      <c r="AV1182">
        <v>1</v>
      </c>
      <c r="AW1182">
        <v>0</v>
      </c>
      <c r="AX1182" s="24">
        <f t="shared" si="118"/>
        <v>1</v>
      </c>
      <c r="AY1182" s="24" t="str">
        <f t="shared" si="118"/>
        <v/>
      </c>
      <c r="AZ1182" s="24" t="str">
        <f t="shared" si="122"/>
        <v/>
      </c>
      <c r="BA1182" s="24" t="str">
        <f t="shared" si="122"/>
        <v/>
      </c>
      <c r="BB1182" s="24" t="str">
        <f t="shared" si="122"/>
        <v/>
      </c>
      <c r="BC1182" s="24" t="str">
        <f t="shared" si="122"/>
        <v/>
      </c>
      <c r="BD1182" s="24" t="str">
        <f t="shared" si="122"/>
        <v/>
      </c>
      <c r="BE1182" s="24" t="str">
        <f t="shared" si="122"/>
        <v/>
      </c>
      <c r="BF1182" s="24" t="str">
        <f t="shared" si="122"/>
        <v/>
      </c>
      <c r="BG1182" s="24" t="str">
        <f t="shared" si="122"/>
        <v/>
      </c>
      <c r="BH1182" s="24" t="str">
        <f t="shared" si="121"/>
        <v/>
      </c>
      <c r="BI1182" s="24">
        <f t="shared" si="122"/>
        <v>1</v>
      </c>
      <c r="BJ1182" s="24" t="str">
        <f t="shared" si="123"/>
        <v/>
      </c>
    </row>
    <row r="1183" spans="1:62" ht="15" customHeight="1" x14ac:dyDescent="0.25">
      <c r="A1183" t="str">
        <f>"1053385583"</f>
        <v>1053385583</v>
      </c>
      <c r="B1183" t="str">
        <f>"01575699"</f>
        <v>01575699</v>
      </c>
      <c r="C1183" t="s">
        <v>2283</v>
      </c>
      <c r="D1183" t="s">
        <v>2284</v>
      </c>
      <c r="E1183" t="s">
        <v>2285</v>
      </c>
      <c r="G1183" t="s">
        <v>177</v>
      </c>
      <c r="H1183" t="s">
        <v>178</v>
      </c>
      <c r="J1183" t="s">
        <v>179</v>
      </c>
      <c r="L1183" t="s">
        <v>138</v>
      </c>
      <c r="M1183" t="s">
        <v>108</v>
      </c>
      <c r="R1183" t="s">
        <v>2283</v>
      </c>
      <c r="W1183" t="s">
        <v>2286</v>
      </c>
      <c r="X1183" t="s">
        <v>196</v>
      </c>
      <c r="Y1183" t="s">
        <v>181</v>
      </c>
      <c r="Z1183" t="s">
        <v>182</v>
      </c>
      <c r="AA1183" t="str">
        <f>"18840-1625"</f>
        <v>18840-1625</v>
      </c>
      <c r="AB1183" t="s">
        <v>123</v>
      </c>
      <c r="AC1183" t="s">
        <v>113</v>
      </c>
      <c r="AD1183" t="s">
        <v>108</v>
      </c>
      <c r="AE1183" t="s">
        <v>114</v>
      </c>
      <c r="AF1183" t="s">
        <v>115</v>
      </c>
      <c r="AG1183" t="s">
        <v>116</v>
      </c>
      <c r="AK1183" t="str">
        <f t="shared" si="120"/>
        <v/>
      </c>
      <c r="AL1183" t="s">
        <v>2284</v>
      </c>
      <c r="AM1183">
        <v>1</v>
      </c>
      <c r="AN1183">
        <v>1</v>
      </c>
      <c r="AO1183">
        <v>0</v>
      </c>
      <c r="AP1183">
        <v>0</v>
      </c>
      <c r="AQ1183">
        <v>0</v>
      </c>
      <c r="AR1183">
        <v>0</v>
      </c>
      <c r="AS1183">
        <v>0</v>
      </c>
      <c r="AT1183">
        <v>0</v>
      </c>
      <c r="AU1183">
        <v>0</v>
      </c>
      <c r="AV1183">
        <v>1</v>
      </c>
      <c r="AW1183">
        <v>0</v>
      </c>
      <c r="AX1183" s="24" t="str">
        <f t="shared" si="118"/>
        <v/>
      </c>
      <c r="AY1183" s="24">
        <f t="shared" si="118"/>
        <v>1</v>
      </c>
      <c r="AZ1183" s="24" t="str">
        <f t="shared" si="122"/>
        <v/>
      </c>
      <c r="BA1183" s="24" t="str">
        <f t="shared" si="122"/>
        <v/>
      </c>
      <c r="BB1183" s="24" t="str">
        <f t="shared" si="122"/>
        <v/>
      </c>
      <c r="BC1183" s="24" t="str">
        <f t="shared" si="122"/>
        <v/>
      </c>
      <c r="BD1183" s="24" t="str">
        <f t="shared" si="122"/>
        <v/>
      </c>
      <c r="BE1183" s="24" t="str">
        <f t="shared" si="122"/>
        <v/>
      </c>
      <c r="BF1183" s="24" t="str">
        <f t="shared" si="122"/>
        <v/>
      </c>
      <c r="BG1183" s="24" t="str">
        <f t="shared" si="122"/>
        <v/>
      </c>
      <c r="BH1183" s="24" t="str">
        <f t="shared" si="121"/>
        <v/>
      </c>
      <c r="BI1183" s="24">
        <f t="shared" si="122"/>
        <v>1</v>
      </c>
      <c r="BJ1183" s="24" t="str">
        <f t="shared" si="123"/>
        <v/>
      </c>
    </row>
    <row r="1184" spans="1:62" ht="15" customHeight="1" x14ac:dyDescent="0.25">
      <c r="A1184" t="str">
        <f>"1619964350"</f>
        <v>1619964350</v>
      </c>
      <c r="B1184" t="str">
        <f>"02149071"</f>
        <v>02149071</v>
      </c>
      <c r="C1184" t="s">
        <v>5662</v>
      </c>
      <c r="D1184" t="s">
        <v>5663</v>
      </c>
      <c r="E1184" t="s">
        <v>5662</v>
      </c>
      <c r="L1184" t="s">
        <v>120</v>
      </c>
      <c r="M1184" t="s">
        <v>108</v>
      </c>
      <c r="W1184" t="s">
        <v>5662</v>
      </c>
      <c r="X1184" t="s">
        <v>128</v>
      </c>
      <c r="Y1184" t="s">
        <v>129</v>
      </c>
      <c r="Z1184" t="s">
        <v>111</v>
      </c>
      <c r="AA1184" t="str">
        <f>"13790-2544"</f>
        <v>13790-2544</v>
      </c>
      <c r="AB1184" t="s">
        <v>123</v>
      </c>
      <c r="AC1184" t="s">
        <v>113</v>
      </c>
      <c r="AD1184" t="s">
        <v>108</v>
      </c>
      <c r="AE1184" t="s">
        <v>114</v>
      </c>
      <c r="AF1184" t="s">
        <v>115</v>
      </c>
      <c r="AG1184" t="s">
        <v>116</v>
      </c>
      <c r="AK1184" t="str">
        <f t="shared" si="120"/>
        <v/>
      </c>
      <c r="AL1184" t="s">
        <v>5663</v>
      </c>
      <c r="AM1184">
        <v>0</v>
      </c>
      <c r="AN1184">
        <v>0</v>
      </c>
      <c r="AO1184">
        <v>0</v>
      </c>
      <c r="AP1184">
        <v>0</v>
      </c>
      <c r="AQ1184">
        <v>0</v>
      </c>
      <c r="AR1184">
        <v>0</v>
      </c>
      <c r="AS1184">
        <v>0</v>
      </c>
      <c r="AT1184">
        <v>0</v>
      </c>
      <c r="AU1184">
        <v>0</v>
      </c>
      <c r="AV1184">
        <v>0</v>
      </c>
      <c r="AW1184">
        <v>0</v>
      </c>
      <c r="AX1184" s="24">
        <f t="shared" si="118"/>
        <v>1</v>
      </c>
      <c r="AY1184" s="24" t="str">
        <f t="shared" si="118"/>
        <v/>
      </c>
      <c r="AZ1184" s="24" t="str">
        <f t="shared" si="122"/>
        <v/>
      </c>
      <c r="BA1184" s="24" t="str">
        <f t="shared" si="122"/>
        <v/>
      </c>
      <c r="BB1184" s="24" t="str">
        <f t="shared" si="122"/>
        <v/>
      </c>
      <c r="BC1184" s="24" t="str">
        <f t="shared" si="122"/>
        <v/>
      </c>
      <c r="BD1184" s="24" t="str">
        <f t="shared" si="122"/>
        <v/>
      </c>
      <c r="BE1184" s="24" t="str">
        <f t="shared" si="122"/>
        <v/>
      </c>
      <c r="BF1184" s="24" t="str">
        <f t="shared" si="122"/>
        <v/>
      </c>
      <c r="BG1184" s="24" t="str">
        <f t="shared" si="122"/>
        <v/>
      </c>
      <c r="BH1184" s="24" t="str">
        <f t="shared" si="121"/>
        <v/>
      </c>
      <c r="BI1184" s="24">
        <f t="shared" si="122"/>
        <v>1</v>
      </c>
      <c r="BJ1184" s="24" t="str">
        <f t="shared" si="123"/>
        <v/>
      </c>
    </row>
    <row r="1185" spans="1:62" ht="15" customHeight="1" x14ac:dyDescent="0.25">
      <c r="A1185" t="str">
        <f>"1376513085"</f>
        <v>1376513085</v>
      </c>
      <c r="B1185" t="str">
        <f>"01682920"</f>
        <v>01682920</v>
      </c>
      <c r="C1185" t="s">
        <v>4694</v>
      </c>
      <c r="D1185" t="s">
        <v>4695</v>
      </c>
      <c r="E1185" t="s">
        <v>4696</v>
      </c>
      <c r="G1185" t="s">
        <v>4690</v>
      </c>
      <c r="H1185" t="s">
        <v>4691</v>
      </c>
      <c r="J1185" t="s">
        <v>4697</v>
      </c>
      <c r="L1185" t="s">
        <v>138</v>
      </c>
      <c r="M1185" t="s">
        <v>108</v>
      </c>
      <c r="R1185" t="s">
        <v>4698</v>
      </c>
      <c r="W1185" t="s">
        <v>4696</v>
      </c>
      <c r="X1185" t="s">
        <v>4699</v>
      </c>
      <c r="Y1185" t="s">
        <v>293</v>
      </c>
      <c r="Z1185" t="s">
        <v>111</v>
      </c>
      <c r="AA1185" t="str">
        <f>"14850-1397"</f>
        <v>14850-1397</v>
      </c>
      <c r="AB1185" t="s">
        <v>123</v>
      </c>
      <c r="AC1185" t="s">
        <v>113</v>
      </c>
      <c r="AD1185" t="s">
        <v>108</v>
      </c>
      <c r="AE1185" t="s">
        <v>114</v>
      </c>
      <c r="AF1185" t="s">
        <v>142</v>
      </c>
      <c r="AG1185" t="s">
        <v>116</v>
      </c>
      <c r="AK1185" t="str">
        <f t="shared" si="120"/>
        <v/>
      </c>
      <c r="AL1185" t="s">
        <v>4695</v>
      </c>
      <c r="AM1185">
        <v>1</v>
      </c>
      <c r="AN1185">
        <v>1</v>
      </c>
      <c r="AO1185">
        <v>0</v>
      </c>
      <c r="AP1185">
        <v>0</v>
      </c>
      <c r="AQ1185">
        <v>0</v>
      </c>
      <c r="AR1185">
        <v>0</v>
      </c>
      <c r="AS1185">
        <v>0</v>
      </c>
      <c r="AT1185">
        <v>0</v>
      </c>
      <c r="AU1185">
        <v>0</v>
      </c>
      <c r="AV1185">
        <v>0</v>
      </c>
      <c r="AW1185">
        <v>0</v>
      </c>
      <c r="AX1185" s="24" t="str">
        <f t="shared" si="118"/>
        <v/>
      </c>
      <c r="AY1185" s="24">
        <f t="shared" si="118"/>
        <v>1</v>
      </c>
      <c r="AZ1185" s="24" t="str">
        <f t="shared" si="122"/>
        <v/>
      </c>
      <c r="BA1185" s="24" t="str">
        <f t="shared" si="122"/>
        <v/>
      </c>
      <c r="BB1185" s="24" t="str">
        <f t="shared" si="122"/>
        <v/>
      </c>
      <c r="BC1185" s="24" t="str">
        <f t="shared" si="122"/>
        <v/>
      </c>
      <c r="BD1185" s="24" t="str">
        <f t="shared" si="122"/>
        <v/>
      </c>
      <c r="BE1185" s="24" t="str">
        <f t="shared" si="122"/>
        <v/>
      </c>
      <c r="BF1185" s="24" t="str">
        <f t="shared" si="122"/>
        <v/>
      </c>
      <c r="BG1185" s="24" t="str">
        <f t="shared" si="122"/>
        <v/>
      </c>
      <c r="BH1185" s="24" t="str">
        <f t="shared" si="121"/>
        <v/>
      </c>
      <c r="BI1185" s="24">
        <f t="shared" si="122"/>
        <v>1</v>
      </c>
      <c r="BJ1185" s="24" t="str">
        <f t="shared" si="123"/>
        <v/>
      </c>
    </row>
    <row r="1186" spans="1:62" ht="15" customHeight="1" x14ac:dyDescent="0.25">
      <c r="A1186" t="str">
        <f>"1861564999"</f>
        <v>1861564999</v>
      </c>
      <c r="B1186" t="str">
        <f>"02000017"</f>
        <v>02000017</v>
      </c>
      <c r="C1186" t="s">
        <v>6029</v>
      </c>
      <c r="D1186" t="s">
        <v>6030</v>
      </c>
      <c r="E1186" t="s">
        <v>6031</v>
      </c>
      <c r="G1186" t="s">
        <v>815</v>
      </c>
      <c r="H1186" t="s">
        <v>816</v>
      </c>
      <c r="J1186" t="s">
        <v>817</v>
      </c>
      <c r="L1186" t="s">
        <v>120</v>
      </c>
      <c r="M1186" t="s">
        <v>108</v>
      </c>
      <c r="R1186" t="s">
        <v>6032</v>
      </c>
      <c r="W1186" t="s">
        <v>6031</v>
      </c>
      <c r="X1186" t="s">
        <v>204</v>
      </c>
      <c r="Y1186" t="s">
        <v>110</v>
      </c>
      <c r="Z1186" t="s">
        <v>111</v>
      </c>
      <c r="AA1186" t="str">
        <f>"13905-4246"</f>
        <v>13905-4246</v>
      </c>
      <c r="AB1186" t="s">
        <v>123</v>
      </c>
      <c r="AC1186" t="s">
        <v>113</v>
      </c>
      <c r="AD1186" t="s">
        <v>108</v>
      </c>
      <c r="AE1186" t="s">
        <v>114</v>
      </c>
      <c r="AF1186" t="s">
        <v>115</v>
      </c>
      <c r="AG1186" t="s">
        <v>116</v>
      </c>
      <c r="AK1186" t="str">
        <f t="shared" si="120"/>
        <v>Sanjiv A. Patel, MD</v>
      </c>
      <c r="AL1186" t="s">
        <v>6030</v>
      </c>
      <c r="AM1186" t="s">
        <v>108</v>
      </c>
      <c r="AN1186" t="s">
        <v>108</v>
      </c>
      <c r="AO1186" t="s">
        <v>108</v>
      </c>
      <c r="AP1186" t="s">
        <v>108</v>
      </c>
      <c r="AQ1186" t="s">
        <v>108</v>
      </c>
      <c r="AR1186" t="s">
        <v>108</v>
      </c>
      <c r="AS1186" t="s">
        <v>108</v>
      </c>
      <c r="AT1186" t="s">
        <v>108</v>
      </c>
      <c r="AU1186" t="s">
        <v>108</v>
      </c>
      <c r="AV1186" t="s">
        <v>108</v>
      </c>
      <c r="AW1186" t="s">
        <v>108</v>
      </c>
      <c r="AX1186" s="24">
        <f t="shared" si="118"/>
        <v>1</v>
      </c>
      <c r="AY1186" s="24" t="str">
        <f t="shared" si="118"/>
        <v/>
      </c>
      <c r="AZ1186" s="24" t="str">
        <f t="shared" si="122"/>
        <v/>
      </c>
      <c r="BA1186" s="24" t="str">
        <f t="shared" si="122"/>
        <v/>
      </c>
      <c r="BB1186" s="24" t="str">
        <f t="shared" si="122"/>
        <v/>
      </c>
      <c r="BC1186" s="24" t="str">
        <f t="shared" si="122"/>
        <v/>
      </c>
      <c r="BD1186" s="24" t="str">
        <f t="shared" si="122"/>
        <v/>
      </c>
      <c r="BE1186" s="24" t="str">
        <f t="shared" si="122"/>
        <v/>
      </c>
      <c r="BF1186" s="24" t="str">
        <f t="shared" ref="AZ1186:BI1212" si="124">IF(ISERROR(FIND(BF$1,$L1186,1)),"",1)</f>
        <v/>
      </c>
      <c r="BG1186" s="24" t="str">
        <f t="shared" si="124"/>
        <v/>
      </c>
      <c r="BH1186" s="24" t="str">
        <f t="shared" si="121"/>
        <v/>
      </c>
      <c r="BI1186" s="24">
        <f t="shared" si="124"/>
        <v>1</v>
      </c>
      <c r="BJ1186" s="24" t="str">
        <f t="shared" si="123"/>
        <v/>
      </c>
    </row>
    <row r="1187" spans="1:62" ht="15" customHeight="1" x14ac:dyDescent="0.25">
      <c r="A1187" t="str">
        <f>"1235103995"</f>
        <v>1235103995</v>
      </c>
      <c r="B1187" t="str">
        <f>"00934749"</f>
        <v>00934749</v>
      </c>
      <c r="C1187" t="s">
        <v>5664</v>
      </c>
      <c r="D1187" t="s">
        <v>5665</v>
      </c>
      <c r="E1187" t="s">
        <v>5666</v>
      </c>
      <c r="L1187" t="s">
        <v>247</v>
      </c>
      <c r="M1187" t="s">
        <v>108</v>
      </c>
      <c r="W1187" t="s">
        <v>5666</v>
      </c>
      <c r="X1187" t="s">
        <v>186</v>
      </c>
      <c r="Y1187" t="s">
        <v>181</v>
      </c>
      <c r="Z1187" t="s">
        <v>182</v>
      </c>
      <c r="AA1187" t="str">
        <f>"18840"</f>
        <v>18840</v>
      </c>
      <c r="AB1187" t="s">
        <v>123</v>
      </c>
      <c r="AC1187" t="s">
        <v>113</v>
      </c>
      <c r="AD1187" t="s">
        <v>108</v>
      </c>
      <c r="AE1187" t="s">
        <v>114</v>
      </c>
      <c r="AF1187" t="s">
        <v>142</v>
      </c>
      <c r="AG1187" t="s">
        <v>116</v>
      </c>
      <c r="AK1187" t="str">
        <f t="shared" si="120"/>
        <v/>
      </c>
      <c r="AL1187" t="s">
        <v>5665</v>
      </c>
      <c r="AM1187">
        <v>0</v>
      </c>
      <c r="AN1187">
        <v>0</v>
      </c>
      <c r="AO1187">
        <v>0</v>
      </c>
      <c r="AP1187">
        <v>0</v>
      </c>
      <c r="AQ1187">
        <v>0</v>
      </c>
      <c r="AR1187">
        <v>0</v>
      </c>
      <c r="AS1187">
        <v>0</v>
      </c>
      <c r="AT1187">
        <v>0</v>
      </c>
      <c r="AU1187">
        <v>0</v>
      </c>
      <c r="AV1187">
        <v>0</v>
      </c>
      <c r="AW1187">
        <v>0</v>
      </c>
      <c r="AX1187" s="24" t="str">
        <f t="shared" si="118"/>
        <v/>
      </c>
      <c r="AY1187" s="24">
        <f t="shared" si="118"/>
        <v>1</v>
      </c>
      <c r="AZ1187" s="24" t="str">
        <f t="shared" si="124"/>
        <v/>
      </c>
      <c r="BA1187" s="24" t="str">
        <f t="shared" si="124"/>
        <v/>
      </c>
      <c r="BB1187" s="24" t="str">
        <f t="shared" si="124"/>
        <v/>
      </c>
      <c r="BC1187" s="24" t="str">
        <f t="shared" si="124"/>
        <v/>
      </c>
      <c r="BD1187" s="24" t="str">
        <f t="shared" si="124"/>
        <v/>
      </c>
      <c r="BE1187" s="24" t="str">
        <f t="shared" si="124"/>
        <v/>
      </c>
      <c r="BF1187" s="24" t="str">
        <f t="shared" si="124"/>
        <v/>
      </c>
      <c r="BG1187" s="24" t="str">
        <f t="shared" si="124"/>
        <v/>
      </c>
      <c r="BH1187" s="24" t="str">
        <f t="shared" si="121"/>
        <v/>
      </c>
      <c r="BI1187" s="24" t="str">
        <f t="shared" si="124"/>
        <v/>
      </c>
      <c r="BJ1187" s="24" t="str">
        <f t="shared" si="123"/>
        <v/>
      </c>
    </row>
    <row r="1188" spans="1:62" ht="15" customHeight="1" x14ac:dyDescent="0.25">
      <c r="A1188" t="str">
        <f>"1891778593"</f>
        <v>1891778593</v>
      </c>
      <c r="B1188" t="str">
        <f>"02645403"</f>
        <v>02645403</v>
      </c>
      <c r="C1188" t="s">
        <v>5664</v>
      </c>
      <c r="D1188" t="s">
        <v>5667</v>
      </c>
      <c r="E1188" t="s">
        <v>5668</v>
      </c>
      <c r="L1188" t="s">
        <v>247</v>
      </c>
      <c r="M1188" t="s">
        <v>108</v>
      </c>
      <c r="R1188" t="s">
        <v>5664</v>
      </c>
      <c r="W1188" t="s">
        <v>5668</v>
      </c>
      <c r="X1188" t="s">
        <v>5669</v>
      </c>
      <c r="Y1188" t="s">
        <v>3107</v>
      </c>
      <c r="Z1188" t="s">
        <v>111</v>
      </c>
      <c r="AA1188" t="str">
        <f>"13088-4130"</f>
        <v>13088-4130</v>
      </c>
      <c r="AB1188" t="s">
        <v>123</v>
      </c>
      <c r="AC1188" t="s">
        <v>113</v>
      </c>
      <c r="AD1188" t="s">
        <v>108</v>
      </c>
      <c r="AE1188" t="s">
        <v>114</v>
      </c>
      <c r="AF1188" t="s">
        <v>142</v>
      </c>
      <c r="AG1188" t="s">
        <v>116</v>
      </c>
      <c r="AK1188" t="str">
        <f t="shared" si="120"/>
        <v/>
      </c>
      <c r="AL1188" t="s">
        <v>5667</v>
      </c>
      <c r="AM1188">
        <v>0</v>
      </c>
      <c r="AN1188">
        <v>0</v>
      </c>
      <c r="AO1188">
        <v>0</v>
      </c>
      <c r="AP1188">
        <v>0</v>
      </c>
      <c r="AQ1188">
        <v>0</v>
      </c>
      <c r="AR1188">
        <v>0</v>
      </c>
      <c r="AS1188">
        <v>0</v>
      </c>
      <c r="AT1188">
        <v>0</v>
      </c>
      <c r="AU1188">
        <v>0</v>
      </c>
      <c r="AV1188">
        <v>0</v>
      </c>
      <c r="AW1188">
        <v>0</v>
      </c>
      <c r="AX1188" s="24" t="str">
        <f t="shared" si="118"/>
        <v/>
      </c>
      <c r="AY1188" s="24">
        <f t="shared" si="118"/>
        <v>1</v>
      </c>
      <c r="AZ1188" s="24" t="str">
        <f t="shared" si="124"/>
        <v/>
      </c>
      <c r="BA1188" s="24" t="str">
        <f t="shared" si="124"/>
        <v/>
      </c>
      <c r="BB1188" s="24" t="str">
        <f t="shared" si="124"/>
        <v/>
      </c>
      <c r="BC1188" s="24" t="str">
        <f t="shared" si="124"/>
        <v/>
      </c>
      <c r="BD1188" s="24" t="str">
        <f t="shared" si="124"/>
        <v/>
      </c>
      <c r="BE1188" s="24" t="str">
        <f t="shared" si="124"/>
        <v/>
      </c>
      <c r="BF1188" s="24" t="str">
        <f t="shared" si="124"/>
        <v/>
      </c>
      <c r="BG1188" s="24" t="str">
        <f t="shared" si="124"/>
        <v/>
      </c>
      <c r="BH1188" s="24" t="str">
        <f t="shared" si="121"/>
        <v/>
      </c>
      <c r="BI1188" s="24" t="str">
        <f t="shared" si="124"/>
        <v/>
      </c>
      <c r="BJ1188" s="24" t="str">
        <f t="shared" si="123"/>
        <v/>
      </c>
    </row>
    <row r="1189" spans="1:62" ht="15" customHeight="1" x14ac:dyDescent="0.25">
      <c r="A1189" t="str">
        <f>"1801229505"</f>
        <v>1801229505</v>
      </c>
      <c r="B1189" t="str">
        <f>"04020875"</f>
        <v>04020875</v>
      </c>
      <c r="C1189" t="s">
        <v>6046</v>
      </c>
      <c r="D1189" t="s">
        <v>6047</v>
      </c>
      <c r="E1189" t="s">
        <v>6048</v>
      </c>
      <c r="G1189" t="s">
        <v>815</v>
      </c>
      <c r="H1189" t="s">
        <v>816</v>
      </c>
      <c r="J1189" t="s">
        <v>817</v>
      </c>
      <c r="L1189" t="s">
        <v>6867</v>
      </c>
      <c r="M1189" t="s">
        <v>108</v>
      </c>
      <c r="R1189" t="s">
        <v>6049</v>
      </c>
      <c r="W1189" t="s">
        <v>6048</v>
      </c>
      <c r="X1189" t="s">
        <v>1058</v>
      </c>
      <c r="Y1189" t="s">
        <v>110</v>
      </c>
      <c r="Z1189" t="s">
        <v>111</v>
      </c>
      <c r="AA1189" t="str">
        <f>"13905-4178"</f>
        <v>13905-4178</v>
      </c>
      <c r="AB1189" t="s">
        <v>123</v>
      </c>
      <c r="AC1189" t="s">
        <v>113</v>
      </c>
      <c r="AD1189" t="s">
        <v>108</v>
      </c>
      <c r="AE1189" t="s">
        <v>114</v>
      </c>
      <c r="AF1189" t="s">
        <v>115</v>
      </c>
      <c r="AG1189" t="s">
        <v>116</v>
      </c>
      <c r="AK1189" t="str">
        <f t="shared" si="120"/>
        <v>Santosh K. Mukka, MD</v>
      </c>
      <c r="AL1189" t="s">
        <v>6047</v>
      </c>
      <c r="AM1189" t="s">
        <v>108</v>
      </c>
      <c r="AN1189" t="s">
        <v>108</v>
      </c>
      <c r="AO1189" t="s">
        <v>108</v>
      </c>
      <c r="AP1189" t="s">
        <v>108</v>
      </c>
      <c r="AQ1189" t="s">
        <v>108</v>
      </c>
      <c r="AR1189" t="s">
        <v>108</v>
      </c>
      <c r="AS1189" t="s">
        <v>108</v>
      </c>
      <c r="AT1189" t="s">
        <v>108</v>
      </c>
      <c r="AU1189" t="s">
        <v>108</v>
      </c>
      <c r="AV1189" t="s">
        <v>108</v>
      </c>
      <c r="AW1189" t="s">
        <v>108</v>
      </c>
      <c r="AX1189" s="24">
        <f t="shared" si="118"/>
        <v>1</v>
      </c>
      <c r="AY1189" s="24">
        <f t="shared" si="118"/>
        <v>1</v>
      </c>
      <c r="AZ1189" s="24" t="str">
        <f t="shared" si="124"/>
        <v/>
      </c>
      <c r="BA1189" s="24" t="str">
        <f t="shared" si="124"/>
        <v/>
      </c>
      <c r="BB1189" s="24" t="str">
        <f t="shared" si="124"/>
        <v/>
      </c>
      <c r="BC1189" s="24" t="str">
        <f t="shared" si="124"/>
        <v/>
      </c>
      <c r="BD1189" s="24" t="str">
        <f t="shared" si="124"/>
        <v/>
      </c>
      <c r="BE1189" s="24" t="str">
        <f t="shared" si="124"/>
        <v/>
      </c>
      <c r="BF1189" s="24" t="str">
        <f t="shared" si="124"/>
        <v/>
      </c>
      <c r="BG1189" s="24" t="str">
        <f t="shared" si="124"/>
        <v/>
      </c>
      <c r="BH1189" s="24" t="str">
        <f t="shared" si="121"/>
        <v/>
      </c>
      <c r="BI1189" s="24">
        <f t="shared" si="124"/>
        <v>1</v>
      </c>
      <c r="BJ1189" s="24" t="str">
        <f t="shared" si="123"/>
        <v/>
      </c>
    </row>
    <row r="1190" spans="1:62" ht="15" customHeight="1" x14ac:dyDescent="0.25">
      <c r="A1190" t="str">
        <f>"1679981443"</f>
        <v>1679981443</v>
      </c>
      <c r="B1190" t="str">
        <f>"03951397"</f>
        <v>03951397</v>
      </c>
      <c r="C1190" t="s">
        <v>6437</v>
      </c>
      <c r="D1190" t="s">
        <v>6438</v>
      </c>
      <c r="E1190" t="s">
        <v>6439</v>
      </c>
      <c r="G1190" t="s">
        <v>6330</v>
      </c>
      <c r="H1190" t="s">
        <v>6331</v>
      </c>
      <c r="J1190" t="s">
        <v>6332</v>
      </c>
      <c r="L1190" t="s">
        <v>138</v>
      </c>
      <c r="M1190" t="s">
        <v>108</v>
      </c>
      <c r="R1190" t="s">
        <v>6439</v>
      </c>
      <c r="W1190" t="s">
        <v>6440</v>
      </c>
      <c r="X1190" t="s">
        <v>881</v>
      </c>
      <c r="Y1190" t="s">
        <v>321</v>
      </c>
      <c r="Z1190" t="s">
        <v>111</v>
      </c>
      <c r="AA1190" t="str">
        <f>"13760-5430"</f>
        <v>13760-5430</v>
      </c>
      <c r="AB1190" t="s">
        <v>123</v>
      </c>
      <c r="AC1190" t="s">
        <v>113</v>
      </c>
      <c r="AD1190" t="s">
        <v>108</v>
      </c>
      <c r="AE1190" t="s">
        <v>114</v>
      </c>
      <c r="AF1190" t="s">
        <v>115</v>
      </c>
      <c r="AG1190" t="s">
        <v>116</v>
      </c>
      <c r="AK1190" t="str">
        <f t="shared" si="120"/>
        <v>Sara M Smith</v>
      </c>
      <c r="AL1190" t="s">
        <v>6438</v>
      </c>
      <c r="AM1190" t="s">
        <v>108</v>
      </c>
      <c r="AN1190" t="s">
        <v>108</v>
      </c>
      <c r="AO1190" t="s">
        <v>108</v>
      </c>
      <c r="AP1190" t="s">
        <v>108</v>
      </c>
      <c r="AQ1190" t="s">
        <v>108</v>
      </c>
      <c r="AR1190" t="s">
        <v>108</v>
      </c>
      <c r="AS1190" t="s">
        <v>108</v>
      </c>
      <c r="AT1190" t="s">
        <v>108</v>
      </c>
      <c r="AU1190" t="s">
        <v>108</v>
      </c>
      <c r="AV1190" t="s">
        <v>108</v>
      </c>
      <c r="AW1190" t="s">
        <v>108</v>
      </c>
      <c r="AX1190" s="24" t="str">
        <f t="shared" si="118"/>
        <v/>
      </c>
      <c r="AY1190" s="24">
        <f t="shared" si="118"/>
        <v>1</v>
      </c>
      <c r="AZ1190" s="24" t="str">
        <f t="shared" si="124"/>
        <v/>
      </c>
      <c r="BA1190" s="24" t="str">
        <f t="shared" si="124"/>
        <v/>
      </c>
      <c r="BB1190" s="24" t="str">
        <f t="shared" si="124"/>
        <v/>
      </c>
      <c r="BC1190" s="24" t="str">
        <f t="shared" si="124"/>
        <v/>
      </c>
      <c r="BD1190" s="24" t="str">
        <f t="shared" si="124"/>
        <v/>
      </c>
      <c r="BE1190" s="24" t="str">
        <f t="shared" si="124"/>
        <v/>
      </c>
      <c r="BF1190" s="24" t="str">
        <f t="shared" si="124"/>
        <v/>
      </c>
      <c r="BG1190" s="24" t="str">
        <f t="shared" si="124"/>
        <v/>
      </c>
      <c r="BH1190" s="24" t="str">
        <f t="shared" si="121"/>
        <v/>
      </c>
      <c r="BI1190" s="24">
        <f t="shared" si="124"/>
        <v>1</v>
      </c>
      <c r="BJ1190" s="24" t="str">
        <f t="shared" si="123"/>
        <v/>
      </c>
    </row>
    <row r="1191" spans="1:62" ht="15" customHeight="1" x14ac:dyDescent="0.25">
      <c r="A1191" t="str">
        <f>"1063896728"</f>
        <v>1063896728</v>
      </c>
      <c r="B1191" t="str">
        <f>"04207943"</f>
        <v>04207943</v>
      </c>
      <c r="C1191" t="s">
        <v>6441</v>
      </c>
      <c r="D1191" t="s">
        <v>6442</v>
      </c>
      <c r="E1191" t="s">
        <v>6443</v>
      </c>
      <c r="G1191" t="s">
        <v>6330</v>
      </c>
      <c r="H1191" t="s">
        <v>6331</v>
      </c>
      <c r="J1191" t="s">
        <v>6332</v>
      </c>
      <c r="L1191" t="s">
        <v>442</v>
      </c>
      <c r="M1191" t="s">
        <v>108</v>
      </c>
      <c r="R1191" t="s">
        <v>6444</v>
      </c>
      <c r="W1191" t="s">
        <v>6443</v>
      </c>
      <c r="X1191" t="s">
        <v>5961</v>
      </c>
      <c r="Y1191" t="s">
        <v>5962</v>
      </c>
      <c r="Z1191" t="s">
        <v>111</v>
      </c>
      <c r="AA1191" t="str">
        <f>"13778-1057"</f>
        <v>13778-1057</v>
      </c>
      <c r="AB1191" t="s">
        <v>123</v>
      </c>
      <c r="AC1191" t="s">
        <v>113</v>
      </c>
      <c r="AD1191" t="s">
        <v>108</v>
      </c>
      <c r="AE1191" t="s">
        <v>114</v>
      </c>
      <c r="AF1191" t="s">
        <v>115</v>
      </c>
      <c r="AG1191" t="s">
        <v>116</v>
      </c>
      <c r="AK1191" t="str">
        <f t="shared" si="120"/>
        <v>Sarah Singlar</v>
      </c>
      <c r="AL1191" t="s">
        <v>6442</v>
      </c>
      <c r="AM1191" t="s">
        <v>108</v>
      </c>
      <c r="AN1191" t="s">
        <v>108</v>
      </c>
      <c r="AO1191" t="s">
        <v>108</v>
      </c>
      <c r="AP1191" t="s">
        <v>108</v>
      </c>
      <c r="AQ1191" t="s">
        <v>108</v>
      </c>
      <c r="AR1191" t="s">
        <v>108</v>
      </c>
      <c r="AS1191" t="s">
        <v>108</v>
      </c>
      <c r="AT1191" t="s">
        <v>108</v>
      </c>
      <c r="AU1191" t="s">
        <v>108</v>
      </c>
      <c r="AV1191" t="s">
        <v>108</v>
      </c>
      <c r="AW1191" t="s">
        <v>108</v>
      </c>
      <c r="AX1191" s="24">
        <f t="shared" si="118"/>
        <v>1</v>
      </c>
      <c r="AY1191" s="24" t="str">
        <f t="shared" si="118"/>
        <v/>
      </c>
      <c r="AZ1191" s="24" t="str">
        <f t="shared" si="124"/>
        <v/>
      </c>
      <c r="BA1191" s="24" t="str">
        <f t="shared" si="124"/>
        <v/>
      </c>
      <c r="BB1191" s="24" t="str">
        <f t="shared" si="124"/>
        <v/>
      </c>
      <c r="BC1191" s="24" t="str">
        <f t="shared" si="124"/>
        <v/>
      </c>
      <c r="BD1191" s="24" t="str">
        <f t="shared" si="124"/>
        <v/>
      </c>
      <c r="BE1191" s="24" t="str">
        <f t="shared" si="124"/>
        <v/>
      </c>
      <c r="BF1191" s="24" t="str">
        <f t="shared" si="124"/>
        <v/>
      </c>
      <c r="BG1191" s="24" t="str">
        <f t="shared" si="124"/>
        <v/>
      </c>
      <c r="BH1191" s="24" t="str">
        <f t="shared" si="121"/>
        <v/>
      </c>
      <c r="BI1191" s="24" t="str">
        <f t="shared" si="124"/>
        <v/>
      </c>
      <c r="BJ1191" s="24" t="str">
        <f t="shared" si="123"/>
        <v/>
      </c>
    </row>
    <row r="1192" spans="1:62" ht="15" customHeight="1" x14ac:dyDescent="0.25">
      <c r="A1192" t="str">
        <f>"1053586966"</f>
        <v>1053586966</v>
      </c>
      <c r="B1192" t="str">
        <f>"03480655"</f>
        <v>03480655</v>
      </c>
      <c r="C1192" t="s">
        <v>6824</v>
      </c>
      <c r="D1192" t="s">
        <v>7108</v>
      </c>
      <c r="E1192" t="s">
        <v>6965</v>
      </c>
      <c r="G1192" t="s">
        <v>815</v>
      </c>
      <c r="H1192" t="s">
        <v>816</v>
      </c>
      <c r="J1192" t="s">
        <v>817</v>
      </c>
      <c r="L1192" t="s">
        <v>138</v>
      </c>
      <c r="M1192" t="s">
        <v>108</v>
      </c>
      <c r="R1192" t="s">
        <v>6824</v>
      </c>
      <c r="W1192" t="s">
        <v>6965</v>
      </c>
      <c r="X1192" t="s">
        <v>6966</v>
      </c>
      <c r="Y1192" t="s">
        <v>110</v>
      </c>
      <c r="Z1192" t="s">
        <v>111</v>
      </c>
      <c r="AA1192" t="str">
        <f>"13905-4178"</f>
        <v>13905-4178</v>
      </c>
      <c r="AB1192" t="s">
        <v>123</v>
      </c>
      <c r="AC1192" t="s">
        <v>113</v>
      </c>
      <c r="AD1192" t="s">
        <v>108</v>
      </c>
      <c r="AE1192" t="s">
        <v>114</v>
      </c>
      <c r="AF1192" t="s">
        <v>115</v>
      </c>
      <c r="AG1192" t="s">
        <v>116</v>
      </c>
      <c r="AK1192" t="str">
        <f t="shared" si="120"/>
        <v>SARGENT ANITA DR.</v>
      </c>
      <c r="AL1192" t="s">
        <v>7108</v>
      </c>
      <c r="AM1192" t="s">
        <v>108</v>
      </c>
      <c r="AN1192" t="s">
        <v>108</v>
      </c>
      <c r="AO1192" t="s">
        <v>108</v>
      </c>
      <c r="AP1192" t="s">
        <v>108</v>
      </c>
      <c r="AQ1192" t="s">
        <v>108</v>
      </c>
      <c r="AR1192" t="s">
        <v>108</v>
      </c>
      <c r="AS1192" t="s">
        <v>108</v>
      </c>
      <c r="AT1192" t="s">
        <v>108</v>
      </c>
      <c r="AU1192" t="s">
        <v>108</v>
      </c>
      <c r="AV1192" t="s">
        <v>108</v>
      </c>
      <c r="AW1192" t="s">
        <v>108</v>
      </c>
      <c r="AX1192" s="24" t="str">
        <f t="shared" ref="AX1192:AY1255" si="125">IF(ISERROR(FIND(AX$1,$L1192,1)),"",1)</f>
        <v/>
      </c>
      <c r="AY1192" s="24">
        <f t="shared" si="125"/>
        <v>1</v>
      </c>
      <c r="AZ1192" s="24" t="str">
        <f t="shared" si="124"/>
        <v/>
      </c>
      <c r="BA1192" s="24" t="str">
        <f t="shared" si="124"/>
        <v/>
      </c>
      <c r="BB1192" s="24" t="str">
        <f t="shared" si="124"/>
        <v/>
      </c>
      <c r="BC1192" s="24" t="str">
        <f t="shared" si="124"/>
        <v/>
      </c>
      <c r="BD1192" s="24" t="str">
        <f t="shared" si="124"/>
        <v/>
      </c>
      <c r="BE1192" s="24" t="str">
        <f t="shared" si="124"/>
        <v/>
      </c>
      <c r="BF1192" s="24" t="str">
        <f t="shared" si="124"/>
        <v/>
      </c>
      <c r="BG1192" s="24" t="str">
        <f t="shared" si="124"/>
        <v/>
      </c>
      <c r="BH1192" s="24" t="str">
        <f t="shared" si="121"/>
        <v/>
      </c>
      <c r="BI1192" s="24">
        <f t="shared" si="124"/>
        <v>1</v>
      </c>
      <c r="BJ1192" s="24" t="str">
        <f t="shared" si="123"/>
        <v/>
      </c>
    </row>
    <row r="1193" spans="1:62" ht="15" customHeight="1" x14ac:dyDescent="0.25">
      <c r="A1193" t="str">
        <f>"1124282892"</f>
        <v>1124282892</v>
      </c>
      <c r="B1193" t="str">
        <f>"03376221"</f>
        <v>03376221</v>
      </c>
      <c r="C1193" t="s">
        <v>2293</v>
      </c>
      <c r="D1193" t="s">
        <v>2294</v>
      </c>
      <c r="E1193" t="s">
        <v>2295</v>
      </c>
      <c r="G1193" t="s">
        <v>177</v>
      </c>
      <c r="H1193" t="s">
        <v>178</v>
      </c>
      <c r="J1193" t="s">
        <v>179</v>
      </c>
      <c r="L1193" t="s">
        <v>138</v>
      </c>
      <c r="M1193" t="s">
        <v>108</v>
      </c>
      <c r="R1193" t="s">
        <v>2293</v>
      </c>
      <c r="W1193" t="s">
        <v>2295</v>
      </c>
      <c r="X1193" t="s">
        <v>196</v>
      </c>
      <c r="Y1193" t="s">
        <v>181</v>
      </c>
      <c r="Z1193" t="s">
        <v>182</v>
      </c>
      <c r="AA1193" t="str">
        <f>"18840-1625"</f>
        <v>18840-1625</v>
      </c>
      <c r="AB1193" t="s">
        <v>123</v>
      </c>
      <c r="AC1193" t="s">
        <v>113</v>
      </c>
      <c r="AD1193" t="s">
        <v>108</v>
      </c>
      <c r="AE1193" t="s">
        <v>114</v>
      </c>
      <c r="AF1193" t="s">
        <v>115</v>
      </c>
      <c r="AG1193" t="s">
        <v>116</v>
      </c>
      <c r="AK1193" t="str">
        <f t="shared" si="120"/>
        <v/>
      </c>
      <c r="AL1193" t="s">
        <v>2294</v>
      </c>
      <c r="AM1193">
        <v>0</v>
      </c>
      <c r="AN1193">
        <v>0</v>
      </c>
      <c r="AO1193">
        <v>0</v>
      </c>
      <c r="AP1193">
        <v>0</v>
      </c>
      <c r="AQ1193">
        <v>0</v>
      </c>
      <c r="AR1193">
        <v>0</v>
      </c>
      <c r="AS1193">
        <v>0</v>
      </c>
      <c r="AT1193">
        <v>0</v>
      </c>
      <c r="AU1193">
        <v>0</v>
      </c>
      <c r="AV1193">
        <v>0</v>
      </c>
      <c r="AW1193">
        <v>0</v>
      </c>
      <c r="AX1193" s="24" t="str">
        <f t="shared" si="125"/>
        <v/>
      </c>
      <c r="AY1193" s="24">
        <f t="shared" si="125"/>
        <v>1</v>
      </c>
      <c r="AZ1193" s="24" t="str">
        <f t="shared" si="124"/>
        <v/>
      </c>
      <c r="BA1193" s="24" t="str">
        <f t="shared" si="124"/>
        <v/>
      </c>
      <c r="BB1193" s="24" t="str">
        <f t="shared" si="124"/>
        <v/>
      </c>
      <c r="BC1193" s="24" t="str">
        <f t="shared" si="124"/>
        <v/>
      </c>
      <c r="BD1193" s="24" t="str">
        <f t="shared" si="124"/>
        <v/>
      </c>
      <c r="BE1193" s="24" t="str">
        <f t="shared" si="124"/>
        <v/>
      </c>
      <c r="BF1193" s="24" t="str">
        <f t="shared" si="124"/>
        <v/>
      </c>
      <c r="BG1193" s="24" t="str">
        <f t="shared" si="124"/>
        <v/>
      </c>
      <c r="BH1193" s="24" t="str">
        <f t="shared" si="121"/>
        <v/>
      </c>
      <c r="BI1193" s="24">
        <f t="shared" si="124"/>
        <v>1</v>
      </c>
      <c r="BJ1193" s="24" t="str">
        <f t="shared" si="123"/>
        <v/>
      </c>
    </row>
    <row r="1194" spans="1:62" ht="15" customHeight="1" x14ac:dyDescent="0.25">
      <c r="A1194" t="str">
        <f>"1831164060"</f>
        <v>1831164060</v>
      </c>
      <c r="B1194" t="str">
        <f>"02407734"</f>
        <v>02407734</v>
      </c>
      <c r="C1194" t="s">
        <v>3618</v>
      </c>
      <c r="D1194" t="s">
        <v>3619</v>
      </c>
      <c r="E1194" t="s">
        <v>3620</v>
      </c>
      <c r="G1194" t="s">
        <v>2412</v>
      </c>
      <c r="H1194" t="s">
        <v>2413</v>
      </c>
      <c r="I1194">
        <v>2359</v>
      </c>
      <c r="J1194" t="s">
        <v>3621</v>
      </c>
      <c r="L1194" t="s">
        <v>120</v>
      </c>
      <c r="M1194" t="s">
        <v>108</v>
      </c>
      <c r="R1194" t="s">
        <v>3622</v>
      </c>
      <c r="W1194" t="s">
        <v>3620</v>
      </c>
      <c r="X1194" t="s">
        <v>3623</v>
      </c>
      <c r="Y1194" t="s">
        <v>1203</v>
      </c>
      <c r="Z1194" t="s">
        <v>111</v>
      </c>
      <c r="AA1194" t="str">
        <f>"14891-1260"</f>
        <v>14891-1260</v>
      </c>
      <c r="AB1194" t="s">
        <v>123</v>
      </c>
      <c r="AC1194" t="s">
        <v>113</v>
      </c>
      <c r="AD1194" t="s">
        <v>108</v>
      </c>
      <c r="AE1194" t="s">
        <v>114</v>
      </c>
      <c r="AF1194" t="s">
        <v>142</v>
      </c>
      <c r="AG1194" t="s">
        <v>116</v>
      </c>
      <c r="AK1194" t="str">
        <f t="shared" si="120"/>
        <v/>
      </c>
      <c r="AL1194" t="s">
        <v>3619</v>
      </c>
      <c r="AM1194">
        <v>1</v>
      </c>
      <c r="AN1194">
        <v>1</v>
      </c>
      <c r="AO1194">
        <v>0</v>
      </c>
      <c r="AP1194">
        <v>0</v>
      </c>
      <c r="AQ1194">
        <v>0</v>
      </c>
      <c r="AR1194">
        <v>0</v>
      </c>
      <c r="AS1194">
        <v>0</v>
      </c>
      <c r="AT1194">
        <v>0</v>
      </c>
      <c r="AU1194">
        <v>0</v>
      </c>
      <c r="AV1194">
        <v>0</v>
      </c>
      <c r="AW1194">
        <v>0</v>
      </c>
      <c r="AX1194" s="24">
        <f t="shared" si="125"/>
        <v>1</v>
      </c>
      <c r="AY1194" s="24" t="str">
        <f t="shared" si="125"/>
        <v/>
      </c>
      <c r="AZ1194" s="24" t="str">
        <f t="shared" si="124"/>
        <v/>
      </c>
      <c r="BA1194" s="24" t="str">
        <f t="shared" si="124"/>
        <v/>
      </c>
      <c r="BB1194" s="24" t="str">
        <f t="shared" si="124"/>
        <v/>
      </c>
      <c r="BC1194" s="24" t="str">
        <f t="shared" si="124"/>
        <v/>
      </c>
      <c r="BD1194" s="24" t="str">
        <f t="shared" si="124"/>
        <v/>
      </c>
      <c r="BE1194" s="24" t="str">
        <f t="shared" si="124"/>
        <v/>
      </c>
      <c r="BF1194" s="24" t="str">
        <f t="shared" si="124"/>
        <v/>
      </c>
      <c r="BG1194" s="24" t="str">
        <f t="shared" si="124"/>
        <v/>
      </c>
      <c r="BH1194" s="24" t="str">
        <f t="shared" si="121"/>
        <v/>
      </c>
      <c r="BI1194" s="24">
        <f t="shared" si="124"/>
        <v>1</v>
      </c>
      <c r="BJ1194" s="24" t="str">
        <f t="shared" si="123"/>
        <v/>
      </c>
    </row>
    <row r="1195" spans="1:62" ht="15" customHeight="1" x14ac:dyDescent="0.25">
      <c r="A1195" t="str">
        <f>"1710211255"</f>
        <v>1710211255</v>
      </c>
      <c r="B1195" t="str">
        <f>"03424944"</f>
        <v>03424944</v>
      </c>
      <c r="C1195" t="s">
        <v>4541</v>
      </c>
      <c r="D1195" t="s">
        <v>4542</v>
      </c>
      <c r="E1195" t="s">
        <v>4543</v>
      </c>
      <c r="G1195" t="s">
        <v>1488</v>
      </c>
      <c r="H1195" t="s">
        <v>787</v>
      </c>
      <c r="J1195" t="s">
        <v>1489</v>
      </c>
      <c r="L1195" t="s">
        <v>247</v>
      </c>
      <c r="M1195" t="s">
        <v>139</v>
      </c>
      <c r="R1195" t="s">
        <v>4541</v>
      </c>
      <c r="W1195" t="s">
        <v>4541</v>
      </c>
      <c r="X1195" t="s">
        <v>4544</v>
      </c>
      <c r="Y1195" t="s">
        <v>1492</v>
      </c>
      <c r="Z1195" t="s">
        <v>111</v>
      </c>
      <c r="AA1195" t="str">
        <f>"13803-2808"</f>
        <v>13803-2808</v>
      </c>
      <c r="AB1195" t="s">
        <v>123</v>
      </c>
      <c r="AC1195" t="s">
        <v>113</v>
      </c>
      <c r="AD1195" t="s">
        <v>108</v>
      </c>
      <c r="AE1195" t="s">
        <v>114</v>
      </c>
      <c r="AF1195" t="s">
        <v>142</v>
      </c>
      <c r="AG1195" t="s">
        <v>116</v>
      </c>
      <c r="AK1195" t="str">
        <f t="shared" si="120"/>
        <v/>
      </c>
      <c r="AL1195" t="s">
        <v>4542</v>
      </c>
      <c r="AM1195">
        <v>1</v>
      </c>
      <c r="AN1195">
        <v>1</v>
      </c>
      <c r="AO1195">
        <v>0</v>
      </c>
      <c r="AP1195">
        <v>0</v>
      </c>
      <c r="AQ1195">
        <v>1</v>
      </c>
      <c r="AR1195">
        <v>1</v>
      </c>
      <c r="AS1195">
        <v>0</v>
      </c>
      <c r="AT1195">
        <v>0</v>
      </c>
      <c r="AU1195">
        <v>0</v>
      </c>
      <c r="AV1195">
        <v>0</v>
      </c>
      <c r="AW1195">
        <v>0</v>
      </c>
      <c r="AX1195" s="24" t="str">
        <f t="shared" si="125"/>
        <v/>
      </c>
      <c r="AY1195" s="24">
        <f t="shared" si="125"/>
        <v>1</v>
      </c>
      <c r="AZ1195" s="24" t="str">
        <f t="shared" si="124"/>
        <v/>
      </c>
      <c r="BA1195" s="24" t="str">
        <f t="shared" si="124"/>
        <v/>
      </c>
      <c r="BB1195" s="24" t="str">
        <f t="shared" si="124"/>
        <v/>
      </c>
      <c r="BC1195" s="24" t="str">
        <f t="shared" si="124"/>
        <v/>
      </c>
      <c r="BD1195" s="24" t="str">
        <f t="shared" si="124"/>
        <v/>
      </c>
      <c r="BE1195" s="24" t="str">
        <f t="shared" si="124"/>
        <v/>
      </c>
      <c r="BF1195" s="24" t="str">
        <f t="shared" si="124"/>
        <v/>
      </c>
      <c r="BG1195" s="24" t="str">
        <f t="shared" si="124"/>
        <v/>
      </c>
      <c r="BH1195" s="24" t="str">
        <f t="shared" si="121"/>
        <v/>
      </c>
      <c r="BI1195" s="24" t="str">
        <f t="shared" si="124"/>
        <v/>
      </c>
      <c r="BJ1195" s="24" t="str">
        <f t="shared" si="123"/>
        <v/>
      </c>
    </row>
    <row r="1196" spans="1:62" ht="15" customHeight="1" x14ac:dyDescent="0.25">
      <c r="A1196" t="str">
        <f>"1053593962"</f>
        <v>1053593962</v>
      </c>
      <c r="B1196" t="str">
        <f>"02950998"</f>
        <v>02950998</v>
      </c>
      <c r="C1196" t="s">
        <v>712</v>
      </c>
      <c r="D1196" t="s">
        <v>713</v>
      </c>
      <c r="E1196" t="s">
        <v>714</v>
      </c>
      <c r="G1196" t="s">
        <v>699</v>
      </c>
      <c r="H1196" t="s">
        <v>700</v>
      </c>
      <c r="J1196" t="s">
        <v>701</v>
      </c>
      <c r="L1196" t="s">
        <v>120</v>
      </c>
      <c r="M1196" t="s">
        <v>108</v>
      </c>
      <c r="R1196" t="s">
        <v>715</v>
      </c>
      <c r="W1196" t="s">
        <v>712</v>
      </c>
      <c r="X1196" t="s">
        <v>716</v>
      </c>
      <c r="Y1196" t="s">
        <v>717</v>
      </c>
      <c r="Z1196" t="s">
        <v>182</v>
      </c>
      <c r="AA1196" t="str">
        <f>"18848-9707"</f>
        <v>18848-9707</v>
      </c>
      <c r="AB1196" t="s">
        <v>123</v>
      </c>
      <c r="AC1196" t="s">
        <v>113</v>
      </c>
      <c r="AD1196" t="s">
        <v>108</v>
      </c>
      <c r="AE1196" t="s">
        <v>114</v>
      </c>
      <c r="AF1196" t="s">
        <v>115</v>
      </c>
      <c r="AG1196" t="s">
        <v>116</v>
      </c>
      <c r="AK1196" t="str">
        <f t="shared" si="120"/>
        <v/>
      </c>
      <c r="AL1196" t="s">
        <v>713</v>
      </c>
      <c r="AM1196">
        <v>0</v>
      </c>
      <c r="AN1196">
        <v>0</v>
      </c>
      <c r="AO1196">
        <v>0</v>
      </c>
      <c r="AP1196">
        <v>0</v>
      </c>
      <c r="AQ1196">
        <v>0</v>
      </c>
      <c r="AR1196">
        <v>0</v>
      </c>
      <c r="AS1196">
        <v>0</v>
      </c>
      <c r="AT1196">
        <v>0</v>
      </c>
      <c r="AU1196">
        <v>0</v>
      </c>
      <c r="AV1196">
        <v>0</v>
      </c>
      <c r="AW1196">
        <v>0</v>
      </c>
      <c r="AX1196" s="24">
        <f t="shared" si="125"/>
        <v>1</v>
      </c>
      <c r="AY1196" s="24" t="str">
        <f t="shared" si="125"/>
        <v/>
      </c>
      <c r="AZ1196" s="24" t="str">
        <f t="shared" si="124"/>
        <v/>
      </c>
      <c r="BA1196" s="24" t="str">
        <f t="shared" si="124"/>
        <v/>
      </c>
      <c r="BB1196" s="24" t="str">
        <f t="shared" si="124"/>
        <v/>
      </c>
      <c r="BC1196" s="24" t="str">
        <f t="shared" si="124"/>
        <v/>
      </c>
      <c r="BD1196" s="24" t="str">
        <f t="shared" si="124"/>
        <v/>
      </c>
      <c r="BE1196" s="24" t="str">
        <f t="shared" si="124"/>
        <v/>
      </c>
      <c r="BF1196" s="24" t="str">
        <f t="shared" si="124"/>
        <v/>
      </c>
      <c r="BG1196" s="24" t="str">
        <f t="shared" si="124"/>
        <v/>
      </c>
      <c r="BH1196" s="24" t="str">
        <f t="shared" si="121"/>
        <v/>
      </c>
      <c r="BI1196" s="24">
        <f t="shared" si="124"/>
        <v>1</v>
      </c>
      <c r="BJ1196" s="24" t="str">
        <f t="shared" si="123"/>
        <v/>
      </c>
    </row>
    <row r="1197" spans="1:62" ht="15" customHeight="1" x14ac:dyDescent="0.25">
      <c r="A1197" t="str">
        <f>"1508071754"</f>
        <v>1508071754</v>
      </c>
      <c r="B1197" t="str">
        <f>"02883172"</f>
        <v>02883172</v>
      </c>
      <c r="C1197" t="s">
        <v>4527</v>
      </c>
      <c r="D1197" t="s">
        <v>4528</v>
      </c>
      <c r="E1197" t="s">
        <v>4527</v>
      </c>
      <c r="G1197" t="s">
        <v>1488</v>
      </c>
      <c r="H1197" t="s">
        <v>787</v>
      </c>
      <c r="J1197" t="s">
        <v>1489</v>
      </c>
      <c r="L1197" t="s">
        <v>442</v>
      </c>
      <c r="M1197" t="s">
        <v>139</v>
      </c>
      <c r="R1197" t="s">
        <v>4529</v>
      </c>
      <c r="W1197" t="s">
        <v>4527</v>
      </c>
      <c r="X1197" t="s">
        <v>4530</v>
      </c>
      <c r="Y1197" t="s">
        <v>1492</v>
      </c>
      <c r="Z1197" t="s">
        <v>111</v>
      </c>
      <c r="AA1197" t="str">
        <f>"13803-0000"</f>
        <v>13803-0000</v>
      </c>
      <c r="AB1197" t="s">
        <v>123</v>
      </c>
      <c r="AC1197" t="s">
        <v>113</v>
      </c>
      <c r="AD1197" t="s">
        <v>108</v>
      </c>
      <c r="AE1197" t="s">
        <v>114</v>
      </c>
      <c r="AF1197" t="s">
        <v>142</v>
      </c>
      <c r="AG1197" t="s">
        <v>116</v>
      </c>
      <c r="AK1197" t="str">
        <f t="shared" si="120"/>
        <v/>
      </c>
      <c r="AL1197" t="s">
        <v>4528</v>
      </c>
      <c r="AM1197">
        <v>0</v>
      </c>
      <c r="AN1197">
        <v>0</v>
      </c>
      <c r="AO1197">
        <v>0</v>
      </c>
      <c r="AP1197">
        <v>0</v>
      </c>
      <c r="AQ1197">
        <v>0</v>
      </c>
      <c r="AR1197">
        <v>0</v>
      </c>
      <c r="AS1197">
        <v>0</v>
      </c>
      <c r="AT1197">
        <v>0</v>
      </c>
      <c r="AU1197">
        <v>0</v>
      </c>
      <c r="AV1197">
        <v>0</v>
      </c>
      <c r="AW1197">
        <v>0</v>
      </c>
      <c r="AX1197" s="24">
        <f t="shared" si="125"/>
        <v>1</v>
      </c>
      <c r="AY1197" s="24" t="str">
        <f t="shared" si="125"/>
        <v/>
      </c>
      <c r="AZ1197" s="24" t="str">
        <f t="shared" si="124"/>
        <v/>
      </c>
      <c r="BA1197" s="24" t="str">
        <f t="shared" si="124"/>
        <v/>
      </c>
      <c r="BB1197" s="24" t="str">
        <f t="shared" si="124"/>
        <v/>
      </c>
      <c r="BC1197" s="24" t="str">
        <f t="shared" si="124"/>
        <v/>
      </c>
      <c r="BD1197" s="24" t="str">
        <f t="shared" si="124"/>
        <v/>
      </c>
      <c r="BE1197" s="24" t="str">
        <f t="shared" si="124"/>
        <v/>
      </c>
      <c r="BF1197" s="24" t="str">
        <f t="shared" si="124"/>
        <v/>
      </c>
      <c r="BG1197" s="24" t="str">
        <f t="shared" si="124"/>
        <v/>
      </c>
      <c r="BH1197" s="24" t="str">
        <f t="shared" si="121"/>
        <v/>
      </c>
      <c r="BI1197" s="24" t="str">
        <f t="shared" si="124"/>
        <v/>
      </c>
      <c r="BJ1197" s="24" t="str">
        <f t="shared" si="123"/>
        <v/>
      </c>
    </row>
    <row r="1198" spans="1:62" ht="15" customHeight="1" x14ac:dyDescent="0.25">
      <c r="A1198" t="str">
        <f>"1467435115"</f>
        <v>1467435115</v>
      </c>
      <c r="B1198" t="str">
        <f>"01805614"</f>
        <v>01805614</v>
      </c>
      <c r="C1198" t="s">
        <v>6512</v>
      </c>
      <c r="D1198" t="s">
        <v>6513</v>
      </c>
      <c r="E1198" t="s">
        <v>6514</v>
      </c>
      <c r="G1198" t="s">
        <v>6507</v>
      </c>
      <c r="H1198" t="s">
        <v>6508</v>
      </c>
      <c r="J1198" t="s">
        <v>6509</v>
      </c>
      <c r="L1198" t="s">
        <v>138</v>
      </c>
      <c r="M1198" t="s">
        <v>108</v>
      </c>
      <c r="R1198" t="s">
        <v>6515</v>
      </c>
      <c r="W1198" t="s">
        <v>6516</v>
      </c>
      <c r="X1198" t="s">
        <v>196</v>
      </c>
      <c r="Y1198" t="s">
        <v>181</v>
      </c>
      <c r="Z1198" t="s">
        <v>182</v>
      </c>
      <c r="AA1198" t="str">
        <f>"18840-1625"</f>
        <v>18840-1625</v>
      </c>
      <c r="AB1198" t="s">
        <v>123</v>
      </c>
      <c r="AC1198" t="s">
        <v>113</v>
      </c>
      <c r="AD1198" t="s">
        <v>108</v>
      </c>
      <c r="AE1198" t="s">
        <v>114</v>
      </c>
      <c r="AF1198" t="s">
        <v>142</v>
      </c>
      <c r="AG1198" t="s">
        <v>116</v>
      </c>
      <c r="AK1198" t="str">
        <f t="shared" si="120"/>
        <v>Schackow T. Eric</v>
      </c>
      <c r="AL1198" t="s">
        <v>6513</v>
      </c>
      <c r="AM1198" t="s">
        <v>108</v>
      </c>
      <c r="AN1198" t="s">
        <v>108</v>
      </c>
      <c r="AO1198" t="s">
        <v>108</v>
      </c>
      <c r="AP1198" t="s">
        <v>108</v>
      </c>
      <c r="AQ1198" t="s">
        <v>108</v>
      </c>
      <c r="AR1198" t="s">
        <v>108</v>
      </c>
      <c r="AS1198" t="s">
        <v>108</v>
      </c>
      <c r="AT1198" t="s">
        <v>108</v>
      </c>
      <c r="AU1198" t="s">
        <v>108</v>
      </c>
      <c r="AV1198" t="s">
        <v>108</v>
      </c>
      <c r="AW1198" t="s">
        <v>108</v>
      </c>
      <c r="AX1198" s="24" t="str">
        <f t="shared" si="125"/>
        <v/>
      </c>
      <c r="AY1198" s="24">
        <f t="shared" si="125"/>
        <v>1</v>
      </c>
      <c r="AZ1198" s="24" t="str">
        <f t="shared" si="124"/>
        <v/>
      </c>
      <c r="BA1198" s="24" t="str">
        <f t="shared" si="124"/>
        <v/>
      </c>
      <c r="BB1198" s="24" t="str">
        <f t="shared" si="124"/>
        <v/>
      </c>
      <c r="BC1198" s="24" t="str">
        <f t="shared" si="124"/>
        <v/>
      </c>
      <c r="BD1198" s="24" t="str">
        <f t="shared" si="124"/>
        <v/>
      </c>
      <c r="BE1198" s="24" t="str">
        <f t="shared" si="124"/>
        <v/>
      </c>
      <c r="BF1198" s="24" t="str">
        <f t="shared" si="124"/>
        <v/>
      </c>
      <c r="BG1198" s="24" t="str">
        <f t="shared" si="124"/>
        <v/>
      </c>
      <c r="BH1198" s="24" t="str">
        <f t="shared" si="121"/>
        <v/>
      </c>
      <c r="BI1198" s="24">
        <f t="shared" si="124"/>
        <v>1</v>
      </c>
      <c r="BJ1198" s="24" t="str">
        <f t="shared" si="123"/>
        <v/>
      </c>
    </row>
    <row r="1199" spans="1:62" ht="15" customHeight="1" x14ac:dyDescent="0.25">
      <c r="A1199" t="str">
        <f>"1003965146"</f>
        <v>1003965146</v>
      </c>
      <c r="B1199" t="str">
        <f>"01457363"</f>
        <v>01457363</v>
      </c>
      <c r="C1199" t="s">
        <v>6791</v>
      </c>
      <c r="D1199" t="s">
        <v>7067</v>
      </c>
      <c r="E1199" t="s">
        <v>6926</v>
      </c>
      <c r="G1199" t="s">
        <v>297</v>
      </c>
      <c r="H1199" t="s">
        <v>298</v>
      </c>
      <c r="J1199" t="s">
        <v>299</v>
      </c>
      <c r="L1199" t="s">
        <v>138</v>
      </c>
      <c r="M1199" t="s">
        <v>108</v>
      </c>
      <c r="R1199" t="s">
        <v>6791</v>
      </c>
      <c r="W1199" t="s">
        <v>6926</v>
      </c>
      <c r="X1199" t="s">
        <v>6927</v>
      </c>
      <c r="Y1199" t="s">
        <v>293</v>
      </c>
      <c r="Z1199" t="s">
        <v>111</v>
      </c>
      <c r="AA1199" t="str">
        <f>"14850-1342"</f>
        <v>14850-1342</v>
      </c>
      <c r="AB1199" t="s">
        <v>123</v>
      </c>
      <c r="AC1199" t="s">
        <v>113</v>
      </c>
      <c r="AD1199" t="s">
        <v>108</v>
      </c>
      <c r="AE1199" t="s">
        <v>114</v>
      </c>
      <c r="AF1199" t="s">
        <v>142</v>
      </c>
      <c r="AG1199" t="s">
        <v>116</v>
      </c>
      <c r="AK1199" t="str">
        <f t="shared" si="120"/>
        <v>SCHERER JUDITH</v>
      </c>
      <c r="AL1199" t="s">
        <v>7067</v>
      </c>
      <c r="AM1199" t="s">
        <v>108</v>
      </c>
      <c r="AN1199" t="s">
        <v>108</v>
      </c>
      <c r="AO1199" t="s">
        <v>108</v>
      </c>
      <c r="AP1199" t="s">
        <v>108</v>
      </c>
      <c r="AQ1199" t="s">
        <v>108</v>
      </c>
      <c r="AR1199" t="s">
        <v>108</v>
      </c>
      <c r="AS1199" t="s">
        <v>108</v>
      </c>
      <c r="AT1199" t="s">
        <v>108</v>
      </c>
      <c r="AU1199" t="s">
        <v>108</v>
      </c>
      <c r="AV1199" t="s">
        <v>108</v>
      </c>
      <c r="AW1199" t="s">
        <v>108</v>
      </c>
      <c r="AX1199" s="24" t="str">
        <f t="shared" si="125"/>
        <v/>
      </c>
      <c r="AY1199" s="24">
        <f t="shared" si="125"/>
        <v>1</v>
      </c>
      <c r="AZ1199" s="24" t="str">
        <f t="shared" si="124"/>
        <v/>
      </c>
      <c r="BA1199" s="24" t="str">
        <f t="shared" si="124"/>
        <v/>
      </c>
      <c r="BB1199" s="24" t="str">
        <f t="shared" si="124"/>
        <v/>
      </c>
      <c r="BC1199" s="24" t="str">
        <f t="shared" si="124"/>
        <v/>
      </c>
      <c r="BD1199" s="24" t="str">
        <f t="shared" si="124"/>
        <v/>
      </c>
      <c r="BE1199" s="24" t="str">
        <f t="shared" si="124"/>
        <v/>
      </c>
      <c r="BF1199" s="24" t="str">
        <f t="shared" si="124"/>
        <v/>
      </c>
      <c r="BG1199" s="24" t="str">
        <f t="shared" si="124"/>
        <v/>
      </c>
      <c r="BH1199" s="24" t="str">
        <f t="shared" si="121"/>
        <v/>
      </c>
      <c r="BI1199" s="24">
        <f t="shared" si="124"/>
        <v>1</v>
      </c>
      <c r="BJ1199" s="24" t="str">
        <f t="shared" si="123"/>
        <v/>
      </c>
    </row>
    <row r="1200" spans="1:62" ht="15" customHeight="1" x14ac:dyDescent="0.25">
      <c r="A1200" t="str">
        <f>"1447213566"</f>
        <v>1447213566</v>
      </c>
      <c r="B1200" t="str">
        <f>"03284746"</f>
        <v>03284746</v>
      </c>
      <c r="C1200" t="s">
        <v>5670</v>
      </c>
      <c r="D1200" t="s">
        <v>5671</v>
      </c>
      <c r="E1200" t="s">
        <v>5672</v>
      </c>
      <c r="L1200" t="s">
        <v>247</v>
      </c>
      <c r="M1200" t="s">
        <v>108</v>
      </c>
      <c r="R1200" t="s">
        <v>5670</v>
      </c>
      <c r="W1200" t="s">
        <v>5672</v>
      </c>
      <c r="X1200" t="s">
        <v>1151</v>
      </c>
      <c r="Y1200" t="s">
        <v>1152</v>
      </c>
      <c r="Z1200" t="s">
        <v>111</v>
      </c>
      <c r="AA1200" t="str">
        <f>"13326-1301"</f>
        <v>13326-1301</v>
      </c>
      <c r="AB1200" t="s">
        <v>123</v>
      </c>
      <c r="AC1200" t="s">
        <v>113</v>
      </c>
      <c r="AD1200" t="s">
        <v>108</v>
      </c>
      <c r="AE1200" t="s">
        <v>114</v>
      </c>
      <c r="AF1200" t="s">
        <v>124</v>
      </c>
      <c r="AG1200" t="s">
        <v>116</v>
      </c>
      <c r="AK1200" t="str">
        <f t="shared" si="120"/>
        <v/>
      </c>
      <c r="AL1200" t="s">
        <v>5671</v>
      </c>
      <c r="AM1200">
        <v>0</v>
      </c>
      <c r="AN1200">
        <v>0</v>
      </c>
      <c r="AO1200">
        <v>0</v>
      </c>
      <c r="AP1200">
        <v>0</v>
      </c>
      <c r="AQ1200">
        <v>0</v>
      </c>
      <c r="AR1200">
        <v>0</v>
      </c>
      <c r="AS1200">
        <v>0</v>
      </c>
      <c r="AT1200">
        <v>0</v>
      </c>
      <c r="AU1200">
        <v>0</v>
      </c>
      <c r="AV1200">
        <v>0</v>
      </c>
      <c r="AW1200">
        <v>0</v>
      </c>
      <c r="AX1200" s="24" t="str">
        <f t="shared" si="125"/>
        <v/>
      </c>
      <c r="AY1200" s="24">
        <f t="shared" si="125"/>
        <v>1</v>
      </c>
      <c r="AZ1200" s="24" t="str">
        <f t="shared" si="124"/>
        <v/>
      </c>
      <c r="BA1200" s="24" t="str">
        <f t="shared" si="124"/>
        <v/>
      </c>
      <c r="BB1200" s="24" t="str">
        <f t="shared" si="124"/>
        <v/>
      </c>
      <c r="BC1200" s="24" t="str">
        <f t="shared" si="124"/>
        <v/>
      </c>
      <c r="BD1200" s="24" t="str">
        <f t="shared" si="124"/>
        <v/>
      </c>
      <c r="BE1200" s="24" t="str">
        <f t="shared" si="124"/>
        <v/>
      </c>
      <c r="BF1200" s="24" t="str">
        <f t="shared" si="124"/>
        <v/>
      </c>
      <c r="BG1200" s="24" t="str">
        <f t="shared" si="124"/>
        <v/>
      </c>
      <c r="BH1200" s="24" t="str">
        <f t="shared" si="121"/>
        <v/>
      </c>
      <c r="BI1200" s="24" t="str">
        <f t="shared" si="124"/>
        <v/>
      </c>
      <c r="BJ1200" s="24" t="str">
        <f t="shared" si="123"/>
        <v/>
      </c>
    </row>
    <row r="1201" spans="1:62" ht="15" customHeight="1" x14ac:dyDescent="0.25">
      <c r="A1201" t="str">
        <f>"1104807247"</f>
        <v>1104807247</v>
      </c>
      <c r="B1201" t="str">
        <f>"02727640"</f>
        <v>02727640</v>
      </c>
      <c r="C1201" t="s">
        <v>5673</v>
      </c>
      <c r="D1201" t="s">
        <v>5674</v>
      </c>
      <c r="E1201" t="s">
        <v>5675</v>
      </c>
      <c r="G1201" t="s">
        <v>6330</v>
      </c>
      <c r="H1201" t="s">
        <v>6331</v>
      </c>
      <c r="J1201" t="s">
        <v>6332</v>
      </c>
      <c r="L1201" t="s">
        <v>120</v>
      </c>
      <c r="M1201" t="s">
        <v>108</v>
      </c>
      <c r="R1201" t="s">
        <v>5673</v>
      </c>
      <c r="W1201" t="s">
        <v>5675</v>
      </c>
      <c r="X1201" t="s">
        <v>5125</v>
      </c>
      <c r="Y1201" t="s">
        <v>110</v>
      </c>
      <c r="Z1201" t="s">
        <v>111</v>
      </c>
      <c r="AA1201" t="str">
        <f>"13901-1043"</f>
        <v>13901-1043</v>
      </c>
      <c r="AB1201" t="s">
        <v>123</v>
      </c>
      <c r="AC1201" t="s">
        <v>113</v>
      </c>
      <c r="AD1201" t="s">
        <v>108</v>
      </c>
      <c r="AE1201" t="s">
        <v>114</v>
      </c>
      <c r="AF1201" t="s">
        <v>115</v>
      </c>
      <c r="AG1201" t="s">
        <v>116</v>
      </c>
      <c r="AK1201" t="str">
        <f t="shared" si="120"/>
        <v/>
      </c>
      <c r="AL1201" t="s">
        <v>5674</v>
      </c>
      <c r="AM1201">
        <v>1</v>
      </c>
      <c r="AN1201">
        <v>1</v>
      </c>
      <c r="AO1201">
        <v>0</v>
      </c>
      <c r="AP1201">
        <v>1</v>
      </c>
      <c r="AQ1201">
        <v>1</v>
      </c>
      <c r="AR1201">
        <v>0</v>
      </c>
      <c r="AS1201">
        <v>0</v>
      </c>
      <c r="AT1201">
        <v>0</v>
      </c>
      <c r="AU1201">
        <v>0</v>
      </c>
      <c r="AV1201">
        <v>0</v>
      </c>
      <c r="AW1201">
        <v>0</v>
      </c>
      <c r="AX1201" s="24">
        <f t="shared" si="125"/>
        <v>1</v>
      </c>
      <c r="AY1201" s="24" t="str">
        <f t="shared" si="125"/>
        <v/>
      </c>
      <c r="AZ1201" s="24" t="str">
        <f t="shared" si="124"/>
        <v/>
      </c>
      <c r="BA1201" s="24" t="str">
        <f t="shared" si="124"/>
        <v/>
      </c>
      <c r="BB1201" s="24" t="str">
        <f t="shared" si="124"/>
        <v/>
      </c>
      <c r="BC1201" s="24" t="str">
        <f t="shared" si="124"/>
        <v/>
      </c>
      <c r="BD1201" s="24" t="str">
        <f t="shared" si="124"/>
        <v/>
      </c>
      <c r="BE1201" s="24" t="str">
        <f t="shared" si="124"/>
        <v/>
      </c>
      <c r="BF1201" s="24" t="str">
        <f t="shared" si="124"/>
        <v/>
      </c>
      <c r="BG1201" s="24" t="str">
        <f t="shared" si="124"/>
        <v/>
      </c>
      <c r="BH1201" s="24" t="str">
        <f t="shared" si="121"/>
        <v/>
      </c>
      <c r="BI1201" s="24">
        <f t="shared" si="124"/>
        <v>1</v>
      </c>
      <c r="BJ1201" s="24" t="str">
        <f t="shared" si="123"/>
        <v/>
      </c>
    </row>
    <row r="1202" spans="1:62" ht="15" customHeight="1" x14ac:dyDescent="0.25">
      <c r="A1202" t="str">
        <f>"1215286299"</f>
        <v>1215286299</v>
      </c>
      <c r="B1202" t="str">
        <f>"03496077"</f>
        <v>03496077</v>
      </c>
      <c r="C1202" t="s">
        <v>6343</v>
      </c>
      <c r="D1202" t="s">
        <v>6344</v>
      </c>
      <c r="E1202" t="s">
        <v>6345</v>
      </c>
      <c r="G1202" t="s">
        <v>6330</v>
      </c>
      <c r="H1202" t="s">
        <v>6331</v>
      </c>
      <c r="J1202" t="s">
        <v>6332</v>
      </c>
      <c r="L1202" t="s">
        <v>120</v>
      </c>
      <c r="M1202" t="s">
        <v>108</v>
      </c>
      <c r="R1202" t="s">
        <v>6346</v>
      </c>
      <c r="W1202" t="s">
        <v>6345</v>
      </c>
      <c r="X1202" t="s">
        <v>4150</v>
      </c>
      <c r="Y1202" t="s">
        <v>4151</v>
      </c>
      <c r="Z1202" t="s">
        <v>111</v>
      </c>
      <c r="AA1202" t="str">
        <f>"13754-1301"</f>
        <v>13754-1301</v>
      </c>
      <c r="AB1202" t="s">
        <v>123</v>
      </c>
      <c r="AC1202" t="s">
        <v>113</v>
      </c>
      <c r="AD1202" t="s">
        <v>108</v>
      </c>
      <c r="AE1202" t="s">
        <v>114</v>
      </c>
      <c r="AF1202" t="s">
        <v>115</v>
      </c>
      <c r="AG1202" t="s">
        <v>116</v>
      </c>
      <c r="AK1202" t="str">
        <f t="shared" si="120"/>
        <v>Schultz Julia</v>
      </c>
      <c r="AL1202" t="s">
        <v>6344</v>
      </c>
      <c r="AM1202" t="s">
        <v>108</v>
      </c>
      <c r="AN1202" t="s">
        <v>108</v>
      </c>
      <c r="AO1202" t="s">
        <v>108</v>
      </c>
      <c r="AP1202" t="s">
        <v>108</v>
      </c>
      <c r="AQ1202" t="s">
        <v>108</v>
      </c>
      <c r="AR1202" t="s">
        <v>108</v>
      </c>
      <c r="AS1202" t="s">
        <v>108</v>
      </c>
      <c r="AT1202" t="s">
        <v>108</v>
      </c>
      <c r="AU1202" t="s">
        <v>108</v>
      </c>
      <c r="AV1202" t="s">
        <v>108</v>
      </c>
      <c r="AW1202" t="s">
        <v>108</v>
      </c>
      <c r="AX1202" s="24">
        <f t="shared" si="125"/>
        <v>1</v>
      </c>
      <c r="AY1202" s="24" t="str">
        <f t="shared" si="125"/>
        <v/>
      </c>
      <c r="AZ1202" s="24" t="str">
        <f t="shared" si="124"/>
        <v/>
      </c>
      <c r="BA1202" s="24" t="str">
        <f t="shared" si="124"/>
        <v/>
      </c>
      <c r="BB1202" s="24" t="str">
        <f t="shared" si="124"/>
        <v/>
      </c>
      <c r="BC1202" s="24" t="str">
        <f t="shared" si="124"/>
        <v/>
      </c>
      <c r="BD1202" s="24" t="str">
        <f t="shared" si="124"/>
        <v/>
      </c>
      <c r="BE1202" s="24" t="str">
        <f t="shared" si="124"/>
        <v/>
      </c>
      <c r="BF1202" s="24" t="str">
        <f t="shared" si="124"/>
        <v/>
      </c>
      <c r="BG1202" s="24" t="str">
        <f t="shared" si="124"/>
        <v/>
      </c>
      <c r="BH1202" s="24" t="str">
        <f t="shared" si="121"/>
        <v/>
      </c>
      <c r="BI1202" s="24">
        <f t="shared" si="124"/>
        <v>1</v>
      </c>
      <c r="BJ1202" s="24" t="str">
        <f t="shared" si="123"/>
        <v/>
      </c>
    </row>
    <row r="1203" spans="1:62" ht="15" customHeight="1" x14ac:dyDescent="0.25">
      <c r="A1203" t="str">
        <f>"1285761759"</f>
        <v>1285761759</v>
      </c>
      <c r="B1203" t="str">
        <f>"01430946"</f>
        <v>01430946</v>
      </c>
      <c r="C1203" t="s">
        <v>2545</v>
      </c>
      <c r="D1203" t="s">
        <v>2546</v>
      </c>
      <c r="E1203" t="s">
        <v>2545</v>
      </c>
      <c r="G1203" t="s">
        <v>2547</v>
      </c>
      <c r="H1203" t="s">
        <v>2548</v>
      </c>
      <c r="J1203" t="s">
        <v>2549</v>
      </c>
      <c r="L1203" t="s">
        <v>133</v>
      </c>
      <c r="M1203" t="s">
        <v>108</v>
      </c>
      <c r="R1203" t="s">
        <v>2550</v>
      </c>
      <c r="W1203" t="s">
        <v>2551</v>
      </c>
      <c r="X1203" t="s">
        <v>2552</v>
      </c>
      <c r="Y1203" t="s">
        <v>1203</v>
      </c>
      <c r="Z1203" t="s">
        <v>111</v>
      </c>
      <c r="AA1203" t="str">
        <f>"14891-1435"</f>
        <v>14891-1435</v>
      </c>
      <c r="AB1203" t="s">
        <v>282</v>
      </c>
      <c r="AC1203" t="s">
        <v>113</v>
      </c>
      <c r="AD1203" t="s">
        <v>108</v>
      </c>
      <c r="AE1203" t="s">
        <v>114</v>
      </c>
      <c r="AF1203" t="s">
        <v>142</v>
      </c>
      <c r="AG1203" t="s">
        <v>116</v>
      </c>
      <c r="AK1203" t="str">
        <f t="shared" si="120"/>
        <v>SCHUYLER CO HOME HLTH PSSHSP</v>
      </c>
      <c r="AL1203" t="s">
        <v>2546</v>
      </c>
      <c r="AM1203" t="s">
        <v>108</v>
      </c>
      <c r="AN1203" t="s">
        <v>108</v>
      </c>
      <c r="AO1203" t="s">
        <v>108</v>
      </c>
      <c r="AP1203" t="s">
        <v>108</v>
      </c>
      <c r="AQ1203" t="s">
        <v>108</v>
      </c>
      <c r="AR1203" t="s">
        <v>108</v>
      </c>
      <c r="AS1203" t="s">
        <v>108</v>
      </c>
      <c r="AT1203" t="s">
        <v>108</v>
      </c>
      <c r="AU1203" t="s">
        <v>108</v>
      </c>
      <c r="AV1203" t="s">
        <v>108</v>
      </c>
      <c r="AW1203" t="s">
        <v>108</v>
      </c>
      <c r="AX1203" s="24" t="str">
        <f t="shared" si="125"/>
        <v/>
      </c>
      <c r="AY1203" s="24" t="str">
        <f t="shared" si="125"/>
        <v/>
      </c>
      <c r="AZ1203" s="24" t="str">
        <f t="shared" si="124"/>
        <v/>
      </c>
      <c r="BA1203" s="24" t="str">
        <f t="shared" si="124"/>
        <v/>
      </c>
      <c r="BB1203" s="24" t="str">
        <f t="shared" si="124"/>
        <v/>
      </c>
      <c r="BC1203" s="24" t="str">
        <f t="shared" si="124"/>
        <v/>
      </c>
      <c r="BD1203" s="24" t="str">
        <f t="shared" si="124"/>
        <v/>
      </c>
      <c r="BE1203" s="24" t="str">
        <f t="shared" si="124"/>
        <v/>
      </c>
      <c r="BF1203" s="24" t="str">
        <f t="shared" si="124"/>
        <v/>
      </c>
      <c r="BG1203" s="24" t="str">
        <f t="shared" si="124"/>
        <v/>
      </c>
      <c r="BH1203" s="24" t="str">
        <f t="shared" si="121"/>
        <v/>
      </c>
      <c r="BI1203" s="24" t="str">
        <f t="shared" si="124"/>
        <v/>
      </c>
      <c r="BJ1203" s="24">
        <f t="shared" si="123"/>
        <v>1</v>
      </c>
    </row>
    <row r="1204" spans="1:62" ht="15" customHeight="1" x14ac:dyDescent="0.25">
      <c r="A1204" t="str">
        <f>"1356389225"</f>
        <v>1356389225</v>
      </c>
      <c r="B1204" t="str">
        <f>"03001952"</f>
        <v>03001952</v>
      </c>
      <c r="C1204" t="s">
        <v>2550</v>
      </c>
      <c r="D1204" t="s">
        <v>5692</v>
      </c>
      <c r="E1204" t="s">
        <v>5693</v>
      </c>
      <c r="G1204" t="s">
        <v>2547</v>
      </c>
      <c r="H1204" t="s">
        <v>2548</v>
      </c>
      <c r="J1204" t="s">
        <v>2549</v>
      </c>
      <c r="L1204" t="s">
        <v>690</v>
      </c>
      <c r="M1204" t="s">
        <v>108</v>
      </c>
      <c r="R1204" t="s">
        <v>2550</v>
      </c>
      <c r="W1204" t="s">
        <v>5693</v>
      </c>
      <c r="X1204" t="s">
        <v>4189</v>
      </c>
      <c r="Y1204" t="s">
        <v>927</v>
      </c>
      <c r="Z1204" t="s">
        <v>111</v>
      </c>
      <c r="AA1204" t="str">
        <f>"14904-1762"</f>
        <v>14904-1762</v>
      </c>
      <c r="AB1204" t="s">
        <v>165</v>
      </c>
      <c r="AC1204" t="s">
        <v>113</v>
      </c>
      <c r="AD1204" t="s">
        <v>108</v>
      </c>
      <c r="AE1204" t="s">
        <v>114</v>
      </c>
      <c r="AF1204" t="s">
        <v>149</v>
      </c>
      <c r="AG1204" t="s">
        <v>116</v>
      </c>
      <c r="AK1204" t="str">
        <f t="shared" si="120"/>
        <v/>
      </c>
      <c r="AL1204" t="s">
        <v>5692</v>
      </c>
      <c r="AM1204">
        <v>0</v>
      </c>
      <c r="AN1204">
        <v>0</v>
      </c>
      <c r="AO1204">
        <v>0</v>
      </c>
      <c r="AP1204">
        <v>0</v>
      </c>
      <c r="AQ1204">
        <v>0</v>
      </c>
      <c r="AR1204">
        <v>0</v>
      </c>
      <c r="AS1204">
        <v>0</v>
      </c>
      <c r="AT1204">
        <v>0</v>
      </c>
      <c r="AU1204">
        <v>0</v>
      </c>
      <c r="AV1204">
        <v>0</v>
      </c>
      <c r="AW1204">
        <v>0</v>
      </c>
      <c r="AX1204" s="24" t="str">
        <f t="shared" si="125"/>
        <v/>
      </c>
      <c r="AY1204" s="24" t="str">
        <f t="shared" si="125"/>
        <v/>
      </c>
      <c r="AZ1204" s="24" t="str">
        <f t="shared" si="124"/>
        <v/>
      </c>
      <c r="BA1204" s="24" t="str">
        <f t="shared" si="124"/>
        <v/>
      </c>
      <c r="BB1204" s="24">
        <f t="shared" si="124"/>
        <v>1</v>
      </c>
      <c r="BC1204" s="24" t="str">
        <f t="shared" si="124"/>
        <v/>
      </c>
      <c r="BD1204" s="24" t="str">
        <f t="shared" si="124"/>
        <v/>
      </c>
      <c r="BE1204" s="24" t="str">
        <f t="shared" si="124"/>
        <v/>
      </c>
      <c r="BF1204" s="24" t="str">
        <f t="shared" si="124"/>
        <v/>
      </c>
      <c r="BG1204" s="24" t="str">
        <f t="shared" si="124"/>
        <v/>
      </c>
      <c r="BH1204" s="24" t="str">
        <f t="shared" si="121"/>
        <v/>
      </c>
      <c r="BI1204" s="24">
        <f t="shared" si="124"/>
        <v>1</v>
      </c>
      <c r="BJ1204" s="24" t="str">
        <f t="shared" si="123"/>
        <v/>
      </c>
    </row>
    <row r="1205" spans="1:62" ht="15" customHeight="1" x14ac:dyDescent="0.25">
      <c r="A1205" t="str">
        <f>"1598839300"</f>
        <v>1598839300</v>
      </c>
      <c r="B1205" t="str">
        <f>"00798045"</f>
        <v>00798045</v>
      </c>
      <c r="C1205" t="s">
        <v>3926</v>
      </c>
      <c r="D1205" t="s">
        <v>3927</v>
      </c>
      <c r="E1205" t="s">
        <v>3928</v>
      </c>
      <c r="F1205">
        <v>161120089</v>
      </c>
      <c r="G1205" t="s">
        <v>3929</v>
      </c>
      <c r="H1205" t="s">
        <v>3930</v>
      </c>
      <c r="J1205" t="s">
        <v>3931</v>
      </c>
      <c r="L1205" t="s">
        <v>68</v>
      </c>
      <c r="M1205" t="s">
        <v>139</v>
      </c>
      <c r="R1205" t="s">
        <v>3932</v>
      </c>
      <c r="W1205" t="s">
        <v>3933</v>
      </c>
      <c r="X1205" t="s">
        <v>3934</v>
      </c>
      <c r="Y1205" t="s">
        <v>1203</v>
      </c>
      <c r="Z1205" t="s">
        <v>111</v>
      </c>
      <c r="AA1205" t="str">
        <f>"14891-1101"</f>
        <v>14891-1101</v>
      </c>
      <c r="AB1205" t="s">
        <v>312</v>
      </c>
      <c r="AC1205" t="s">
        <v>113</v>
      </c>
      <c r="AD1205" t="s">
        <v>108</v>
      </c>
      <c r="AE1205" t="s">
        <v>114</v>
      </c>
      <c r="AF1205" t="s">
        <v>142</v>
      </c>
      <c r="AG1205" t="s">
        <v>116</v>
      </c>
      <c r="AK1205" t="str">
        <f t="shared" si="120"/>
        <v/>
      </c>
      <c r="AL1205" t="s">
        <v>3927</v>
      </c>
      <c r="AM1205">
        <v>0</v>
      </c>
      <c r="AN1205">
        <v>0</v>
      </c>
      <c r="AO1205">
        <v>0</v>
      </c>
      <c r="AP1205">
        <v>0</v>
      </c>
      <c r="AQ1205">
        <v>0</v>
      </c>
      <c r="AR1205">
        <v>0</v>
      </c>
      <c r="AS1205">
        <v>0</v>
      </c>
      <c r="AT1205">
        <v>0</v>
      </c>
      <c r="AU1205">
        <v>0</v>
      </c>
      <c r="AV1205">
        <v>0</v>
      </c>
      <c r="AW1205">
        <v>0</v>
      </c>
      <c r="AX1205" s="24" t="str">
        <f t="shared" si="125"/>
        <v/>
      </c>
      <c r="AY1205" s="24" t="str">
        <f t="shared" si="125"/>
        <v/>
      </c>
      <c r="AZ1205" s="24" t="str">
        <f t="shared" si="124"/>
        <v/>
      </c>
      <c r="BA1205" s="24" t="str">
        <f t="shared" si="124"/>
        <v/>
      </c>
      <c r="BB1205" s="24" t="str">
        <f t="shared" si="124"/>
        <v/>
      </c>
      <c r="BC1205" s="24" t="str">
        <f t="shared" si="124"/>
        <v/>
      </c>
      <c r="BD1205" s="24" t="str">
        <f t="shared" si="124"/>
        <v/>
      </c>
      <c r="BE1205" s="24" t="str">
        <f t="shared" si="124"/>
        <v/>
      </c>
      <c r="BF1205" s="24" t="str">
        <f t="shared" si="124"/>
        <v/>
      </c>
      <c r="BG1205" s="24" t="str">
        <f t="shared" si="124"/>
        <v/>
      </c>
      <c r="BH1205" s="24" t="str">
        <f t="shared" si="121"/>
        <v/>
      </c>
      <c r="BI1205" s="24">
        <f t="shared" si="124"/>
        <v>1</v>
      </c>
      <c r="BJ1205" s="24" t="str">
        <f t="shared" si="123"/>
        <v/>
      </c>
    </row>
    <row r="1206" spans="1:62" ht="15" customHeight="1" x14ac:dyDescent="0.25">
      <c r="B1206" t="str">
        <f>"00909962"</f>
        <v>00909962</v>
      </c>
      <c r="C1206" t="s">
        <v>3926</v>
      </c>
      <c r="D1206" t="s">
        <v>3935</v>
      </c>
      <c r="E1206" t="s">
        <v>3936</v>
      </c>
      <c r="G1206" t="s">
        <v>3929</v>
      </c>
      <c r="H1206" t="s">
        <v>3930</v>
      </c>
      <c r="J1206" t="s">
        <v>3931</v>
      </c>
      <c r="L1206" t="s">
        <v>133</v>
      </c>
      <c r="M1206" t="s">
        <v>108</v>
      </c>
      <c r="W1206" t="s">
        <v>3936</v>
      </c>
      <c r="X1206" t="s">
        <v>3937</v>
      </c>
      <c r="Y1206" t="s">
        <v>1203</v>
      </c>
      <c r="Z1206" t="s">
        <v>111</v>
      </c>
      <c r="AA1206" t="str">
        <f>"14891-1617"</f>
        <v>14891-1617</v>
      </c>
      <c r="AB1206" t="s">
        <v>3916</v>
      </c>
      <c r="AC1206" t="s">
        <v>113</v>
      </c>
      <c r="AD1206" t="s">
        <v>108</v>
      </c>
      <c r="AE1206" t="s">
        <v>114</v>
      </c>
      <c r="AF1206" t="s">
        <v>142</v>
      </c>
      <c r="AG1206" t="s">
        <v>116</v>
      </c>
      <c r="AK1206" t="str">
        <f t="shared" si="120"/>
        <v>Schuyler County Chapter, NYSARC Inc.</v>
      </c>
      <c r="AL1206" t="s">
        <v>3935</v>
      </c>
      <c r="AM1206" t="s">
        <v>108</v>
      </c>
      <c r="AN1206" t="s">
        <v>108</v>
      </c>
      <c r="AO1206" t="s">
        <v>108</v>
      </c>
      <c r="AP1206" t="s">
        <v>108</v>
      </c>
      <c r="AQ1206" t="s">
        <v>108</v>
      </c>
      <c r="AR1206" t="s">
        <v>108</v>
      </c>
      <c r="AS1206" t="s">
        <v>108</v>
      </c>
      <c r="AT1206" t="s">
        <v>108</v>
      </c>
      <c r="AU1206" t="s">
        <v>108</v>
      </c>
      <c r="AV1206" t="s">
        <v>108</v>
      </c>
      <c r="AW1206" t="s">
        <v>108</v>
      </c>
      <c r="AX1206" s="24" t="str">
        <f t="shared" si="125"/>
        <v/>
      </c>
      <c r="AY1206" s="24" t="str">
        <f t="shared" si="125"/>
        <v/>
      </c>
      <c r="AZ1206" s="24" t="str">
        <f t="shared" si="124"/>
        <v/>
      </c>
      <c r="BA1206" s="24" t="str">
        <f t="shared" si="124"/>
        <v/>
      </c>
      <c r="BB1206" s="24" t="str">
        <f t="shared" si="124"/>
        <v/>
      </c>
      <c r="BC1206" s="24" t="str">
        <f t="shared" si="124"/>
        <v/>
      </c>
      <c r="BD1206" s="24" t="str">
        <f t="shared" si="124"/>
        <v/>
      </c>
      <c r="BE1206" s="24" t="str">
        <f t="shared" si="124"/>
        <v/>
      </c>
      <c r="BF1206" s="24" t="str">
        <f t="shared" si="124"/>
        <v/>
      </c>
      <c r="BG1206" s="24" t="str">
        <f t="shared" si="124"/>
        <v/>
      </c>
      <c r="BH1206" s="24" t="str">
        <f t="shared" si="121"/>
        <v/>
      </c>
      <c r="BI1206" s="24" t="str">
        <f t="shared" si="124"/>
        <v/>
      </c>
      <c r="BJ1206" s="24">
        <f t="shared" si="123"/>
        <v>1</v>
      </c>
    </row>
    <row r="1207" spans="1:62" ht="15" customHeight="1" x14ac:dyDescent="0.25">
      <c r="A1207" t="str">
        <f>"1528131794"</f>
        <v>1528131794</v>
      </c>
      <c r="B1207" t="str">
        <f>"01227072"</f>
        <v>01227072</v>
      </c>
      <c r="C1207" t="s">
        <v>3926</v>
      </c>
      <c r="D1207" t="s">
        <v>4161</v>
      </c>
      <c r="E1207" t="s">
        <v>4162</v>
      </c>
      <c r="F1207">
        <v>161120089</v>
      </c>
      <c r="G1207" t="s">
        <v>3929</v>
      </c>
      <c r="H1207" t="s">
        <v>3930</v>
      </c>
      <c r="J1207" t="s">
        <v>3931</v>
      </c>
      <c r="L1207" t="s">
        <v>68</v>
      </c>
      <c r="M1207" t="s">
        <v>108</v>
      </c>
      <c r="R1207" t="s">
        <v>3932</v>
      </c>
      <c r="W1207" t="s">
        <v>4163</v>
      </c>
      <c r="X1207" t="s">
        <v>4164</v>
      </c>
      <c r="Y1207" t="s">
        <v>1655</v>
      </c>
      <c r="Z1207" t="s">
        <v>111</v>
      </c>
      <c r="AA1207" t="str">
        <f>"14865-9641"</f>
        <v>14865-9641</v>
      </c>
      <c r="AB1207" t="s">
        <v>312</v>
      </c>
      <c r="AC1207" t="s">
        <v>113</v>
      </c>
      <c r="AD1207" t="s">
        <v>108</v>
      </c>
      <c r="AE1207" t="s">
        <v>114</v>
      </c>
      <c r="AF1207" t="s">
        <v>142</v>
      </c>
      <c r="AG1207" t="s">
        <v>116</v>
      </c>
      <c r="AK1207" t="str">
        <f t="shared" si="120"/>
        <v/>
      </c>
      <c r="AL1207" t="s">
        <v>4161</v>
      </c>
      <c r="AM1207">
        <v>0</v>
      </c>
      <c r="AN1207">
        <v>0</v>
      </c>
      <c r="AO1207">
        <v>0</v>
      </c>
      <c r="AP1207">
        <v>0</v>
      </c>
      <c r="AQ1207">
        <v>0</v>
      </c>
      <c r="AR1207">
        <v>0</v>
      </c>
      <c r="AS1207">
        <v>0</v>
      </c>
      <c r="AT1207">
        <v>0</v>
      </c>
      <c r="AU1207">
        <v>0</v>
      </c>
      <c r="AV1207">
        <v>0</v>
      </c>
      <c r="AW1207">
        <v>0</v>
      </c>
      <c r="AX1207" s="24" t="str">
        <f t="shared" si="125"/>
        <v/>
      </c>
      <c r="AY1207" s="24" t="str">
        <f t="shared" si="125"/>
        <v/>
      </c>
      <c r="AZ1207" s="24" t="str">
        <f t="shared" si="124"/>
        <v/>
      </c>
      <c r="BA1207" s="24" t="str">
        <f t="shared" si="124"/>
        <v/>
      </c>
      <c r="BB1207" s="24" t="str">
        <f t="shared" si="124"/>
        <v/>
      </c>
      <c r="BC1207" s="24" t="str">
        <f t="shared" si="124"/>
        <v/>
      </c>
      <c r="BD1207" s="24" t="str">
        <f t="shared" si="124"/>
        <v/>
      </c>
      <c r="BE1207" s="24" t="str">
        <f t="shared" si="124"/>
        <v/>
      </c>
      <c r="BF1207" s="24" t="str">
        <f t="shared" si="124"/>
        <v/>
      </c>
      <c r="BG1207" s="24" t="str">
        <f t="shared" si="124"/>
        <v/>
      </c>
      <c r="BH1207" s="24" t="str">
        <f t="shared" si="121"/>
        <v/>
      </c>
      <c r="BI1207" s="24">
        <f t="shared" si="124"/>
        <v>1</v>
      </c>
      <c r="BJ1207" s="24" t="str">
        <f t="shared" si="123"/>
        <v/>
      </c>
    </row>
    <row r="1208" spans="1:62" ht="15" customHeight="1" x14ac:dyDescent="0.25">
      <c r="B1208" t="str">
        <f>"02005250"</f>
        <v>02005250</v>
      </c>
      <c r="C1208" t="s">
        <v>3926</v>
      </c>
      <c r="D1208" t="s">
        <v>4165</v>
      </c>
      <c r="E1208" t="s">
        <v>4166</v>
      </c>
      <c r="F1208">
        <v>161120089</v>
      </c>
      <c r="G1208" t="s">
        <v>3929</v>
      </c>
      <c r="H1208" t="s">
        <v>3930</v>
      </c>
      <c r="J1208" t="s">
        <v>3931</v>
      </c>
      <c r="L1208" t="s">
        <v>66</v>
      </c>
      <c r="M1208" t="s">
        <v>108</v>
      </c>
      <c r="W1208" t="s">
        <v>4167</v>
      </c>
      <c r="X1208" t="s">
        <v>4168</v>
      </c>
      <c r="Y1208" t="s">
        <v>1203</v>
      </c>
      <c r="Z1208" t="s">
        <v>111</v>
      </c>
      <c r="AA1208" t="str">
        <f>"14891-1617"</f>
        <v>14891-1617</v>
      </c>
      <c r="AB1208" t="s">
        <v>165</v>
      </c>
      <c r="AC1208" t="s">
        <v>113</v>
      </c>
      <c r="AD1208" t="s">
        <v>108</v>
      </c>
      <c r="AE1208" t="s">
        <v>114</v>
      </c>
      <c r="AF1208" t="s">
        <v>142</v>
      </c>
      <c r="AG1208" t="s">
        <v>116</v>
      </c>
      <c r="AK1208" t="str">
        <f t="shared" si="120"/>
        <v/>
      </c>
      <c r="AL1208" t="s">
        <v>4165</v>
      </c>
      <c r="AM1208">
        <v>0</v>
      </c>
      <c r="AN1208">
        <v>0</v>
      </c>
      <c r="AO1208">
        <v>0</v>
      </c>
      <c r="AP1208">
        <v>0</v>
      </c>
      <c r="AQ1208">
        <v>0</v>
      </c>
      <c r="AR1208">
        <v>0</v>
      </c>
      <c r="AS1208">
        <v>0</v>
      </c>
      <c r="AT1208">
        <v>0</v>
      </c>
      <c r="AU1208">
        <v>0</v>
      </c>
      <c r="AV1208">
        <v>0</v>
      </c>
      <c r="AW1208">
        <v>0</v>
      </c>
      <c r="AX1208" s="24" t="str">
        <f t="shared" si="125"/>
        <v/>
      </c>
      <c r="AY1208" s="24" t="str">
        <f t="shared" si="125"/>
        <v/>
      </c>
      <c r="AZ1208" s="24" t="str">
        <f t="shared" si="124"/>
        <v/>
      </c>
      <c r="BA1208" s="24" t="str">
        <f t="shared" si="124"/>
        <v/>
      </c>
      <c r="BB1208" s="24">
        <f t="shared" si="124"/>
        <v>1</v>
      </c>
      <c r="BC1208" s="24" t="str">
        <f t="shared" si="124"/>
        <v/>
      </c>
      <c r="BD1208" s="24" t="str">
        <f t="shared" si="124"/>
        <v/>
      </c>
      <c r="BE1208" s="24" t="str">
        <f t="shared" si="124"/>
        <v/>
      </c>
      <c r="BF1208" s="24" t="str">
        <f t="shared" si="124"/>
        <v/>
      </c>
      <c r="BG1208" s="24" t="str">
        <f t="shared" si="124"/>
        <v/>
      </c>
      <c r="BH1208" s="24" t="str">
        <f t="shared" si="121"/>
        <v/>
      </c>
      <c r="BI1208" s="24" t="str">
        <f t="shared" si="124"/>
        <v/>
      </c>
      <c r="BJ1208" s="24" t="str">
        <f t="shared" si="123"/>
        <v/>
      </c>
    </row>
    <row r="1209" spans="1:62" ht="15" customHeight="1" x14ac:dyDescent="0.25">
      <c r="B1209" t="str">
        <f>"02093098"</f>
        <v>02093098</v>
      </c>
      <c r="C1209" t="s">
        <v>3926</v>
      </c>
      <c r="D1209" t="s">
        <v>4169</v>
      </c>
      <c r="E1209" t="s">
        <v>4170</v>
      </c>
      <c r="G1209" t="s">
        <v>3929</v>
      </c>
      <c r="H1209" t="s">
        <v>3930</v>
      </c>
      <c r="J1209" t="s">
        <v>3931</v>
      </c>
      <c r="L1209" t="s">
        <v>133</v>
      </c>
      <c r="M1209" t="s">
        <v>108</v>
      </c>
      <c r="W1209" t="s">
        <v>4170</v>
      </c>
      <c r="X1209" t="s">
        <v>4171</v>
      </c>
      <c r="Y1209" t="s">
        <v>1203</v>
      </c>
      <c r="Z1209" t="s">
        <v>111</v>
      </c>
      <c r="AA1209" t="str">
        <f>"14891"</f>
        <v>14891</v>
      </c>
      <c r="AB1209" t="s">
        <v>165</v>
      </c>
      <c r="AC1209" t="s">
        <v>113</v>
      </c>
      <c r="AD1209" t="s">
        <v>108</v>
      </c>
      <c r="AE1209" t="s">
        <v>114</v>
      </c>
      <c r="AF1209" t="s">
        <v>142</v>
      </c>
      <c r="AG1209" t="s">
        <v>116</v>
      </c>
      <c r="AK1209" t="str">
        <f t="shared" si="120"/>
        <v>Schuyler County Chapter, NYSARC Inc.</v>
      </c>
      <c r="AL1209" t="s">
        <v>4169</v>
      </c>
      <c r="AM1209" t="s">
        <v>108</v>
      </c>
      <c r="AN1209" t="s">
        <v>108</v>
      </c>
      <c r="AO1209" t="s">
        <v>108</v>
      </c>
      <c r="AP1209" t="s">
        <v>108</v>
      </c>
      <c r="AQ1209" t="s">
        <v>108</v>
      </c>
      <c r="AR1209" t="s">
        <v>108</v>
      </c>
      <c r="AS1209" t="s">
        <v>108</v>
      </c>
      <c r="AT1209" t="s">
        <v>108</v>
      </c>
      <c r="AU1209" t="s">
        <v>108</v>
      </c>
      <c r="AV1209" t="s">
        <v>108</v>
      </c>
      <c r="AW1209" t="s">
        <v>108</v>
      </c>
      <c r="AX1209" s="24" t="str">
        <f t="shared" si="125"/>
        <v/>
      </c>
      <c r="AY1209" s="24" t="str">
        <f t="shared" si="125"/>
        <v/>
      </c>
      <c r="AZ1209" s="24" t="str">
        <f t="shared" si="124"/>
        <v/>
      </c>
      <c r="BA1209" s="24" t="str">
        <f t="shared" si="124"/>
        <v/>
      </c>
      <c r="BB1209" s="24" t="str">
        <f t="shared" si="124"/>
        <v/>
      </c>
      <c r="BC1209" s="24" t="str">
        <f t="shared" si="124"/>
        <v/>
      </c>
      <c r="BD1209" s="24" t="str">
        <f t="shared" si="124"/>
        <v/>
      </c>
      <c r="BE1209" s="24" t="str">
        <f t="shared" si="124"/>
        <v/>
      </c>
      <c r="BF1209" s="24" t="str">
        <f t="shared" si="124"/>
        <v/>
      </c>
      <c r="BG1209" s="24" t="str">
        <f t="shared" si="124"/>
        <v/>
      </c>
      <c r="BH1209" s="24" t="str">
        <f t="shared" si="121"/>
        <v/>
      </c>
      <c r="BI1209" s="24" t="str">
        <f t="shared" si="124"/>
        <v/>
      </c>
      <c r="BJ1209" s="24">
        <f t="shared" si="123"/>
        <v>1</v>
      </c>
    </row>
    <row r="1210" spans="1:62" ht="15" customHeight="1" x14ac:dyDescent="0.25">
      <c r="B1210" t="str">
        <f>"02168321"</f>
        <v>02168321</v>
      </c>
      <c r="C1210" t="s">
        <v>3926</v>
      </c>
      <c r="D1210" t="s">
        <v>4172</v>
      </c>
      <c r="E1210" t="s">
        <v>4173</v>
      </c>
      <c r="G1210" t="s">
        <v>3929</v>
      </c>
      <c r="H1210" t="s">
        <v>3930</v>
      </c>
      <c r="J1210" t="s">
        <v>3931</v>
      </c>
      <c r="L1210" t="s">
        <v>68</v>
      </c>
      <c r="M1210" t="s">
        <v>108</v>
      </c>
      <c r="W1210" t="s">
        <v>4173</v>
      </c>
      <c r="X1210" t="s">
        <v>1065</v>
      </c>
      <c r="Y1210" t="s">
        <v>1203</v>
      </c>
      <c r="Z1210" t="s">
        <v>111</v>
      </c>
      <c r="AA1210" t="str">
        <f t="shared" ref="AA1210:AA1215" si="126">"14891-1617"</f>
        <v>14891-1617</v>
      </c>
      <c r="AB1210" t="s">
        <v>165</v>
      </c>
      <c r="AC1210" t="s">
        <v>113</v>
      </c>
      <c r="AD1210" t="s">
        <v>108</v>
      </c>
      <c r="AE1210" t="s">
        <v>114</v>
      </c>
      <c r="AF1210" t="s">
        <v>142</v>
      </c>
      <c r="AG1210" t="s">
        <v>116</v>
      </c>
      <c r="AK1210" t="str">
        <f t="shared" si="120"/>
        <v/>
      </c>
      <c r="AL1210" t="s">
        <v>4172</v>
      </c>
      <c r="AM1210">
        <v>0</v>
      </c>
      <c r="AN1210">
        <v>0</v>
      </c>
      <c r="AO1210">
        <v>0</v>
      </c>
      <c r="AP1210">
        <v>0</v>
      </c>
      <c r="AQ1210">
        <v>0</v>
      </c>
      <c r="AR1210">
        <v>0</v>
      </c>
      <c r="AS1210">
        <v>0</v>
      </c>
      <c r="AT1210">
        <v>0</v>
      </c>
      <c r="AU1210">
        <v>0</v>
      </c>
      <c r="AV1210">
        <v>0</v>
      </c>
      <c r="AW1210">
        <v>0</v>
      </c>
      <c r="AX1210" s="24" t="str">
        <f t="shared" si="125"/>
        <v/>
      </c>
      <c r="AY1210" s="24" t="str">
        <f t="shared" si="125"/>
        <v/>
      </c>
      <c r="AZ1210" s="24" t="str">
        <f t="shared" si="124"/>
        <v/>
      </c>
      <c r="BA1210" s="24" t="str">
        <f t="shared" si="124"/>
        <v/>
      </c>
      <c r="BB1210" s="24" t="str">
        <f t="shared" si="124"/>
        <v/>
      </c>
      <c r="BC1210" s="24" t="str">
        <f t="shared" si="124"/>
        <v/>
      </c>
      <c r="BD1210" s="24" t="str">
        <f t="shared" si="124"/>
        <v/>
      </c>
      <c r="BE1210" s="24" t="str">
        <f t="shared" si="124"/>
        <v/>
      </c>
      <c r="BF1210" s="24" t="str">
        <f t="shared" si="124"/>
        <v/>
      </c>
      <c r="BG1210" s="24" t="str">
        <f t="shared" si="124"/>
        <v/>
      </c>
      <c r="BH1210" s="24" t="str">
        <f t="shared" si="121"/>
        <v/>
      </c>
      <c r="BI1210" s="24">
        <f t="shared" si="124"/>
        <v>1</v>
      </c>
      <c r="BJ1210" s="24" t="str">
        <f t="shared" si="123"/>
        <v/>
      </c>
    </row>
    <row r="1211" spans="1:62" ht="15" customHeight="1" x14ac:dyDescent="0.25">
      <c r="B1211" t="str">
        <f>"02249049"</f>
        <v>02249049</v>
      </c>
      <c r="C1211" t="s">
        <v>3926</v>
      </c>
      <c r="D1211" t="s">
        <v>4174</v>
      </c>
      <c r="E1211" t="s">
        <v>4175</v>
      </c>
      <c r="F1211">
        <v>161120089</v>
      </c>
      <c r="G1211" t="s">
        <v>3929</v>
      </c>
      <c r="H1211" t="s">
        <v>3930</v>
      </c>
      <c r="J1211" t="s">
        <v>3931</v>
      </c>
      <c r="L1211" t="s">
        <v>68</v>
      </c>
      <c r="M1211" t="s">
        <v>108</v>
      </c>
      <c r="W1211" t="s">
        <v>4176</v>
      </c>
      <c r="X1211" t="s">
        <v>1186</v>
      </c>
      <c r="Y1211" t="s">
        <v>1203</v>
      </c>
      <c r="Z1211" t="s">
        <v>111</v>
      </c>
      <c r="AA1211" t="str">
        <f t="shared" si="126"/>
        <v>14891-1617</v>
      </c>
      <c r="AB1211" t="s">
        <v>165</v>
      </c>
      <c r="AC1211" t="s">
        <v>113</v>
      </c>
      <c r="AD1211" t="s">
        <v>108</v>
      </c>
      <c r="AE1211" t="s">
        <v>114</v>
      </c>
      <c r="AF1211" t="s">
        <v>142</v>
      </c>
      <c r="AG1211" t="s">
        <v>116</v>
      </c>
      <c r="AK1211" t="str">
        <f t="shared" si="120"/>
        <v/>
      </c>
      <c r="AL1211" t="s">
        <v>4174</v>
      </c>
      <c r="AM1211">
        <v>0</v>
      </c>
      <c r="AN1211">
        <v>0</v>
      </c>
      <c r="AO1211">
        <v>0</v>
      </c>
      <c r="AP1211">
        <v>0</v>
      </c>
      <c r="AQ1211">
        <v>0</v>
      </c>
      <c r="AR1211">
        <v>0</v>
      </c>
      <c r="AS1211">
        <v>0</v>
      </c>
      <c r="AT1211">
        <v>0</v>
      </c>
      <c r="AU1211">
        <v>0</v>
      </c>
      <c r="AV1211">
        <v>0</v>
      </c>
      <c r="AW1211">
        <v>0</v>
      </c>
      <c r="AX1211" s="24" t="str">
        <f t="shared" si="125"/>
        <v/>
      </c>
      <c r="AY1211" s="24" t="str">
        <f t="shared" si="125"/>
        <v/>
      </c>
      <c r="AZ1211" s="24" t="str">
        <f t="shared" si="124"/>
        <v/>
      </c>
      <c r="BA1211" s="24" t="str">
        <f t="shared" si="124"/>
        <v/>
      </c>
      <c r="BB1211" s="24" t="str">
        <f t="shared" si="124"/>
        <v/>
      </c>
      <c r="BC1211" s="24" t="str">
        <f t="shared" si="124"/>
        <v/>
      </c>
      <c r="BD1211" s="24" t="str">
        <f t="shared" si="124"/>
        <v/>
      </c>
      <c r="BE1211" s="24" t="str">
        <f t="shared" si="124"/>
        <v/>
      </c>
      <c r="BF1211" s="24" t="str">
        <f t="shared" si="124"/>
        <v/>
      </c>
      <c r="BG1211" s="24" t="str">
        <f t="shared" si="124"/>
        <v/>
      </c>
      <c r="BH1211" s="24" t="str">
        <f t="shared" si="121"/>
        <v/>
      </c>
      <c r="BI1211" s="24">
        <f t="shared" si="124"/>
        <v>1</v>
      </c>
      <c r="BJ1211" s="24" t="str">
        <f t="shared" si="123"/>
        <v/>
      </c>
    </row>
    <row r="1212" spans="1:62" ht="15" customHeight="1" x14ac:dyDescent="0.25">
      <c r="B1212" t="str">
        <f>"02249085"</f>
        <v>02249085</v>
      </c>
      <c r="C1212" t="s">
        <v>3926</v>
      </c>
      <c r="D1212" t="s">
        <v>4177</v>
      </c>
      <c r="E1212" t="s">
        <v>4178</v>
      </c>
      <c r="F1212">
        <v>161120089</v>
      </c>
      <c r="G1212" t="s">
        <v>3929</v>
      </c>
      <c r="H1212" t="s">
        <v>3930</v>
      </c>
      <c r="J1212" t="s">
        <v>3931</v>
      </c>
      <c r="L1212" t="s">
        <v>68</v>
      </c>
      <c r="M1212" t="s">
        <v>108</v>
      </c>
      <c r="W1212" t="s">
        <v>4178</v>
      </c>
      <c r="X1212" t="s">
        <v>170</v>
      </c>
      <c r="Y1212" t="s">
        <v>1203</v>
      </c>
      <c r="Z1212" t="s">
        <v>111</v>
      </c>
      <c r="AA1212" t="str">
        <f t="shared" si="126"/>
        <v>14891-1617</v>
      </c>
      <c r="AB1212" t="s">
        <v>165</v>
      </c>
      <c r="AC1212" t="s">
        <v>113</v>
      </c>
      <c r="AD1212" t="s">
        <v>108</v>
      </c>
      <c r="AE1212" t="s">
        <v>114</v>
      </c>
      <c r="AF1212" t="s">
        <v>142</v>
      </c>
      <c r="AG1212" t="s">
        <v>116</v>
      </c>
      <c r="AK1212" t="str">
        <f t="shared" si="120"/>
        <v/>
      </c>
      <c r="AL1212" t="s">
        <v>4177</v>
      </c>
      <c r="AM1212">
        <v>0</v>
      </c>
      <c r="AN1212">
        <v>0</v>
      </c>
      <c r="AO1212">
        <v>0</v>
      </c>
      <c r="AP1212">
        <v>0</v>
      </c>
      <c r="AQ1212">
        <v>0</v>
      </c>
      <c r="AR1212">
        <v>0</v>
      </c>
      <c r="AS1212">
        <v>0</v>
      </c>
      <c r="AT1212">
        <v>0</v>
      </c>
      <c r="AU1212">
        <v>0</v>
      </c>
      <c r="AV1212">
        <v>0</v>
      </c>
      <c r="AW1212">
        <v>0</v>
      </c>
      <c r="AX1212" s="24" t="str">
        <f t="shared" si="125"/>
        <v/>
      </c>
      <c r="AY1212" s="24" t="str">
        <f t="shared" si="125"/>
        <v/>
      </c>
      <c r="AZ1212" s="24" t="str">
        <f t="shared" si="124"/>
        <v/>
      </c>
      <c r="BA1212" s="24" t="str">
        <f t="shared" ref="AZ1212:BI1237" si="127">IF(ISERROR(FIND(BA$1,$L1212,1)),"",1)</f>
        <v/>
      </c>
      <c r="BB1212" s="24" t="str">
        <f t="shared" si="127"/>
        <v/>
      </c>
      <c r="BC1212" s="24" t="str">
        <f t="shared" si="127"/>
        <v/>
      </c>
      <c r="BD1212" s="24" t="str">
        <f t="shared" si="127"/>
        <v/>
      </c>
      <c r="BE1212" s="24" t="str">
        <f t="shared" si="127"/>
        <v/>
      </c>
      <c r="BF1212" s="24" t="str">
        <f t="shared" si="127"/>
        <v/>
      </c>
      <c r="BG1212" s="24" t="str">
        <f t="shared" si="127"/>
        <v/>
      </c>
      <c r="BH1212" s="24" t="str">
        <f t="shared" si="121"/>
        <v/>
      </c>
      <c r="BI1212" s="24">
        <f t="shared" si="127"/>
        <v>1</v>
      </c>
      <c r="BJ1212" s="24" t="str">
        <f t="shared" si="123"/>
        <v/>
      </c>
    </row>
    <row r="1213" spans="1:62" ht="15" customHeight="1" x14ac:dyDescent="0.25">
      <c r="B1213" t="str">
        <f>"02599571"</f>
        <v>02599571</v>
      </c>
      <c r="C1213" t="s">
        <v>3926</v>
      </c>
      <c r="D1213" t="s">
        <v>4179</v>
      </c>
      <c r="E1213" t="s">
        <v>4180</v>
      </c>
      <c r="G1213" t="s">
        <v>3929</v>
      </c>
      <c r="H1213" t="s">
        <v>3930</v>
      </c>
      <c r="J1213" t="s">
        <v>3931</v>
      </c>
      <c r="L1213" t="s">
        <v>68</v>
      </c>
      <c r="M1213" t="s">
        <v>108</v>
      </c>
      <c r="W1213" t="s">
        <v>4180</v>
      </c>
      <c r="X1213" t="s">
        <v>4168</v>
      </c>
      <c r="Y1213" t="s">
        <v>1203</v>
      </c>
      <c r="Z1213" t="s">
        <v>111</v>
      </c>
      <c r="AA1213" t="str">
        <f t="shared" si="126"/>
        <v>14891-1617</v>
      </c>
      <c r="AB1213" t="s">
        <v>165</v>
      </c>
      <c r="AC1213" t="s">
        <v>113</v>
      </c>
      <c r="AD1213" t="s">
        <v>108</v>
      </c>
      <c r="AE1213" t="s">
        <v>114</v>
      </c>
      <c r="AF1213" t="s">
        <v>142</v>
      </c>
      <c r="AG1213" t="s">
        <v>116</v>
      </c>
      <c r="AK1213" t="str">
        <f t="shared" si="120"/>
        <v/>
      </c>
      <c r="AL1213" t="s">
        <v>4179</v>
      </c>
      <c r="AM1213">
        <v>0</v>
      </c>
      <c r="AN1213">
        <v>0</v>
      </c>
      <c r="AO1213">
        <v>0</v>
      </c>
      <c r="AP1213">
        <v>0</v>
      </c>
      <c r="AQ1213">
        <v>0</v>
      </c>
      <c r="AR1213">
        <v>0</v>
      </c>
      <c r="AS1213">
        <v>0</v>
      </c>
      <c r="AT1213">
        <v>0</v>
      </c>
      <c r="AU1213">
        <v>0</v>
      </c>
      <c r="AV1213">
        <v>0</v>
      </c>
      <c r="AW1213">
        <v>0</v>
      </c>
      <c r="AX1213" s="24" t="str">
        <f t="shared" si="125"/>
        <v/>
      </c>
      <c r="AY1213" s="24" t="str">
        <f t="shared" si="125"/>
        <v/>
      </c>
      <c r="AZ1213" s="24" t="str">
        <f t="shared" si="127"/>
        <v/>
      </c>
      <c r="BA1213" s="24" t="str">
        <f t="shared" si="127"/>
        <v/>
      </c>
      <c r="BB1213" s="24" t="str">
        <f t="shared" si="127"/>
        <v/>
      </c>
      <c r="BC1213" s="24" t="str">
        <f t="shared" si="127"/>
        <v/>
      </c>
      <c r="BD1213" s="24" t="str">
        <f t="shared" si="127"/>
        <v/>
      </c>
      <c r="BE1213" s="24" t="str">
        <f t="shared" si="127"/>
        <v/>
      </c>
      <c r="BF1213" s="24" t="str">
        <f t="shared" si="127"/>
        <v/>
      </c>
      <c r="BG1213" s="24" t="str">
        <f t="shared" si="127"/>
        <v/>
      </c>
      <c r="BH1213" s="24" t="str">
        <f t="shared" si="121"/>
        <v/>
      </c>
      <c r="BI1213" s="24">
        <f t="shared" si="127"/>
        <v>1</v>
      </c>
      <c r="BJ1213" s="24" t="str">
        <f t="shared" si="123"/>
        <v/>
      </c>
    </row>
    <row r="1214" spans="1:62" ht="15" customHeight="1" x14ac:dyDescent="0.25">
      <c r="B1214" t="str">
        <f>"02702436"</f>
        <v>02702436</v>
      </c>
      <c r="C1214" t="s">
        <v>3926</v>
      </c>
      <c r="D1214" t="s">
        <v>4181</v>
      </c>
      <c r="E1214" t="s">
        <v>4182</v>
      </c>
      <c r="F1214">
        <v>161120089</v>
      </c>
      <c r="G1214" t="s">
        <v>3929</v>
      </c>
      <c r="H1214" t="s">
        <v>3930</v>
      </c>
      <c r="J1214" t="s">
        <v>3931</v>
      </c>
      <c r="L1214" t="s">
        <v>68</v>
      </c>
      <c r="M1214" t="s">
        <v>108</v>
      </c>
      <c r="W1214" t="s">
        <v>4182</v>
      </c>
      <c r="X1214" t="s">
        <v>173</v>
      </c>
      <c r="Y1214" t="s">
        <v>1203</v>
      </c>
      <c r="Z1214" t="s">
        <v>111</v>
      </c>
      <c r="AA1214" t="str">
        <f t="shared" si="126"/>
        <v>14891-1617</v>
      </c>
      <c r="AB1214" t="s">
        <v>165</v>
      </c>
      <c r="AC1214" t="s">
        <v>113</v>
      </c>
      <c r="AD1214" t="s">
        <v>108</v>
      </c>
      <c r="AE1214" t="s">
        <v>114</v>
      </c>
      <c r="AF1214" t="s">
        <v>142</v>
      </c>
      <c r="AG1214" t="s">
        <v>116</v>
      </c>
      <c r="AK1214" t="str">
        <f t="shared" si="120"/>
        <v/>
      </c>
      <c r="AL1214" t="s">
        <v>4181</v>
      </c>
      <c r="AM1214">
        <v>0</v>
      </c>
      <c r="AN1214">
        <v>0</v>
      </c>
      <c r="AO1214">
        <v>0</v>
      </c>
      <c r="AP1214">
        <v>0</v>
      </c>
      <c r="AQ1214">
        <v>0</v>
      </c>
      <c r="AR1214">
        <v>0</v>
      </c>
      <c r="AS1214">
        <v>0</v>
      </c>
      <c r="AT1214">
        <v>0</v>
      </c>
      <c r="AU1214">
        <v>0</v>
      </c>
      <c r="AV1214">
        <v>0</v>
      </c>
      <c r="AW1214">
        <v>0</v>
      </c>
      <c r="AX1214" s="24" t="str">
        <f t="shared" si="125"/>
        <v/>
      </c>
      <c r="AY1214" s="24" t="str">
        <f t="shared" si="125"/>
        <v/>
      </c>
      <c r="AZ1214" s="24" t="str">
        <f t="shared" si="127"/>
        <v/>
      </c>
      <c r="BA1214" s="24" t="str">
        <f t="shared" si="127"/>
        <v/>
      </c>
      <c r="BB1214" s="24" t="str">
        <f t="shared" si="127"/>
        <v/>
      </c>
      <c r="BC1214" s="24" t="str">
        <f t="shared" si="127"/>
        <v/>
      </c>
      <c r="BD1214" s="24" t="str">
        <f t="shared" si="127"/>
        <v/>
      </c>
      <c r="BE1214" s="24" t="str">
        <f t="shared" si="127"/>
        <v/>
      </c>
      <c r="BF1214" s="24" t="str">
        <f t="shared" si="127"/>
        <v/>
      </c>
      <c r="BG1214" s="24" t="str">
        <f t="shared" si="127"/>
        <v/>
      </c>
      <c r="BH1214" s="24" t="str">
        <f t="shared" si="121"/>
        <v/>
      </c>
      <c r="BI1214" s="24">
        <f t="shared" si="127"/>
        <v>1</v>
      </c>
      <c r="BJ1214" s="24" t="str">
        <f t="shared" si="123"/>
        <v/>
      </c>
    </row>
    <row r="1215" spans="1:62" ht="15" customHeight="1" x14ac:dyDescent="0.25">
      <c r="B1215" t="str">
        <f>"02743891"</f>
        <v>02743891</v>
      </c>
      <c r="C1215" t="s">
        <v>3926</v>
      </c>
      <c r="D1215" t="s">
        <v>4183</v>
      </c>
      <c r="E1215" t="s">
        <v>4184</v>
      </c>
      <c r="G1215" t="s">
        <v>3929</v>
      </c>
      <c r="H1215" t="s">
        <v>3930</v>
      </c>
      <c r="J1215" t="s">
        <v>3931</v>
      </c>
      <c r="L1215" t="s">
        <v>66</v>
      </c>
      <c r="M1215" t="s">
        <v>108</v>
      </c>
      <c r="W1215" t="s">
        <v>4185</v>
      </c>
      <c r="X1215" t="s">
        <v>4168</v>
      </c>
      <c r="Y1215" t="s">
        <v>1203</v>
      </c>
      <c r="Z1215" t="s">
        <v>111</v>
      </c>
      <c r="AA1215" t="str">
        <f t="shared" si="126"/>
        <v>14891-1617</v>
      </c>
      <c r="AB1215" t="s">
        <v>165</v>
      </c>
      <c r="AC1215" t="s">
        <v>113</v>
      </c>
      <c r="AD1215" t="s">
        <v>108</v>
      </c>
      <c r="AE1215" t="s">
        <v>114</v>
      </c>
      <c r="AF1215" t="s">
        <v>142</v>
      </c>
      <c r="AG1215" t="s">
        <v>116</v>
      </c>
      <c r="AK1215" t="str">
        <f t="shared" si="120"/>
        <v/>
      </c>
      <c r="AL1215" t="s">
        <v>4183</v>
      </c>
      <c r="AM1215">
        <v>0</v>
      </c>
      <c r="AN1215">
        <v>0</v>
      </c>
      <c r="AO1215">
        <v>0</v>
      </c>
      <c r="AP1215">
        <v>0</v>
      </c>
      <c r="AQ1215">
        <v>0</v>
      </c>
      <c r="AR1215">
        <v>0</v>
      </c>
      <c r="AS1215">
        <v>0</v>
      </c>
      <c r="AT1215">
        <v>0</v>
      </c>
      <c r="AU1215">
        <v>0</v>
      </c>
      <c r="AV1215">
        <v>0</v>
      </c>
      <c r="AW1215">
        <v>0</v>
      </c>
      <c r="AX1215" s="24" t="str">
        <f t="shared" si="125"/>
        <v/>
      </c>
      <c r="AY1215" s="24" t="str">
        <f t="shared" si="125"/>
        <v/>
      </c>
      <c r="AZ1215" s="24" t="str">
        <f t="shared" si="127"/>
        <v/>
      </c>
      <c r="BA1215" s="24" t="str">
        <f t="shared" si="127"/>
        <v/>
      </c>
      <c r="BB1215" s="24">
        <f t="shared" si="127"/>
        <v>1</v>
      </c>
      <c r="BC1215" s="24" t="str">
        <f t="shared" si="127"/>
        <v/>
      </c>
      <c r="BD1215" s="24" t="str">
        <f t="shared" si="127"/>
        <v/>
      </c>
      <c r="BE1215" s="24" t="str">
        <f t="shared" si="127"/>
        <v/>
      </c>
      <c r="BF1215" s="24" t="str">
        <f t="shared" si="127"/>
        <v/>
      </c>
      <c r="BG1215" s="24" t="str">
        <f t="shared" si="127"/>
        <v/>
      </c>
      <c r="BH1215" s="24" t="str">
        <f t="shared" si="121"/>
        <v/>
      </c>
      <c r="BI1215" s="24" t="str">
        <f t="shared" si="127"/>
        <v/>
      </c>
      <c r="BJ1215" s="24" t="str">
        <f t="shared" si="123"/>
        <v/>
      </c>
    </row>
    <row r="1216" spans="1:62" ht="15" customHeight="1" x14ac:dyDescent="0.25">
      <c r="A1216" t="str">
        <f>"1376788661"</f>
        <v>1376788661</v>
      </c>
      <c r="B1216" t="str">
        <f>"03559771"</f>
        <v>03559771</v>
      </c>
      <c r="C1216" t="s">
        <v>3926</v>
      </c>
      <c r="D1216" t="s">
        <v>4186</v>
      </c>
      <c r="E1216" t="s">
        <v>4187</v>
      </c>
      <c r="G1216" t="s">
        <v>3929</v>
      </c>
      <c r="H1216" t="s">
        <v>3930</v>
      </c>
      <c r="J1216" t="s">
        <v>3931</v>
      </c>
      <c r="L1216" t="s">
        <v>66</v>
      </c>
      <c r="M1216" t="s">
        <v>108</v>
      </c>
      <c r="R1216" t="s">
        <v>4188</v>
      </c>
      <c r="W1216" t="s">
        <v>4187</v>
      </c>
      <c r="X1216" t="s">
        <v>4189</v>
      </c>
      <c r="Y1216" t="s">
        <v>927</v>
      </c>
      <c r="Z1216" t="s">
        <v>111</v>
      </c>
      <c r="AA1216" t="str">
        <f>"14904-1762"</f>
        <v>14904-1762</v>
      </c>
      <c r="AB1216" t="s">
        <v>165</v>
      </c>
      <c r="AC1216" t="s">
        <v>113</v>
      </c>
      <c r="AD1216" t="s">
        <v>108</v>
      </c>
      <c r="AE1216" t="s">
        <v>114</v>
      </c>
      <c r="AF1216" t="s">
        <v>142</v>
      </c>
      <c r="AG1216" t="s">
        <v>116</v>
      </c>
      <c r="AK1216" t="str">
        <f t="shared" si="120"/>
        <v/>
      </c>
      <c r="AL1216" t="s">
        <v>4186</v>
      </c>
      <c r="AM1216">
        <v>0</v>
      </c>
      <c r="AN1216">
        <v>0</v>
      </c>
      <c r="AO1216">
        <v>0</v>
      </c>
      <c r="AP1216">
        <v>0</v>
      </c>
      <c r="AQ1216">
        <v>0</v>
      </c>
      <c r="AR1216">
        <v>0</v>
      </c>
      <c r="AS1216">
        <v>0</v>
      </c>
      <c r="AT1216">
        <v>0</v>
      </c>
      <c r="AU1216">
        <v>0</v>
      </c>
      <c r="AV1216">
        <v>0</v>
      </c>
      <c r="AW1216">
        <v>0</v>
      </c>
      <c r="AX1216" s="24" t="str">
        <f t="shared" si="125"/>
        <v/>
      </c>
      <c r="AY1216" s="24" t="str">
        <f t="shared" si="125"/>
        <v/>
      </c>
      <c r="AZ1216" s="24" t="str">
        <f t="shared" si="127"/>
        <v/>
      </c>
      <c r="BA1216" s="24" t="str">
        <f t="shared" si="127"/>
        <v/>
      </c>
      <c r="BB1216" s="24">
        <f t="shared" si="127"/>
        <v>1</v>
      </c>
      <c r="BC1216" s="24" t="str">
        <f t="shared" si="127"/>
        <v/>
      </c>
      <c r="BD1216" s="24" t="str">
        <f t="shared" si="127"/>
        <v/>
      </c>
      <c r="BE1216" s="24" t="str">
        <f t="shared" si="127"/>
        <v/>
      </c>
      <c r="BF1216" s="24" t="str">
        <f t="shared" si="127"/>
        <v/>
      </c>
      <c r="BG1216" s="24" t="str">
        <f t="shared" si="127"/>
        <v/>
      </c>
      <c r="BH1216" s="24" t="str">
        <f t="shared" si="121"/>
        <v/>
      </c>
      <c r="BI1216" s="24" t="str">
        <f t="shared" si="127"/>
        <v/>
      </c>
      <c r="BJ1216" s="24" t="str">
        <f t="shared" si="123"/>
        <v/>
      </c>
    </row>
    <row r="1217" spans="1:62" ht="15" customHeight="1" x14ac:dyDescent="0.25">
      <c r="A1217" t="str">
        <f>"1003869165"</f>
        <v>1003869165</v>
      </c>
      <c r="B1217" t="str">
        <f>"02993502"</f>
        <v>02993502</v>
      </c>
      <c r="C1217" t="s">
        <v>2553</v>
      </c>
      <c r="D1217" t="s">
        <v>2554</v>
      </c>
      <c r="E1217" t="s">
        <v>2555</v>
      </c>
      <c r="G1217" t="s">
        <v>2556</v>
      </c>
      <c r="H1217" t="s">
        <v>2557</v>
      </c>
      <c r="J1217" t="s">
        <v>2558</v>
      </c>
      <c r="L1217" t="s">
        <v>1998</v>
      </c>
      <c r="M1217" t="s">
        <v>139</v>
      </c>
      <c r="R1217" t="s">
        <v>2559</v>
      </c>
      <c r="W1217" t="s">
        <v>2560</v>
      </c>
      <c r="X1217" t="s">
        <v>2552</v>
      </c>
      <c r="Y1217" t="s">
        <v>1203</v>
      </c>
      <c r="Z1217" t="s">
        <v>111</v>
      </c>
      <c r="AA1217" t="str">
        <f>"14891-1615"</f>
        <v>14891-1615</v>
      </c>
      <c r="AB1217" t="s">
        <v>385</v>
      </c>
      <c r="AC1217" t="s">
        <v>113</v>
      </c>
      <c r="AD1217" t="s">
        <v>108</v>
      </c>
      <c r="AE1217" t="s">
        <v>114</v>
      </c>
      <c r="AF1217" t="s">
        <v>142</v>
      </c>
      <c r="AG1217" t="s">
        <v>116</v>
      </c>
      <c r="AK1217" t="str">
        <f t="shared" si="120"/>
        <v/>
      </c>
      <c r="AL1217" t="s">
        <v>2554</v>
      </c>
      <c r="AM1217">
        <v>0</v>
      </c>
      <c r="AN1217">
        <v>0</v>
      </c>
      <c r="AO1217">
        <v>0</v>
      </c>
      <c r="AP1217">
        <v>0</v>
      </c>
      <c r="AQ1217">
        <v>0</v>
      </c>
      <c r="AR1217">
        <v>0</v>
      </c>
      <c r="AS1217">
        <v>0</v>
      </c>
      <c r="AT1217">
        <v>0</v>
      </c>
      <c r="AU1217">
        <v>0</v>
      </c>
      <c r="AV1217">
        <v>0</v>
      </c>
      <c r="AW1217">
        <v>0</v>
      </c>
      <c r="AX1217" s="24" t="str">
        <f t="shared" si="125"/>
        <v/>
      </c>
      <c r="AY1217" s="24" t="str">
        <f t="shared" si="125"/>
        <v/>
      </c>
      <c r="AZ1217" s="24" t="str">
        <f t="shared" si="127"/>
        <v/>
      </c>
      <c r="BA1217" s="24" t="str">
        <f t="shared" si="127"/>
        <v/>
      </c>
      <c r="BB1217" s="24">
        <f t="shared" si="127"/>
        <v>1</v>
      </c>
      <c r="BC1217" s="24">
        <f t="shared" si="127"/>
        <v>1</v>
      </c>
      <c r="BD1217" s="24" t="str">
        <f t="shared" si="127"/>
        <v/>
      </c>
      <c r="BE1217" s="24" t="str">
        <f t="shared" si="127"/>
        <v/>
      </c>
      <c r="BF1217" s="24" t="str">
        <f t="shared" si="127"/>
        <v/>
      </c>
      <c r="BG1217" s="24" t="str">
        <f t="shared" si="127"/>
        <v/>
      </c>
      <c r="BH1217" s="24" t="str">
        <f t="shared" si="121"/>
        <v/>
      </c>
      <c r="BI1217" s="24">
        <f t="shared" si="127"/>
        <v>1</v>
      </c>
      <c r="BJ1217" s="24" t="str">
        <f t="shared" si="123"/>
        <v/>
      </c>
    </row>
    <row r="1218" spans="1:62" x14ac:dyDescent="0.25">
      <c r="A1218" t="str">
        <f>"1861529588"</f>
        <v>1861529588</v>
      </c>
      <c r="B1218" t="str">
        <f>"00355380"</f>
        <v>00355380</v>
      </c>
      <c r="C1218" t="s">
        <v>2561</v>
      </c>
      <c r="D1218" t="s">
        <v>2562</v>
      </c>
      <c r="E1218" t="s">
        <v>2561</v>
      </c>
      <c r="G1218" t="s">
        <v>2547</v>
      </c>
      <c r="H1218" t="s">
        <v>2548</v>
      </c>
      <c r="J1218" t="s">
        <v>2549</v>
      </c>
      <c r="L1218" t="s">
        <v>13</v>
      </c>
      <c r="M1218" t="s">
        <v>139</v>
      </c>
      <c r="R1218" t="s">
        <v>2550</v>
      </c>
      <c r="W1218" t="s">
        <v>2561</v>
      </c>
      <c r="X1218" t="s">
        <v>2552</v>
      </c>
      <c r="Y1218" t="s">
        <v>1203</v>
      </c>
      <c r="Z1218" t="s">
        <v>111</v>
      </c>
      <c r="AA1218" t="str">
        <f>"14891-1615"</f>
        <v>14891-1615</v>
      </c>
      <c r="AB1218" t="s">
        <v>282</v>
      </c>
      <c r="AC1218" t="s">
        <v>113</v>
      </c>
      <c r="AD1218" t="s">
        <v>108</v>
      </c>
      <c r="AE1218" t="s">
        <v>114</v>
      </c>
      <c r="AF1218" t="s">
        <v>142</v>
      </c>
      <c r="AG1218" t="s">
        <v>116</v>
      </c>
      <c r="AK1218" t="str">
        <f t="shared" ref="AK1218:AK1281" si="128">IF(AM1218="No",C1218,"")</f>
        <v/>
      </c>
      <c r="AL1218" t="s">
        <v>2562</v>
      </c>
      <c r="AM1218">
        <v>0</v>
      </c>
      <c r="AN1218">
        <v>0</v>
      </c>
      <c r="AO1218">
        <v>0</v>
      </c>
      <c r="AP1218">
        <v>0</v>
      </c>
      <c r="AQ1218">
        <v>0</v>
      </c>
      <c r="AR1218">
        <v>0</v>
      </c>
      <c r="AS1218">
        <v>0</v>
      </c>
      <c r="AT1218">
        <v>0</v>
      </c>
      <c r="AU1218">
        <v>0</v>
      </c>
      <c r="AV1218">
        <v>0</v>
      </c>
      <c r="AW1218">
        <v>0</v>
      </c>
      <c r="AX1218" s="24" t="str">
        <f t="shared" si="125"/>
        <v/>
      </c>
      <c r="AY1218" s="24" t="str">
        <f t="shared" si="125"/>
        <v/>
      </c>
      <c r="AZ1218" s="24" t="str">
        <f t="shared" si="127"/>
        <v/>
      </c>
      <c r="BA1218" s="24">
        <f t="shared" si="127"/>
        <v>1</v>
      </c>
      <c r="BB1218" s="24" t="str">
        <f t="shared" si="127"/>
        <v/>
      </c>
      <c r="BC1218" s="24" t="str">
        <f t="shared" si="127"/>
        <v/>
      </c>
      <c r="BD1218" s="24" t="str">
        <f t="shared" si="127"/>
        <v/>
      </c>
      <c r="BE1218" s="24" t="str">
        <f t="shared" si="127"/>
        <v/>
      </c>
      <c r="BF1218" s="24" t="str">
        <f t="shared" si="127"/>
        <v/>
      </c>
      <c r="BG1218" s="24" t="str">
        <f t="shared" si="127"/>
        <v/>
      </c>
      <c r="BH1218" s="24" t="str">
        <f t="shared" si="121"/>
        <v/>
      </c>
      <c r="BI1218" s="24" t="str">
        <f t="shared" si="127"/>
        <v/>
      </c>
      <c r="BJ1218" s="24" t="str">
        <f t="shared" si="123"/>
        <v/>
      </c>
    </row>
    <row r="1219" spans="1:62" ht="15" customHeight="1" x14ac:dyDescent="0.25">
      <c r="A1219" t="str">
        <f>"1760582142"</f>
        <v>1760582142</v>
      </c>
      <c r="B1219" t="str">
        <f>"03335471"</f>
        <v>03335471</v>
      </c>
      <c r="C1219" t="s">
        <v>3778</v>
      </c>
      <c r="D1219" t="s">
        <v>3779</v>
      </c>
      <c r="E1219" t="s">
        <v>3780</v>
      </c>
      <c r="G1219" t="s">
        <v>3781</v>
      </c>
      <c r="H1219" t="s">
        <v>2413</v>
      </c>
      <c r="J1219" t="s">
        <v>3782</v>
      </c>
      <c r="L1219" t="s">
        <v>68</v>
      </c>
      <c r="M1219" t="s">
        <v>108</v>
      </c>
      <c r="R1219" t="s">
        <v>3780</v>
      </c>
      <c r="W1219" t="s">
        <v>3780</v>
      </c>
      <c r="X1219" t="s">
        <v>3783</v>
      </c>
      <c r="Y1219" t="s">
        <v>1655</v>
      </c>
      <c r="Z1219" t="s">
        <v>111</v>
      </c>
      <c r="AA1219" t="str">
        <f>"14865-9648"</f>
        <v>14865-9648</v>
      </c>
      <c r="AB1219" t="s">
        <v>385</v>
      </c>
      <c r="AC1219" t="s">
        <v>113</v>
      </c>
      <c r="AD1219" t="s">
        <v>108</v>
      </c>
      <c r="AE1219" t="s">
        <v>114</v>
      </c>
      <c r="AF1219" t="s">
        <v>142</v>
      </c>
      <c r="AG1219" t="s">
        <v>116</v>
      </c>
      <c r="AK1219" t="str">
        <f t="shared" si="128"/>
        <v/>
      </c>
      <c r="AL1219" t="s">
        <v>3779</v>
      </c>
      <c r="AM1219">
        <v>1</v>
      </c>
      <c r="AN1219">
        <v>1</v>
      </c>
      <c r="AO1219">
        <v>0</v>
      </c>
      <c r="AP1219">
        <v>0</v>
      </c>
      <c r="AQ1219">
        <v>0</v>
      </c>
      <c r="AR1219">
        <v>0</v>
      </c>
      <c r="AS1219">
        <v>0</v>
      </c>
      <c r="AT1219">
        <v>0</v>
      </c>
      <c r="AU1219">
        <v>0</v>
      </c>
      <c r="AV1219">
        <v>0</v>
      </c>
      <c r="AW1219">
        <v>0</v>
      </c>
      <c r="AX1219" s="24" t="str">
        <f t="shared" si="125"/>
        <v/>
      </c>
      <c r="AY1219" s="24" t="str">
        <f t="shared" si="125"/>
        <v/>
      </c>
      <c r="AZ1219" s="24" t="str">
        <f t="shared" si="127"/>
        <v/>
      </c>
      <c r="BA1219" s="24" t="str">
        <f t="shared" si="127"/>
        <v/>
      </c>
      <c r="BB1219" s="24" t="str">
        <f t="shared" si="127"/>
        <v/>
      </c>
      <c r="BC1219" s="24" t="str">
        <f t="shared" si="127"/>
        <v/>
      </c>
      <c r="BD1219" s="24" t="str">
        <f t="shared" si="127"/>
        <v/>
      </c>
      <c r="BE1219" s="24" t="str">
        <f t="shared" si="127"/>
        <v/>
      </c>
      <c r="BF1219" s="24" t="str">
        <f t="shared" si="127"/>
        <v/>
      </c>
      <c r="BG1219" s="24" t="str">
        <f t="shared" si="127"/>
        <v/>
      </c>
      <c r="BH1219" s="24" t="str">
        <f t="shared" ref="BH1219:BH1282" si="129">IF(ISERROR(FIND("CBO",$L1219,1)),"",1)</f>
        <v/>
      </c>
      <c r="BI1219" s="24">
        <f t="shared" si="127"/>
        <v>1</v>
      </c>
      <c r="BJ1219" s="24" t="str">
        <f t="shared" si="123"/>
        <v/>
      </c>
    </row>
    <row r="1220" spans="1:62" x14ac:dyDescent="0.25">
      <c r="A1220" t="str">
        <f>"1639150477"</f>
        <v>1639150477</v>
      </c>
      <c r="B1220" t="str">
        <f>"00363144"</f>
        <v>00363144</v>
      </c>
      <c r="C1220" t="s">
        <v>4728</v>
      </c>
      <c r="D1220" t="s">
        <v>4729</v>
      </c>
      <c r="E1220" t="s">
        <v>4730</v>
      </c>
      <c r="G1220" t="s">
        <v>3781</v>
      </c>
      <c r="H1220" t="s">
        <v>2413</v>
      </c>
      <c r="J1220" t="s">
        <v>3782</v>
      </c>
      <c r="L1220" t="s">
        <v>4731</v>
      </c>
      <c r="M1220" t="s">
        <v>139</v>
      </c>
      <c r="R1220" t="s">
        <v>3780</v>
      </c>
      <c r="W1220" t="s">
        <v>4730</v>
      </c>
      <c r="X1220" t="s">
        <v>3014</v>
      </c>
      <c r="Y1220" t="s">
        <v>1655</v>
      </c>
      <c r="Z1220" t="s">
        <v>111</v>
      </c>
      <c r="AA1220" t="str">
        <f>"14865-9740"</f>
        <v>14865-9740</v>
      </c>
      <c r="AB1220" t="s">
        <v>303</v>
      </c>
      <c r="AC1220" t="s">
        <v>113</v>
      </c>
      <c r="AD1220" t="s">
        <v>108</v>
      </c>
      <c r="AE1220" t="s">
        <v>114</v>
      </c>
      <c r="AF1220" t="s">
        <v>142</v>
      </c>
      <c r="AG1220" t="s">
        <v>116</v>
      </c>
      <c r="AK1220" t="str">
        <f t="shared" si="128"/>
        <v/>
      </c>
      <c r="AL1220" t="s">
        <v>4729</v>
      </c>
      <c r="AM1220">
        <v>1</v>
      </c>
      <c r="AN1220">
        <v>1</v>
      </c>
      <c r="AO1220">
        <v>0</v>
      </c>
      <c r="AP1220">
        <v>0</v>
      </c>
      <c r="AQ1220">
        <v>0</v>
      </c>
      <c r="AR1220">
        <v>0</v>
      </c>
      <c r="AS1220">
        <v>0</v>
      </c>
      <c r="AT1220">
        <v>0</v>
      </c>
      <c r="AU1220">
        <v>0</v>
      </c>
      <c r="AV1220">
        <v>0</v>
      </c>
      <c r="AW1220">
        <v>0</v>
      </c>
      <c r="AX1220" s="24" t="str">
        <f t="shared" si="125"/>
        <v/>
      </c>
      <c r="AY1220" s="24" t="str">
        <f t="shared" si="125"/>
        <v/>
      </c>
      <c r="AZ1220" s="24">
        <f t="shared" si="127"/>
        <v>1</v>
      </c>
      <c r="BA1220" s="24">
        <f t="shared" si="127"/>
        <v>1</v>
      </c>
      <c r="BB1220" s="24" t="str">
        <f t="shared" si="127"/>
        <v/>
      </c>
      <c r="BC1220" s="24" t="str">
        <f t="shared" si="127"/>
        <v/>
      </c>
      <c r="BD1220" s="24" t="str">
        <f t="shared" si="127"/>
        <v/>
      </c>
      <c r="BE1220" s="24" t="str">
        <f t="shared" si="127"/>
        <v/>
      </c>
      <c r="BF1220" s="24">
        <f t="shared" si="127"/>
        <v>1</v>
      </c>
      <c r="BG1220" s="24" t="str">
        <f t="shared" si="127"/>
        <v/>
      </c>
      <c r="BH1220" s="24" t="str">
        <f t="shared" si="129"/>
        <v/>
      </c>
      <c r="BI1220" s="24">
        <f t="shared" si="127"/>
        <v>1</v>
      </c>
      <c r="BJ1220" s="24" t="str">
        <f t="shared" si="123"/>
        <v/>
      </c>
    </row>
    <row r="1221" spans="1:62" x14ac:dyDescent="0.25">
      <c r="A1221" t="str">
        <f>"1740364181"</f>
        <v>1740364181</v>
      </c>
      <c r="B1221" t="str">
        <f>"03002522"</f>
        <v>03002522</v>
      </c>
      <c r="C1221" t="s">
        <v>4728</v>
      </c>
      <c r="D1221" t="s">
        <v>4729</v>
      </c>
      <c r="E1221" t="s">
        <v>4730</v>
      </c>
      <c r="G1221" t="s">
        <v>3781</v>
      </c>
      <c r="H1221" t="s">
        <v>2413</v>
      </c>
      <c r="J1221" t="s">
        <v>3782</v>
      </c>
      <c r="L1221" t="s">
        <v>4731</v>
      </c>
      <c r="M1221" t="s">
        <v>139</v>
      </c>
      <c r="R1221" t="s">
        <v>3780</v>
      </c>
      <c r="W1221" t="s">
        <v>4730</v>
      </c>
      <c r="X1221" t="s">
        <v>3014</v>
      </c>
      <c r="Y1221" t="s">
        <v>1655</v>
      </c>
      <c r="Z1221" t="s">
        <v>111</v>
      </c>
      <c r="AA1221" t="str">
        <f>"14865-9740"</f>
        <v>14865-9740</v>
      </c>
      <c r="AB1221" t="s">
        <v>303</v>
      </c>
      <c r="AC1221" t="s">
        <v>113</v>
      </c>
      <c r="AD1221" t="s">
        <v>108</v>
      </c>
      <c r="AE1221" t="s">
        <v>114</v>
      </c>
      <c r="AF1221" t="s">
        <v>142</v>
      </c>
      <c r="AG1221" t="s">
        <v>116</v>
      </c>
      <c r="AK1221" t="str">
        <f t="shared" si="128"/>
        <v/>
      </c>
      <c r="AL1221" t="s">
        <v>4729</v>
      </c>
      <c r="AM1221">
        <v>1</v>
      </c>
      <c r="AN1221">
        <v>1</v>
      </c>
      <c r="AO1221">
        <v>0</v>
      </c>
      <c r="AP1221">
        <v>0</v>
      </c>
      <c r="AQ1221">
        <v>0</v>
      </c>
      <c r="AR1221">
        <v>0</v>
      </c>
      <c r="AS1221">
        <v>0</v>
      </c>
      <c r="AT1221">
        <v>0</v>
      </c>
      <c r="AU1221">
        <v>0</v>
      </c>
      <c r="AV1221">
        <v>0</v>
      </c>
      <c r="AW1221">
        <v>0</v>
      </c>
      <c r="AX1221" s="24" t="str">
        <f t="shared" si="125"/>
        <v/>
      </c>
      <c r="AY1221" s="24" t="str">
        <f t="shared" si="125"/>
        <v/>
      </c>
      <c r="AZ1221" s="24">
        <f t="shared" si="127"/>
        <v>1</v>
      </c>
      <c r="BA1221" s="24">
        <f t="shared" si="127"/>
        <v>1</v>
      </c>
      <c r="BB1221" s="24" t="str">
        <f t="shared" si="127"/>
        <v/>
      </c>
      <c r="BC1221" s="24" t="str">
        <f t="shared" si="127"/>
        <v/>
      </c>
      <c r="BD1221" s="24" t="str">
        <f t="shared" si="127"/>
        <v/>
      </c>
      <c r="BE1221" s="24" t="str">
        <f t="shared" si="127"/>
        <v/>
      </c>
      <c r="BF1221" s="24">
        <f t="shared" si="127"/>
        <v>1</v>
      </c>
      <c r="BG1221" s="24" t="str">
        <f t="shared" si="127"/>
        <v/>
      </c>
      <c r="BH1221" s="24" t="str">
        <f t="shared" si="129"/>
        <v/>
      </c>
      <c r="BI1221" s="24">
        <f t="shared" si="127"/>
        <v>1</v>
      </c>
      <c r="BJ1221" s="24" t="str">
        <f t="shared" si="123"/>
        <v/>
      </c>
    </row>
    <row r="1222" spans="1:62" ht="15" customHeight="1" x14ac:dyDescent="0.25">
      <c r="A1222" t="str">
        <f>"1831185222"</f>
        <v>1831185222</v>
      </c>
      <c r="B1222" t="str">
        <f>"02313495"</f>
        <v>02313495</v>
      </c>
      <c r="C1222" t="s">
        <v>5676</v>
      </c>
      <c r="D1222" t="s">
        <v>5677</v>
      </c>
      <c r="E1222" t="s">
        <v>5678</v>
      </c>
      <c r="L1222" t="s">
        <v>6867</v>
      </c>
      <c r="M1222" t="s">
        <v>108</v>
      </c>
      <c r="R1222" t="s">
        <v>5676</v>
      </c>
      <c r="W1222" t="s">
        <v>5678</v>
      </c>
      <c r="X1222" t="s">
        <v>109</v>
      </c>
      <c r="Y1222" t="s">
        <v>110</v>
      </c>
      <c r="Z1222" t="s">
        <v>111</v>
      </c>
      <c r="AA1222" t="str">
        <f>"13905-4198"</f>
        <v>13905-4198</v>
      </c>
      <c r="AB1222" t="s">
        <v>123</v>
      </c>
      <c r="AC1222" t="s">
        <v>113</v>
      </c>
      <c r="AD1222" t="s">
        <v>108</v>
      </c>
      <c r="AE1222" t="s">
        <v>114</v>
      </c>
      <c r="AF1222" t="s">
        <v>115</v>
      </c>
      <c r="AG1222" t="s">
        <v>116</v>
      </c>
      <c r="AK1222" t="str">
        <f t="shared" si="128"/>
        <v/>
      </c>
      <c r="AL1222" t="s">
        <v>5677</v>
      </c>
      <c r="AM1222">
        <v>0</v>
      </c>
      <c r="AN1222">
        <v>0</v>
      </c>
      <c r="AO1222">
        <v>0</v>
      </c>
      <c r="AP1222">
        <v>0</v>
      </c>
      <c r="AQ1222">
        <v>0</v>
      </c>
      <c r="AR1222">
        <v>0</v>
      </c>
      <c r="AS1222">
        <v>0</v>
      </c>
      <c r="AT1222">
        <v>0</v>
      </c>
      <c r="AU1222">
        <v>0</v>
      </c>
      <c r="AV1222">
        <v>0</v>
      </c>
      <c r="AW1222">
        <v>0</v>
      </c>
      <c r="AX1222" s="24">
        <f t="shared" si="125"/>
        <v>1</v>
      </c>
      <c r="AY1222" s="24">
        <f t="shared" si="125"/>
        <v>1</v>
      </c>
      <c r="AZ1222" s="24" t="str">
        <f t="shared" si="127"/>
        <v/>
      </c>
      <c r="BA1222" s="24" t="str">
        <f t="shared" si="127"/>
        <v/>
      </c>
      <c r="BB1222" s="24" t="str">
        <f t="shared" si="127"/>
        <v/>
      </c>
      <c r="BC1222" s="24" t="str">
        <f t="shared" si="127"/>
        <v/>
      </c>
      <c r="BD1222" s="24" t="str">
        <f t="shared" si="127"/>
        <v/>
      </c>
      <c r="BE1222" s="24" t="str">
        <f t="shared" si="127"/>
        <v/>
      </c>
      <c r="BF1222" s="24" t="str">
        <f t="shared" si="127"/>
        <v/>
      </c>
      <c r="BG1222" s="24" t="str">
        <f t="shared" si="127"/>
        <v/>
      </c>
      <c r="BH1222" s="24" t="str">
        <f t="shared" si="129"/>
        <v/>
      </c>
      <c r="BI1222" s="24">
        <f t="shared" si="127"/>
        <v>1</v>
      </c>
      <c r="BJ1222" s="24" t="str">
        <f t="shared" si="123"/>
        <v/>
      </c>
    </row>
    <row r="1223" spans="1:62" ht="15" customHeight="1" x14ac:dyDescent="0.25">
      <c r="A1223" t="str">
        <f>"1558595017"</f>
        <v>1558595017</v>
      </c>
      <c r="B1223" t="str">
        <f>"03606177"</f>
        <v>03606177</v>
      </c>
      <c r="C1223" t="s">
        <v>928</v>
      </c>
      <c r="D1223" t="s">
        <v>929</v>
      </c>
      <c r="E1223" t="s">
        <v>930</v>
      </c>
      <c r="G1223" t="s">
        <v>638</v>
      </c>
      <c r="H1223" t="s">
        <v>639</v>
      </c>
      <c r="J1223" t="s">
        <v>931</v>
      </c>
      <c r="L1223" t="s">
        <v>138</v>
      </c>
      <c r="M1223" t="s">
        <v>108</v>
      </c>
      <c r="R1223" t="s">
        <v>932</v>
      </c>
      <c r="W1223" t="s">
        <v>930</v>
      </c>
      <c r="X1223" t="s">
        <v>583</v>
      </c>
      <c r="Y1223" t="s">
        <v>293</v>
      </c>
      <c r="Z1223" t="s">
        <v>111</v>
      </c>
      <c r="AA1223" t="str">
        <f>"14850-1857"</f>
        <v>14850-1857</v>
      </c>
      <c r="AB1223" t="s">
        <v>123</v>
      </c>
      <c r="AC1223" t="s">
        <v>113</v>
      </c>
      <c r="AD1223" t="s">
        <v>108</v>
      </c>
      <c r="AE1223" t="s">
        <v>114</v>
      </c>
      <c r="AF1223" t="s">
        <v>142</v>
      </c>
      <c r="AG1223" t="s">
        <v>116</v>
      </c>
      <c r="AK1223" t="str">
        <f t="shared" si="128"/>
        <v/>
      </c>
      <c r="AL1223" t="s">
        <v>929</v>
      </c>
      <c r="AM1223">
        <v>1</v>
      </c>
      <c r="AN1223">
        <v>1</v>
      </c>
      <c r="AO1223">
        <v>0</v>
      </c>
      <c r="AP1223">
        <v>0</v>
      </c>
      <c r="AQ1223">
        <v>0</v>
      </c>
      <c r="AR1223">
        <v>0</v>
      </c>
      <c r="AS1223">
        <v>0</v>
      </c>
      <c r="AT1223">
        <v>0</v>
      </c>
      <c r="AU1223">
        <v>0</v>
      </c>
      <c r="AV1223">
        <v>0</v>
      </c>
      <c r="AW1223">
        <v>0</v>
      </c>
      <c r="AX1223" s="24" t="str">
        <f t="shared" si="125"/>
        <v/>
      </c>
      <c r="AY1223" s="24">
        <f t="shared" si="125"/>
        <v>1</v>
      </c>
      <c r="AZ1223" s="24" t="str">
        <f t="shared" si="127"/>
        <v/>
      </c>
      <c r="BA1223" s="24" t="str">
        <f t="shared" si="127"/>
        <v/>
      </c>
      <c r="BB1223" s="24" t="str">
        <f t="shared" si="127"/>
        <v/>
      </c>
      <c r="BC1223" s="24" t="str">
        <f t="shared" si="127"/>
        <v/>
      </c>
      <c r="BD1223" s="24" t="str">
        <f t="shared" si="127"/>
        <v/>
      </c>
      <c r="BE1223" s="24" t="str">
        <f t="shared" si="127"/>
        <v/>
      </c>
      <c r="BF1223" s="24" t="str">
        <f t="shared" si="127"/>
        <v/>
      </c>
      <c r="BG1223" s="24" t="str">
        <f t="shared" si="127"/>
        <v/>
      </c>
      <c r="BH1223" s="24" t="str">
        <f t="shared" si="129"/>
        <v/>
      </c>
      <c r="BI1223" s="24">
        <f t="shared" si="127"/>
        <v>1</v>
      </c>
      <c r="BJ1223" s="24" t="str">
        <f t="shared" si="123"/>
        <v/>
      </c>
    </row>
    <row r="1224" spans="1:62" ht="15" customHeight="1" x14ac:dyDescent="0.25">
      <c r="A1224" t="str">
        <f>"1396828182"</f>
        <v>1396828182</v>
      </c>
      <c r="B1224" t="str">
        <f>"00872853"</f>
        <v>00872853</v>
      </c>
      <c r="C1224" t="s">
        <v>117</v>
      </c>
      <c r="D1224" t="s">
        <v>118</v>
      </c>
      <c r="E1224" t="s">
        <v>119</v>
      </c>
      <c r="L1224" t="s">
        <v>120</v>
      </c>
      <c r="M1224" t="s">
        <v>108</v>
      </c>
      <c r="R1224" t="s">
        <v>117</v>
      </c>
      <c r="W1224" t="s">
        <v>119</v>
      </c>
      <c r="X1224" t="s">
        <v>121</v>
      </c>
      <c r="Y1224" t="s">
        <v>122</v>
      </c>
      <c r="Z1224" t="s">
        <v>111</v>
      </c>
      <c r="AA1224" t="str">
        <f>"13815-1019"</f>
        <v>13815-1019</v>
      </c>
      <c r="AB1224" t="s">
        <v>123</v>
      </c>
      <c r="AC1224" t="s">
        <v>113</v>
      </c>
      <c r="AD1224" t="s">
        <v>108</v>
      </c>
      <c r="AE1224" t="s">
        <v>114</v>
      </c>
      <c r="AF1224" t="s">
        <v>124</v>
      </c>
      <c r="AG1224" t="s">
        <v>116</v>
      </c>
      <c r="AK1224" t="str">
        <f t="shared" si="128"/>
        <v/>
      </c>
      <c r="AL1224" t="s">
        <v>118</v>
      </c>
      <c r="AM1224">
        <v>0</v>
      </c>
      <c r="AN1224">
        <v>0</v>
      </c>
      <c r="AO1224">
        <v>0</v>
      </c>
      <c r="AP1224">
        <v>0</v>
      </c>
      <c r="AQ1224">
        <v>0</v>
      </c>
      <c r="AR1224">
        <v>0</v>
      </c>
      <c r="AS1224">
        <v>0</v>
      </c>
      <c r="AT1224">
        <v>0</v>
      </c>
      <c r="AU1224">
        <v>0</v>
      </c>
      <c r="AV1224">
        <v>0</v>
      </c>
      <c r="AW1224">
        <v>0</v>
      </c>
      <c r="AX1224" s="24">
        <f t="shared" si="125"/>
        <v>1</v>
      </c>
      <c r="AY1224" s="24" t="str">
        <f t="shared" si="125"/>
        <v/>
      </c>
      <c r="AZ1224" s="24" t="str">
        <f t="shared" si="127"/>
        <v/>
      </c>
      <c r="BA1224" s="24" t="str">
        <f t="shared" si="127"/>
        <v/>
      </c>
      <c r="BB1224" s="24" t="str">
        <f t="shared" si="127"/>
        <v/>
      </c>
      <c r="BC1224" s="24" t="str">
        <f t="shared" si="127"/>
        <v/>
      </c>
      <c r="BD1224" s="24" t="str">
        <f t="shared" si="127"/>
        <v/>
      </c>
      <c r="BE1224" s="24" t="str">
        <f t="shared" si="127"/>
        <v/>
      </c>
      <c r="BF1224" s="24" t="str">
        <f t="shared" si="127"/>
        <v/>
      </c>
      <c r="BG1224" s="24" t="str">
        <f t="shared" si="127"/>
        <v/>
      </c>
      <c r="BH1224" s="24" t="str">
        <f t="shared" si="129"/>
        <v/>
      </c>
      <c r="BI1224" s="24">
        <f t="shared" si="127"/>
        <v>1</v>
      </c>
      <c r="BJ1224" s="24" t="str">
        <f t="shared" si="123"/>
        <v/>
      </c>
    </row>
    <row r="1225" spans="1:62" ht="15" customHeight="1" x14ac:dyDescent="0.25">
      <c r="A1225" t="str">
        <f>"1093738049"</f>
        <v>1093738049</v>
      </c>
      <c r="B1225" t="str">
        <f>"02791899"</f>
        <v>02791899</v>
      </c>
      <c r="C1225" t="s">
        <v>3360</v>
      </c>
      <c r="D1225" t="s">
        <v>3361</v>
      </c>
      <c r="E1225" t="s">
        <v>3362</v>
      </c>
      <c r="G1225" t="s">
        <v>786</v>
      </c>
      <c r="H1225" t="s">
        <v>787</v>
      </c>
      <c r="J1225" t="s">
        <v>788</v>
      </c>
      <c r="L1225" t="s">
        <v>247</v>
      </c>
      <c r="M1225" t="s">
        <v>108</v>
      </c>
      <c r="R1225" t="s">
        <v>3360</v>
      </c>
      <c r="W1225" t="s">
        <v>3363</v>
      </c>
      <c r="X1225" t="s">
        <v>3364</v>
      </c>
      <c r="Y1225" t="s">
        <v>141</v>
      </c>
      <c r="Z1225" t="s">
        <v>111</v>
      </c>
      <c r="AA1225" t="str">
        <f>"13204-2809"</f>
        <v>13204-2809</v>
      </c>
      <c r="AB1225" t="s">
        <v>1872</v>
      </c>
      <c r="AC1225" t="s">
        <v>113</v>
      </c>
      <c r="AD1225" t="s">
        <v>108</v>
      </c>
      <c r="AE1225" t="s">
        <v>114</v>
      </c>
      <c r="AF1225" t="s">
        <v>142</v>
      </c>
      <c r="AG1225" t="s">
        <v>116</v>
      </c>
      <c r="AK1225" t="str">
        <f t="shared" si="128"/>
        <v/>
      </c>
      <c r="AL1225" t="s">
        <v>3361</v>
      </c>
      <c r="AM1225">
        <v>0</v>
      </c>
      <c r="AN1225">
        <v>0</v>
      </c>
      <c r="AO1225">
        <v>0</v>
      </c>
      <c r="AP1225">
        <v>0</v>
      </c>
      <c r="AQ1225">
        <v>0</v>
      </c>
      <c r="AR1225">
        <v>0</v>
      </c>
      <c r="AS1225">
        <v>0</v>
      </c>
      <c r="AT1225">
        <v>0</v>
      </c>
      <c r="AU1225">
        <v>0</v>
      </c>
      <c r="AV1225">
        <v>0</v>
      </c>
      <c r="AW1225">
        <v>0</v>
      </c>
      <c r="AX1225" s="24" t="str">
        <f t="shared" si="125"/>
        <v/>
      </c>
      <c r="AY1225" s="24">
        <f t="shared" si="125"/>
        <v>1</v>
      </c>
      <c r="AZ1225" s="24" t="str">
        <f t="shared" si="127"/>
        <v/>
      </c>
      <c r="BA1225" s="24" t="str">
        <f t="shared" si="127"/>
        <v/>
      </c>
      <c r="BB1225" s="24" t="str">
        <f t="shared" si="127"/>
        <v/>
      </c>
      <c r="BC1225" s="24" t="str">
        <f t="shared" si="127"/>
        <v/>
      </c>
      <c r="BD1225" s="24" t="str">
        <f t="shared" si="127"/>
        <v/>
      </c>
      <c r="BE1225" s="24" t="str">
        <f t="shared" si="127"/>
        <v/>
      </c>
      <c r="BF1225" s="24" t="str">
        <f t="shared" si="127"/>
        <v/>
      </c>
      <c r="BG1225" s="24" t="str">
        <f t="shared" si="127"/>
        <v/>
      </c>
      <c r="BH1225" s="24" t="str">
        <f t="shared" si="129"/>
        <v/>
      </c>
      <c r="BI1225" s="24" t="str">
        <f t="shared" si="127"/>
        <v/>
      </c>
      <c r="BJ1225" s="24" t="str">
        <f t="shared" si="123"/>
        <v/>
      </c>
    </row>
    <row r="1226" spans="1:62" ht="15" customHeight="1" x14ac:dyDescent="0.25">
      <c r="A1226" t="str">
        <f>"1871574848"</f>
        <v>1871574848</v>
      </c>
      <c r="B1226" t="str">
        <f>"00352194"</f>
        <v>00352194</v>
      </c>
      <c r="C1226" t="s">
        <v>4732</v>
      </c>
      <c r="D1226" t="s">
        <v>4733</v>
      </c>
      <c r="E1226" t="s">
        <v>4734</v>
      </c>
      <c r="G1226" t="s">
        <v>3781</v>
      </c>
      <c r="H1226" t="s">
        <v>2413</v>
      </c>
      <c r="J1226" t="s">
        <v>3782</v>
      </c>
      <c r="L1226" t="s">
        <v>1382</v>
      </c>
      <c r="M1226" t="s">
        <v>139</v>
      </c>
      <c r="R1226" t="s">
        <v>3780</v>
      </c>
      <c r="W1226" t="s">
        <v>4734</v>
      </c>
      <c r="X1226" t="s">
        <v>3014</v>
      </c>
      <c r="Y1226" t="s">
        <v>1655</v>
      </c>
      <c r="Z1226" t="s">
        <v>111</v>
      </c>
      <c r="AA1226" t="str">
        <f>"14865-9740"</f>
        <v>14865-9740</v>
      </c>
      <c r="AB1226" t="s">
        <v>303</v>
      </c>
      <c r="AC1226" t="s">
        <v>113</v>
      </c>
      <c r="AD1226" t="s">
        <v>108</v>
      </c>
      <c r="AE1226" t="s">
        <v>114</v>
      </c>
      <c r="AF1226" t="s">
        <v>142</v>
      </c>
      <c r="AG1226" t="s">
        <v>116</v>
      </c>
      <c r="AK1226" t="str">
        <f t="shared" si="128"/>
        <v/>
      </c>
      <c r="AL1226" t="s">
        <v>4733</v>
      </c>
      <c r="AM1226">
        <v>0</v>
      </c>
      <c r="AN1226">
        <v>0</v>
      </c>
      <c r="AO1226">
        <v>0</v>
      </c>
      <c r="AP1226">
        <v>0</v>
      </c>
      <c r="AQ1226">
        <v>0</v>
      </c>
      <c r="AR1226">
        <v>0</v>
      </c>
      <c r="AS1226">
        <v>0</v>
      </c>
      <c r="AT1226">
        <v>0</v>
      </c>
      <c r="AU1226">
        <v>0</v>
      </c>
      <c r="AV1226">
        <v>0</v>
      </c>
      <c r="AW1226">
        <v>0</v>
      </c>
      <c r="AX1226" s="24" t="str">
        <f t="shared" si="125"/>
        <v/>
      </c>
      <c r="AY1226" s="24" t="str">
        <f t="shared" si="125"/>
        <v/>
      </c>
      <c r="AZ1226" s="24" t="str">
        <f t="shared" si="127"/>
        <v/>
      </c>
      <c r="BA1226" s="24" t="str">
        <f t="shared" si="127"/>
        <v/>
      </c>
      <c r="BB1226" s="24" t="str">
        <f t="shared" si="127"/>
        <v/>
      </c>
      <c r="BC1226" s="24" t="str">
        <f t="shared" si="127"/>
        <v/>
      </c>
      <c r="BD1226" s="24" t="str">
        <f t="shared" si="127"/>
        <v/>
      </c>
      <c r="BE1226" s="24">
        <f t="shared" si="127"/>
        <v>1</v>
      </c>
      <c r="BF1226" s="24" t="str">
        <f t="shared" si="127"/>
        <v/>
      </c>
      <c r="BG1226" s="24" t="str">
        <f t="shared" si="127"/>
        <v/>
      </c>
      <c r="BH1226" s="24" t="str">
        <f t="shared" si="129"/>
        <v/>
      </c>
      <c r="BI1226" s="24">
        <f t="shared" si="127"/>
        <v>1</v>
      </c>
      <c r="BJ1226" s="24" t="str">
        <f t="shared" si="123"/>
        <v/>
      </c>
    </row>
    <row r="1227" spans="1:62" ht="15" customHeight="1" x14ac:dyDescent="0.25">
      <c r="A1227" t="str">
        <f>"1477505279"</f>
        <v>1477505279</v>
      </c>
      <c r="B1227" t="str">
        <f>"01663198"</f>
        <v>01663198</v>
      </c>
      <c r="C1227" t="s">
        <v>3556</v>
      </c>
      <c r="D1227" t="s">
        <v>3557</v>
      </c>
      <c r="E1227" t="s">
        <v>3558</v>
      </c>
      <c r="G1227" t="s">
        <v>2755</v>
      </c>
      <c r="H1227" t="s">
        <v>2756</v>
      </c>
      <c r="J1227" t="s">
        <v>3559</v>
      </c>
      <c r="L1227" t="s">
        <v>6867</v>
      </c>
      <c r="M1227" t="s">
        <v>108</v>
      </c>
      <c r="R1227" t="s">
        <v>3560</v>
      </c>
      <c r="W1227" t="s">
        <v>3561</v>
      </c>
      <c r="X1227" t="s">
        <v>3562</v>
      </c>
      <c r="Y1227" t="s">
        <v>293</v>
      </c>
      <c r="Z1227" t="s">
        <v>111</v>
      </c>
      <c r="AA1227" t="str">
        <f>"14850-1871"</f>
        <v>14850-1871</v>
      </c>
      <c r="AB1227" t="s">
        <v>123</v>
      </c>
      <c r="AC1227" t="s">
        <v>113</v>
      </c>
      <c r="AD1227" t="s">
        <v>108</v>
      </c>
      <c r="AE1227" t="s">
        <v>114</v>
      </c>
      <c r="AF1227" t="s">
        <v>142</v>
      </c>
      <c r="AG1227" t="s">
        <v>116</v>
      </c>
      <c r="AK1227" t="str">
        <f t="shared" si="128"/>
        <v/>
      </c>
      <c r="AL1227" t="s">
        <v>3557</v>
      </c>
      <c r="AM1227">
        <v>0</v>
      </c>
      <c r="AN1227">
        <v>0</v>
      </c>
      <c r="AO1227">
        <v>0</v>
      </c>
      <c r="AP1227">
        <v>0</v>
      </c>
      <c r="AQ1227">
        <v>0</v>
      </c>
      <c r="AR1227">
        <v>0</v>
      </c>
      <c r="AS1227">
        <v>0</v>
      </c>
      <c r="AT1227">
        <v>0</v>
      </c>
      <c r="AU1227">
        <v>0</v>
      </c>
      <c r="AV1227">
        <v>0</v>
      </c>
      <c r="AW1227">
        <v>0</v>
      </c>
      <c r="AX1227" s="24">
        <f t="shared" si="125"/>
        <v>1</v>
      </c>
      <c r="AY1227" s="24">
        <f t="shared" si="125"/>
        <v>1</v>
      </c>
      <c r="AZ1227" s="24" t="str">
        <f t="shared" si="127"/>
        <v/>
      </c>
      <c r="BA1227" s="24" t="str">
        <f t="shared" si="127"/>
        <v/>
      </c>
      <c r="BB1227" s="24" t="str">
        <f t="shared" si="127"/>
        <v/>
      </c>
      <c r="BC1227" s="24" t="str">
        <f t="shared" si="127"/>
        <v/>
      </c>
      <c r="BD1227" s="24" t="str">
        <f t="shared" si="127"/>
        <v/>
      </c>
      <c r="BE1227" s="24" t="str">
        <f t="shared" si="127"/>
        <v/>
      </c>
      <c r="BF1227" s="24" t="str">
        <f t="shared" si="127"/>
        <v/>
      </c>
      <c r="BG1227" s="24" t="str">
        <f t="shared" si="127"/>
        <v/>
      </c>
      <c r="BH1227" s="24" t="str">
        <f t="shared" si="129"/>
        <v/>
      </c>
      <c r="BI1227" s="24">
        <f t="shared" si="127"/>
        <v>1</v>
      </c>
      <c r="BJ1227" s="24" t="str">
        <f t="shared" si="123"/>
        <v/>
      </c>
    </row>
    <row r="1228" spans="1:62" ht="15" customHeight="1" x14ac:dyDescent="0.25">
      <c r="A1228" t="str">
        <f>"1942640206"</f>
        <v>1942640206</v>
      </c>
      <c r="B1228" t="str">
        <f>"03765515"</f>
        <v>03765515</v>
      </c>
      <c r="C1228" t="s">
        <v>1315</v>
      </c>
      <c r="D1228" t="s">
        <v>1316</v>
      </c>
      <c r="E1228" t="s">
        <v>1317</v>
      </c>
      <c r="G1228" t="s">
        <v>1300</v>
      </c>
      <c r="H1228" t="s">
        <v>1301</v>
      </c>
      <c r="L1228" t="s">
        <v>138</v>
      </c>
      <c r="M1228" t="s">
        <v>108</v>
      </c>
      <c r="R1228" t="s">
        <v>1315</v>
      </c>
      <c r="W1228" t="s">
        <v>1317</v>
      </c>
      <c r="X1228" t="s">
        <v>238</v>
      </c>
      <c r="Y1228" t="s">
        <v>239</v>
      </c>
      <c r="Z1228" t="s">
        <v>111</v>
      </c>
      <c r="AA1228" t="str">
        <f>"13045-1206"</f>
        <v>13045-1206</v>
      </c>
      <c r="AB1228" t="s">
        <v>123</v>
      </c>
      <c r="AC1228" t="s">
        <v>113</v>
      </c>
      <c r="AD1228" t="s">
        <v>108</v>
      </c>
      <c r="AE1228" t="s">
        <v>114</v>
      </c>
      <c r="AF1228" t="s">
        <v>142</v>
      </c>
      <c r="AG1228" t="s">
        <v>116</v>
      </c>
      <c r="AK1228" t="str">
        <f t="shared" si="128"/>
        <v/>
      </c>
      <c r="AL1228" t="s">
        <v>1316</v>
      </c>
      <c r="AM1228">
        <v>0</v>
      </c>
      <c r="AN1228">
        <v>0</v>
      </c>
      <c r="AO1228">
        <v>0</v>
      </c>
      <c r="AP1228">
        <v>0</v>
      </c>
      <c r="AQ1228">
        <v>0</v>
      </c>
      <c r="AR1228">
        <v>0</v>
      </c>
      <c r="AS1228">
        <v>0</v>
      </c>
      <c r="AT1228">
        <v>0</v>
      </c>
      <c r="AU1228">
        <v>0</v>
      </c>
      <c r="AV1228">
        <v>0</v>
      </c>
      <c r="AW1228">
        <v>0</v>
      </c>
      <c r="AX1228" s="24" t="str">
        <f t="shared" si="125"/>
        <v/>
      </c>
      <c r="AY1228" s="24">
        <f t="shared" si="125"/>
        <v>1</v>
      </c>
      <c r="AZ1228" s="24" t="str">
        <f t="shared" si="127"/>
        <v/>
      </c>
      <c r="BA1228" s="24" t="str">
        <f t="shared" si="127"/>
        <v/>
      </c>
      <c r="BB1228" s="24" t="str">
        <f t="shared" si="127"/>
        <v/>
      </c>
      <c r="BC1228" s="24" t="str">
        <f t="shared" si="127"/>
        <v/>
      </c>
      <c r="BD1228" s="24" t="str">
        <f t="shared" si="127"/>
        <v/>
      </c>
      <c r="BE1228" s="24" t="str">
        <f t="shared" si="127"/>
        <v/>
      </c>
      <c r="BF1228" s="24" t="str">
        <f t="shared" si="127"/>
        <v/>
      </c>
      <c r="BG1228" s="24" t="str">
        <f t="shared" si="127"/>
        <v/>
      </c>
      <c r="BH1228" s="24" t="str">
        <f t="shared" si="129"/>
        <v/>
      </c>
      <c r="BI1228" s="24">
        <f t="shared" si="127"/>
        <v>1</v>
      </c>
      <c r="BJ1228" s="24" t="str">
        <f t="shared" si="123"/>
        <v/>
      </c>
    </row>
    <row r="1229" spans="1:62" ht="15" customHeight="1" x14ac:dyDescent="0.25">
      <c r="A1229" t="str">
        <f>"1992777502"</f>
        <v>1992777502</v>
      </c>
      <c r="B1229" t="str">
        <f>"01575671"</f>
        <v>01575671</v>
      </c>
      <c r="C1229" t="s">
        <v>5021</v>
      </c>
      <c r="D1229" t="s">
        <v>5022</v>
      </c>
      <c r="E1229" t="s">
        <v>5023</v>
      </c>
      <c r="G1229" t="s">
        <v>699</v>
      </c>
      <c r="H1229" t="s">
        <v>700</v>
      </c>
      <c r="J1229" t="s">
        <v>701</v>
      </c>
      <c r="L1229" t="s">
        <v>120</v>
      </c>
      <c r="M1229" t="s">
        <v>139</v>
      </c>
      <c r="R1229" t="s">
        <v>5024</v>
      </c>
      <c r="W1229" t="s">
        <v>5023</v>
      </c>
      <c r="Y1229" t="s">
        <v>157</v>
      </c>
      <c r="Z1229" t="s">
        <v>111</v>
      </c>
      <c r="AA1229" t="str">
        <f>"14830-2287"</f>
        <v>14830-2287</v>
      </c>
      <c r="AB1229" t="s">
        <v>123</v>
      </c>
      <c r="AC1229" t="s">
        <v>113</v>
      </c>
      <c r="AD1229" t="s">
        <v>108</v>
      </c>
      <c r="AE1229" t="s">
        <v>114</v>
      </c>
      <c r="AF1229" t="s">
        <v>149</v>
      </c>
      <c r="AG1229" t="s">
        <v>116</v>
      </c>
      <c r="AK1229" t="str">
        <f t="shared" si="128"/>
        <v/>
      </c>
      <c r="AL1229" t="s">
        <v>5022</v>
      </c>
      <c r="AM1229">
        <v>0</v>
      </c>
      <c r="AN1229">
        <v>0</v>
      </c>
      <c r="AO1229">
        <v>0</v>
      </c>
      <c r="AP1229">
        <v>0</v>
      </c>
      <c r="AQ1229">
        <v>0</v>
      </c>
      <c r="AR1229">
        <v>0</v>
      </c>
      <c r="AS1229">
        <v>0</v>
      </c>
      <c r="AT1229">
        <v>0</v>
      </c>
      <c r="AU1229">
        <v>0</v>
      </c>
      <c r="AV1229">
        <v>0</v>
      </c>
      <c r="AW1229">
        <v>0</v>
      </c>
      <c r="AX1229" s="24">
        <f t="shared" si="125"/>
        <v>1</v>
      </c>
      <c r="AY1229" s="24" t="str">
        <f t="shared" si="125"/>
        <v/>
      </c>
      <c r="AZ1229" s="24" t="str">
        <f t="shared" si="127"/>
        <v/>
      </c>
      <c r="BA1229" s="24" t="str">
        <f t="shared" si="127"/>
        <v/>
      </c>
      <c r="BB1229" s="24" t="str">
        <f t="shared" si="127"/>
        <v/>
      </c>
      <c r="BC1229" s="24" t="str">
        <f t="shared" si="127"/>
        <v/>
      </c>
      <c r="BD1229" s="24" t="str">
        <f t="shared" si="127"/>
        <v/>
      </c>
      <c r="BE1229" s="24" t="str">
        <f t="shared" si="127"/>
        <v/>
      </c>
      <c r="BF1229" s="24" t="str">
        <f t="shared" si="127"/>
        <v/>
      </c>
      <c r="BG1229" s="24" t="str">
        <f t="shared" si="127"/>
        <v/>
      </c>
      <c r="BH1229" s="24" t="str">
        <f t="shared" si="129"/>
        <v/>
      </c>
      <c r="BI1229" s="24">
        <f t="shared" si="127"/>
        <v>1</v>
      </c>
      <c r="BJ1229" s="24" t="str">
        <f t="shared" si="123"/>
        <v/>
      </c>
    </row>
    <row r="1230" spans="1:62" ht="15" customHeight="1" x14ac:dyDescent="0.25">
      <c r="C1230" t="s">
        <v>1601</v>
      </c>
      <c r="G1230" t="s">
        <v>1602</v>
      </c>
      <c r="H1230" t="s">
        <v>1603</v>
      </c>
      <c r="J1230" t="s">
        <v>1604</v>
      </c>
      <c r="K1230" t="s">
        <v>780</v>
      </c>
      <c r="L1230" t="s">
        <v>781</v>
      </c>
      <c r="M1230" t="s">
        <v>108</v>
      </c>
      <c r="N1230" t="s">
        <v>1605</v>
      </c>
      <c r="O1230" t="s">
        <v>1606</v>
      </c>
      <c r="P1230" t="s">
        <v>111</v>
      </c>
      <c r="Q1230" t="str">
        <f>"13045"</f>
        <v>13045</v>
      </c>
      <c r="AC1230" t="s">
        <v>113</v>
      </c>
      <c r="AD1230" t="s">
        <v>108</v>
      </c>
      <c r="AE1230" t="s">
        <v>784</v>
      </c>
      <c r="AF1230" t="s">
        <v>142</v>
      </c>
      <c r="AG1230" t="s">
        <v>116</v>
      </c>
      <c r="AK1230" t="str">
        <f t="shared" si="128"/>
        <v/>
      </c>
      <c r="AL1230" t="s">
        <v>1601</v>
      </c>
      <c r="AM1230">
        <v>1</v>
      </c>
      <c r="AQ1230">
        <v>1</v>
      </c>
      <c r="AR1230" t="s">
        <v>108</v>
      </c>
      <c r="AS1230" t="s">
        <v>108</v>
      </c>
      <c r="AT1230" t="s">
        <v>108</v>
      </c>
      <c r="AU1230" t="s">
        <v>108</v>
      </c>
      <c r="AV1230" t="s">
        <v>108</v>
      </c>
      <c r="AW1230" t="s">
        <v>108</v>
      </c>
      <c r="AX1230" s="24" t="str">
        <f t="shared" si="125"/>
        <v/>
      </c>
      <c r="AY1230" s="24" t="str">
        <f t="shared" si="125"/>
        <v/>
      </c>
      <c r="AZ1230" s="24" t="str">
        <f t="shared" si="127"/>
        <v/>
      </c>
      <c r="BA1230" s="24" t="str">
        <f t="shared" si="127"/>
        <v/>
      </c>
      <c r="BB1230" s="24" t="str">
        <f t="shared" si="127"/>
        <v/>
      </c>
      <c r="BC1230" s="24" t="str">
        <f t="shared" si="127"/>
        <v/>
      </c>
      <c r="BD1230" s="24" t="str">
        <f t="shared" si="127"/>
        <v/>
      </c>
      <c r="BE1230" s="24" t="str">
        <f t="shared" si="127"/>
        <v/>
      </c>
      <c r="BF1230" s="24" t="str">
        <f t="shared" si="127"/>
        <v/>
      </c>
      <c r="BG1230" s="24" t="str">
        <f t="shared" si="127"/>
        <v/>
      </c>
      <c r="BH1230" s="24">
        <f t="shared" si="129"/>
        <v>1</v>
      </c>
      <c r="BI1230" s="24" t="str">
        <f t="shared" si="127"/>
        <v/>
      </c>
      <c r="BJ1230" s="24" t="str">
        <f t="shared" si="123"/>
        <v/>
      </c>
    </row>
    <row r="1231" spans="1:62" ht="15" customHeight="1" x14ac:dyDescent="0.25">
      <c r="A1231" t="str">
        <f>"1518031848"</f>
        <v>1518031848</v>
      </c>
      <c r="B1231" t="str">
        <f>"02833856"</f>
        <v>02833856</v>
      </c>
      <c r="C1231" t="s">
        <v>6141</v>
      </c>
      <c r="D1231" t="s">
        <v>6142</v>
      </c>
      <c r="E1231" t="s">
        <v>6143</v>
      </c>
      <c r="G1231" t="s">
        <v>815</v>
      </c>
      <c r="H1231" t="s">
        <v>816</v>
      </c>
      <c r="J1231" t="s">
        <v>817</v>
      </c>
      <c r="L1231" t="s">
        <v>120</v>
      </c>
      <c r="M1231" t="s">
        <v>108</v>
      </c>
      <c r="R1231" t="s">
        <v>6144</v>
      </c>
      <c r="W1231" t="s">
        <v>6143</v>
      </c>
      <c r="X1231" t="s">
        <v>6145</v>
      </c>
      <c r="Y1231" t="s">
        <v>966</v>
      </c>
      <c r="Z1231" t="s">
        <v>111</v>
      </c>
      <c r="AA1231" t="str">
        <f>"13850-1748"</f>
        <v>13850-1748</v>
      </c>
      <c r="AB1231" t="s">
        <v>123</v>
      </c>
      <c r="AC1231" t="s">
        <v>113</v>
      </c>
      <c r="AD1231" t="s">
        <v>108</v>
      </c>
      <c r="AE1231" t="s">
        <v>114</v>
      </c>
      <c r="AF1231" t="s">
        <v>115</v>
      </c>
      <c r="AG1231" t="s">
        <v>116</v>
      </c>
      <c r="AK1231" t="str">
        <f t="shared" si="128"/>
        <v>Shabana Jamil, MD</v>
      </c>
      <c r="AL1231" t="s">
        <v>6142</v>
      </c>
      <c r="AM1231" t="s">
        <v>108</v>
      </c>
      <c r="AN1231" t="s">
        <v>108</v>
      </c>
      <c r="AO1231" t="s">
        <v>108</v>
      </c>
      <c r="AP1231" t="s">
        <v>108</v>
      </c>
      <c r="AQ1231" t="s">
        <v>108</v>
      </c>
      <c r="AR1231" t="s">
        <v>108</v>
      </c>
      <c r="AS1231" t="s">
        <v>108</v>
      </c>
      <c r="AT1231" t="s">
        <v>108</v>
      </c>
      <c r="AU1231" t="s">
        <v>108</v>
      </c>
      <c r="AV1231" t="s">
        <v>108</v>
      </c>
      <c r="AW1231" t="s">
        <v>108</v>
      </c>
      <c r="AX1231" s="24">
        <f t="shared" si="125"/>
        <v>1</v>
      </c>
      <c r="AY1231" s="24" t="str">
        <f t="shared" si="125"/>
        <v/>
      </c>
      <c r="AZ1231" s="24" t="str">
        <f t="shared" si="127"/>
        <v/>
      </c>
      <c r="BA1231" s="24" t="str">
        <f t="shared" si="127"/>
        <v/>
      </c>
      <c r="BB1231" s="24" t="str">
        <f t="shared" si="127"/>
        <v/>
      </c>
      <c r="BC1231" s="24" t="str">
        <f t="shared" si="127"/>
        <v/>
      </c>
      <c r="BD1231" s="24" t="str">
        <f t="shared" si="127"/>
        <v/>
      </c>
      <c r="BE1231" s="24" t="str">
        <f t="shared" si="127"/>
        <v/>
      </c>
      <c r="BF1231" s="24" t="str">
        <f t="shared" si="127"/>
        <v/>
      </c>
      <c r="BG1231" s="24" t="str">
        <f t="shared" si="127"/>
        <v/>
      </c>
      <c r="BH1231" s="24" t="str">
        <f t="shared" si="129"/>
        <v/>
      </c>
      <c r="BI1231" s="24">
        <f t="shared" si="127"/>
        <v>1</v>
      </c>
      <c r="BJ1231" s="24" t="str">
        <f t="shared" si="123"/>
        <v/>
      </c>
    </row>
    <row r="1232" spans="1:62" ht="15" customHeight="1" x14ac:dyDescent="0.25">
      <c r="A1232" t="str">
        <f>"1417948928"</f>
        <v>1417948928</v>
      </c>
      <c r="B1232" t="str">
        <f>"02678962"</f>
        <v>02678962</v>
      </c>
      <c r="C1232" t="s">
        <v>125</v>
      </c>
      <c r="D1232" t="s">
        <v>126</v>
      </c>
      <c r="E1232" t="s">
        <v>127</v>
      </c>
      <c r="G1232" t="s">
        <v>6330</v>
      </c>
      <c r="H1232" t="s">
        <v>6331</v>
      </c>
      <c r="J1232" t="s">
        <v>6332</v>
      </c>
      <c r="L1232" t="s">
        <v>120</v>
      </c>
      <c r="M1232" t="s">
        <v>108</v>
      </c>
      <c r="R1232" t="s">
        <v>125</v>
      </c>
      <c r="W1232" t="s">
        <v>127</v>
      </c>
      <c r="X1232" t="s">
        <v>128</v>
      </c>
      <c r="Y1232" t="s">
        <v>129</v>
      </c>
      <c r="Z1232" t="s">
        <v>111</v>
      </c>
      <c r="AA1232" t="str">
        <f>"13790-2544"</f>
        <v>13790-2544</v>
      </c>
      <c r="AB1232" t="s">
        <v>123</v>
      </c>
      <c r="AC1232" t="s">
        <v>113</v>
      </c>
      <c r="AD1232" t="s">
        <v>108</v>
      </c>
      <c r="AE1232" t="s">
        <v>114</v>
      </c>
      <c r="AF1232" t="s">
        <v>115</v>
      </c>
      <c r="AG1232" t="s">
        <v>116</v>
      </c>
      <c r="AK1232" t="str">
        <f t="shared" si="128"/>
        <v/>
      </c>
      <c r="AL1232" t="s">
        <v>126</v>
      </c>
      <c r="AM1232">
        <v>1</v>
      </c>
      <c r="AN1232">
        <v>1</v>
      </c>
      <c r="AO1232">
        <v>0</v>
      </c>
      <c r="AP1232">
        <v>1</v>
      </c>
      <c r="AQ1232">
        <v>1</v>
      </c>
      <c r="AR1232">
        <v>0</v>
      </c>
      <c r="AS1232">
        <v>0</v>
      </c>
      <c r="AT1232">
        <v>0</v>
      </c>
      <c r="AU1232">
        <v>0</v>
      </c>
      <c r="AV1232">
        <v>0</v>
      </c>
      <c r="AW1232">
        <v>0</v>
      </c>
      <c r="AX1232" s="24">
        <f t="shared" si="125"/>
        <v>1</v>
      </c>
      <c r="AY1232" s="24" t="str">
        <f t="shared" si="125"/>
        <v/>
      </c>
      <c r="AZ1232" s="24" t="str">
        <f t="shared" si="127"/>
        <v/>
      </c>
      <c r="BA1232" s="24" t="str">
        <f t="shared" si="127"/>
        <v/>
      </c>
      <c r="BB1232" s="24" t="str">
        <f t="shared" si="127"/>
        <v/>
      </c>
      <c r="BC1232" s="24" t="str">
        <f t="shared" si="127"/>
        <v/>
      </c>
      <c r="BD1232" s="24" t="str">
        <f t="shared" si="127"/>
        <v/>
      </c>
      <c r="BE1232" s="24" t="str">
        <f t="shared" si="127"/>
        <v/>
      </c>
      <c r="BF1232" s="24" t="str">
        <f t="shared" si="127"/>
        <v/>
      </c>
      <c r="BG1232" s="24" t="str">
        <f t="shared" si="127"/>
        <v/>
      </c>
      <c r="BH1232" s="24" t="str">
        <f t="shared" si="129"/>
        <v/>
      </c>
      <c r="BI1232" s="24">
        <f t="shared" si="127"/>
        <v>1</v>
      </c>
      <c r="BJ1232" s="24" t="str">
        <f t="shared" si="123"/>
        <v/>
      </c>
    </row>
    <row r="1233" spans="1:62" ht="15" customHeight="1" x14ac:dyDescent="0.25">
      <c r="A1233" t="str">
        <f>"1306811989"</f>
        <v>1306811989</v>
      </c>
      <c r="B1233" t="str">
        <f>"02355168"</f>
        <v>02355168</v>
      </c>
      <c r="C1233" t="s">
        <v>487</v>
      </c>
      <c r="D1233" t="s">
        <v>488</v>
      </c>
      <c r="E1233" t="s">
        <v>489</v>
      </c>
      <c r="G1233" t="s">
        <v>177</v>
      </c>
      <c r="H1233" t="s">
        <v>178</v>
      </c>
      <c r="J1233" t="s">
        <v>179</v>
      </c>
      <c r="L1233" t="s">
        <v>138</v>
      </c>
      <c r="M1233" t="s">
        <v>108</v>
      </c>
      <c r="R1233" t="s">
        <v>487</v>
      </c>
      <c r="W1233" t="s">
        <v>490</v>
      </c>
      <c r="X1233" t="s">
        <v>186</v>
      </c>
      <c r="Y1233" t="s">
        <v>181</v>
      </c>
      <c r="Z1233" t="s">
        <v>182</v>
      </c>
      <c r="AA1233" t="str">
        <f>"18840"</f>
        <v>18840</v>
      </c>
      <c r="AB1233" t="s">
        <v>123</v>
      </c>
      <c r="AC1233" t="s">
        <v>113</v>
      </c>
      <c r="AD1233" t="s">
        <v>108</v>
      </c>
      <c r="AE1233" t="s">
        <v>114</v>
      </c>
      <c r="AF1233" t="s">
        <v>115</v>
      </c>
      <c r="AG1233" t="s">
        <v>116</v>
      </c>
      <c r="AK1233" t="str">
        <f t="shared" si="128"/>
        <v/>
      </c>
      <c r="AL1233" t="s">
        <v>488</v>
      </c>
      <c r="AM1233">
        <v>1</v>
      </c>
      <c r="AN1233">
        <v>1</v>
      </c>
      <c r="AO1233">
        <v>0</v>
      </c>
      <c r="AP1233">
        <v>0</v>
      </c>
      <c r="AQ1233">
        <v>0</v>
      </c>
      <c r="AR1233">
        <v>0</v>
      </c>
      <c r="AS1233">
        <v>0</v>
      </c>
      <c r="AT1233">
        <v>0</v>
      </c>
      <c r="AU1233">
        <v>0</v>
      </c>
      <c r="AV1233">
        <v>1</v>
      </c>
      <c r="AW1233">
        <v>0</v>
      </c>
      <c r="AX1233" s="24" t="str">
        <f t="shared" si="125"/>
        <v/>
      </c>
      <c r="AY1233" s="24">
        <f t="shared" si="125"/>
        <v>1</v>
      </c>
      <c r="AZ1233" s="24" t="str">
        <f t="shared" si="127"/>
        <v/>
      </c>
      <c r="BA1233" s="24" t="str">
        <f t="shared" si="127"/>
        <v/>
      </c>
      <c r="BB1233" s="24" t="str">
        <f t="shared" si="127"/>
        <v/>
      </c>
      <c r="BC1233" s="24" t="str">
        <f t="shared" si="127"/>
        <v/>
      </c>
      <c r="BD1233" s="24" t="str">
        <f t="shared" si="127"/>
        <v/>
      </c>
      <c r="BE1233" s="24" t="str">
        <f t="shared" si="127"/>
        <v/>
      </c>
      <c r="BF1233" s="24" t="str">
        <f t="shared" si="127"/>
        <v/>
      </c>
      <c r="BG1233" s="24" t="str">
        <f t="shared" si="127"/>
        <v/>
      </c>
      <c r="BH1233" s="24" t="str">
        <f t="shared" si="129"/>
        <v/>
      </c>
      <c r="BI1233" s="24">
        <f t="shared" si="127"/>
        <v>1</v>
      </c>
      <c r="BJ1233" s="24" t="str">
        <f t="shared" si="123"/>
        <v/>
      </c>
    </row>
    <row r="1234" spans="1:62" ht="15" customHeight="1" x14ac:dyDescent="0.25">
      <c r="A1234" t="str">
        <f>"1902001936"</f>
        <v>1902001936</v>
      </c>
      <c r="B1234" t="str">
        <f>"03563619"</f>
        <v>03563619</v>
      </c>
      <c r="C1234" t="s">
        <v>5491</v>
      </c>
      <c r="D1234" t="s">
        <v>5492</v>
      </c>
      <c r="E1234" t="s">
        <v>5493</v>
      </c>
      <c r="G1234" t="s">
        <v>4447</v>
      </c>
      <c r="H1234" t="s">
        <v>4448</v>
      </c>
      <c r="J1234" t="s">
        <v>4449</v>
      </c>
      <c r="L1234" t="s">
        <v>138</v>
      </c>
      <c r="M1234" t="s">
        <v>108</v>
      </c>
      <c r="R1234" t="s">
        <v>5491</v>
      </c>
      <c r="W1234" t="s">
        <v>5493</v>
      </c>
      <c r="X1234" t="s">
        <v>121</v>
      </c>
      <c r="Y1234" t="s">
        <v>122</v>
      </c>
      <c r="Z1234" t="s">
        <v>111</v>
      </c>
      <c r="AA1234" t="str">
        <f>"13815-1019"</f>
        <v>13815-1019</v>
      </c>
      <c r="AB1234" t="s">
        <v>123</v>
      </c>
      <c r="AC1234" t="s">
        <v>113</v>
      </c>
      <c r="AD1234" t="s">
        <v>108</v>
      </c>
      <c r="AE1234" t="s">
        <v>114</v>
      </c>
      <c r="AF1234" t="s">
        <v>124</v>
      </c>
      <c r="AG1234" t="s">
        <v>116</v>
      </c>
      <c r="AK1234" t="str">
        <f t="shared" si="128"/>
        <v/>
      </c>
      <c r="AL1234" t="s">
        <v>5492</v>
      </c>
      <c r="AM1234">
        <v>0</v>
      </c>
      <c r="AN1234">
        <v>0</v>
      </c>
      <c r="AO1234">
        <v>0</v>
      </c>
      <c r="AP1234">
        <v>0</v>
      </c>
      <c r="AQ1234">
        <v>0</v>
      </c>
      <c r="AR1234">
        <v>0</v>
      </c>
      <c r="AS1234">
        <v>0</v>
      </c>
      <c r="AT1234">
        <v>0</v>
      </c>
      <c r="AU1234">
        <v>0</v>
      </c>
      <c r="AV1234">
        <v>0</v>
      </c>
      <c r="AW1234">
        <v>0</v>
      </c>
      <c r="AX1234" s="24" t="str">
        <f t="shared" si="125"/>
        <v/>
      </c>
      <c r="AY1234" s="24">
        <f t="shared" si="125"/>
        <v>1</v>
      </c>
      <c r="AZ1234" s="24" t="str">
        <f t="shared" si="127"/>
        <v/>
      </c>
      <c r="BA1234" s="24" t="str">
        <f t="shared" si="127"/>
        <v/>
      </c>
      <c r="BB1234" s="24" t="str">
        <f t="shared" si="127"/>
        <v/>
      </c>
      <c r="BC1234" s="24" t="str">
        <f t="shared" si="127"/>
        <v/>
      </c>
      <c r="BD1234" s="24" t="str">
        <f t="shared" si="127"/>
        <v/>
      </c>
      <c r="BE1234" s="24" t="str">
        <f t="shared" si="127"/>
        <v/>
      </c>
      <c r="BF1234" s="24" t="str">
        <f t="shared" si="127"/>
        <v/>
      </c>
      <c r="BG1234" s="24" t="str">
        <f t="shared" si="127"/>
        <v/>
      </c>
      <c r="BH1234" s="24" t="str">
        <f t="shared" si="129"/>
        <v/>
      </c>
      <c r="BI1234" s="24">
        <f t="shared" si="127"/>
        <v>1</v>
      </c>
      <c r="BJ1234" s="24" t="str">
        <f t="shared" ref="BJ1234:BJ1297" si="130">IF(ISERROR(FIND(BJ$1,$L1234,1)),"",1)</f>
        <v/>
      </c>
    </row>
    <row r="1235" spans="1:62" ht="15" customHeight="1" x14ac:dyDescent="0.25">
      <c r="A1235" t="str">
        <f>"1750362380"</f>
        <v>1750362380</v>
      </c>
      <c r="B1235" t="str">
        <f>"01643594"</f>
        <v>01643594</v>
      </c>
      <c r="C1235" t="s">
        <v>6822</v>
      </c>
      <c r="D1235" t="s">
        <v>7106</v>
      </c>
      <c r="E1235" t="s">
        <v>6963</v>
      </c>
      <c r="G1235" t="s">
        <v>815</v>
      </c>
      <c r="H1235" t="s">
        <v>816</v>
      </c>
      <c r="J1235" t="s">
        <v>817</v>
      </c>
      <c r="L1235" t="s">
        <v>138</v>
      </c>
      <c r="M1235" t="s">
        <v>108</v>
      </c>
      <c r="R1235" t="s">
        <v>6822</v>
      </c>
      <c r="W1235" t="s">
        <v>6963</v>
      </c>
      <c r="X1235" t="s">
        <v>849</v>
      </c>
      <c r="Y1235" t="s">
        <v>110</v>
      </c>
      <c r="Z1235" t="s">
        <v>111</v>
      </c>
      <c r="AA1235" t="str">
        <f>"13903"</f>
        <v>13903</v>
      </c>
      <c r="AB1235" t="s">
        <v>123</v>
      </c>
      <c r="AC1235" t="s">
        <v>113</v>
      </c>
      <c r="AD1235" t="s">
        <v>108</v>
      </c>
      <c r="AE1235" t="s">
        <v>114</v>
      </c>
      <c r="AF1235" t="s">
        <v>115</v>
      </c>
      <c r="AG1235" t="s">
        <v>116</v>
      </c>
      <c r="AK1235" t="str">
        <f t="shared" si="128"/>
        <v>SHAH ZIA DR.</v>
      </c>
      <c r="AL1235" t="s">
        <v>7106</v>
      </c>
      <c r="AM1235" t="s">
        <v>108</v>
      </c>
      <c r="AN1235" t="s">
        <v>108</v>
      </c>
      <c r="AO1235" t="s">
        <v>108</v>
      </c>
      <c r="AP1235" t="s">
        <v>108</v>
      </c>
      <c r="AQ1235" t="s">
        <v>108</v>
      </c>
      <c r="AR1235" t="s">
        <v>108</v>
      </c>
      <c r="AS1235" t="s">
        <v>108</v>
      </c>
      <c r="AT1235" t="s">
        <v>108</v>
      </c>
      <c r="AU1235" t="s">
        <v>108</v>
      </c>
      <c r="AV1235" t="s">
        <v>108</v>
      </c>
      <c r="AW1235" t="s">
        <v>108</v>
      </c>
      <c r="AX1235" s="24" t="str">
        <f t="shared" si="125"/>
        <v/>
      </c>
      <c r="AY1235" s="24">
        <f t="shared" si="125"/>
        <v>1</v>
      </c>
      <c r="AZ1235" s="24" t="str">
        <f t="shared" si="127"/>
        <v/>
      </c>
      <c r="BA1235" s="24" t="str">
        <f t="shared" si="127"/>
        <v/>
      </c>
      <c r="BB1235" s="24" t="str">
        <f t="shared" si="127"/>
        <v/>
      </c>
      <c r="BC1235" s="24" t="str">
        <f t="shared" si="127"/>
        <v/>
      </c>
      <c r="BD1235" s="24" t="str">
        <f t="shared" si="127"/>
        <v/>
      </c>
      <c r="BE1235" s="24" t="str">
        <f t="shared" si="127"/>
        <v/>
      </c>
      <c r="BF1235" s="24" t="str">
        <f t="shared" si="127"/>
        <v/>
      </c>
      <c r="BG1235" s="24" t="str">
        <f t="shared" si="127"/>
        <v/>
      </c>
      <c r="BH1235" s="24" t="str">
        <f t="shared" si="129"/>
        <v/>
      </c>
      <c r="BI1235" s="24">
        <f t="shared" si="127"/>
        <v>1</v>
      </c>
      <c r="BJ1235" s="24" t="str">
        <f t="shared" si="130"/>
        <v/>
      </c>
    </row>
    <row r="1236" spans="1:62" ht="15" customHeight="1" x14ac:dyDescent="0.25">
      <c r="A1236" t="str">
        <f>"1912927161"</f>
        <v>1912927161</v>
      </c>
      <c r="B1236" t="str">
        <f>"02838728"</f>
        <v>02838728</v>
      </c>
      <c r="C1236" t="s">
        <v>2185</v>
      </c>
      <c r="D1236" t="s">
        <v>2186</v>
      </c>
      <c r="E1236" t="s">
        <v>2187</v>
      </c>
      <c r="G1236" t="s">
        <v>2185</v>
      </c>
      <c r="H1236" t="s">
        <v>440</v>
      </c>
      <c r="J1236" t="s">
        <v>2188</v>
      </c>
      <c r="L1236" t="s">
        <v>120</v>
      </c>
      <c r="M1236" t="s">
        <v>108</v>
      </c>
      <c r="R1236" t="s">
        <v>2189</v>
      </c>
      <c r="W1236" t="s">
        <v>2187</v>
      </c>
      <c r="X1236" t="s">
        <v>978</v>
      </c>
      <c r="Y1236" t="s">
        <v>979</v>
      </c>
      <c r="Z1236" t="s">
        <v>111</v>
      </c>
      <c r="AA1236" t="str">
        <f>"13760-1560"</f>
        <v>13760-1560</v>
      </c>
      <c r="AB1236" t="s">
        <v>123</v>
      </c>
      <c r="AC1236" t="s">
        <v>113</v>
      </c>
      <c r="AD1236" t="s">
        <v>108</v>
      </c>
      <c r="AE1236" t="s">
        <v>114</v>
      </c>
      <c r="AF1236" t="s">
        <v>115</v>
      </c>
      <c r="AG1236" t="s">
        <v>116</v>
      </c>
      <c r="AK1236" t="str">
        <f t="shared" si="128"/>
        <v/>
      </c>
      <c r="AL1236" t="s">
        <v>2186</v>
      </c>
      <c r="AM1236">
        <v>0</v>
      </c>
      <c r="AN1236">
        <v>0</v>
      </c>
      <c r="AO1236">
        <v>0</v>
      </c>
      <c r="AP1236">
        <v>0</v>
      </c>
      <c r="AQ1236">
        <v>0</v>
      </c>
      <c r="AR1236">
        <v>0</v>
      </c>
      <c r="AS1236">
        <v>0</v>
      </c>
      <c r="AT1236">
        <v>0</v>
      </c>
      <c r="AU1236">
        <v>0</v>
      </c>
      <c r="AV1236">
        <v>0</v>
      </c>
      <c r="AW1236">
        <v>0</v>
      </c>
      <c r="AX1236" s="24">
        <f t="shared" si="125"/>
        <v>1</v>
      </c>
      <c r="AY1236" s="24" t="str">
        <f t="shared" si="125"/>
        <v/>
      </c>
      <c r="AZ1236" s="24" t="str">
        <f t="shared" si="127"/>
        <v/>
      </c>
      <c r="BA1236" s="24" t="str">
        <f t="shared" si="127"/>
        <v/>
      </c>
      <c r="BB1236" s="24" t="str">
        <f t="shared" si="127"/>
        <v/>
      </c>
      <c r="BC1236" s="24" t="str">
        <f t="shared" si="127"/>
        <v/>
      </c>
      <c r="BD1236" s="24" t="str">
        <f t="shared" si="127"/>
        <v/>
      </c>
      <c r="BE1236" s="24" t="str">
        <f t="shared" si="127"/>
        <v/>
      </c>
      <c r="BF1236" s="24" t="str">
        <f t="shared" si="127"/>
        <v/>
      </c>
      <c r="BG1236" s="24" t="str">
        <f t="shared" si="127"/>
        <v/>
      </c>
      <c r="BH1236" s="24" t="str">
        <f t="shared" si="129"/>
        <v/>
      </c>
      <c r="BI1236" s="24">
        <f t="shared" si="127"/>
        <v>1</v>
      </c>
      <c r="BJ1236" s="24" t="str">
        <f t="shared" si="130"/>
        <v/>
      </c>
    </row>
    <row r="1237" spans="1:62" ht="15" customHeight="1" x14ac:dyDescent="0.25">
      <c r="A1237" t="str">
        <f>"1851384630"</f>
        <v>1851384630</v>
      </c>
      <c r="B1237" t="str">
        <f>"02282020"</f>
        <v>02282020</v>
      </c>
      <c r="C1237" t="s">
        <v>2347</v>
      </c>
      <c r="D1237" t="s">
        <v>2348</v>
      </c>
      <c r="E1237" t="s">
        <v>2349</v>
      </c>
      <c r="G1237" t="s">
        <v>2347</v>
      </c>
      <c r="H1237" t="s">
        <v>440</v>
      </c>
      <c r="J1237" t="s">
        <v>2350</v>
      </c>
      <c r="L1237" t="s">
        <v>6867</v>
      </c>
      <c r="M1237" t="s">
        <v>108</v>
      </c>
      <c r="R1237" t="s">
        <v>2351</v>
      </c>
      <c r="W1237" t="s">
        <v>2349</v>
      </c>
      <c r="X1237" t="s">
        <v>1830</v>
      </c>
      <c r="Y1237" t="s">
        <v>110</v>
      </c>
      <c r="Z1237" t="s">
        <v>111</v>
      </c>
      <c r="AA1237" t="str">
        <f>"13904-1661"</f>
        <v>13904-1661</v>
      </c>
      <c r="AB1237" t="s">
        <v>123</v>
      </c>
      <c r="AC1237" t="s">
        <v>113</v>
      </c>
      <c r="AD1237" t="s">
        <v>108</v>
      </c>
      <c r="AE1237" t="s">
        <v>114</v>
      </c>
      <c r="AF1237" t="s">
        <v>115</v>
      </c>
      <c r="AG1237" t="s">
        <v>116</v>
      </c>
      <c r="AK1237" t="str">
        <f t="shared" si="128"/>
        <v/>
      </c>
      <c r="AL1237" t="s">
        <v>2348</v>
      </c>
      <c r="AM1237">
        <v>1</v>
      </c>
      <c r="AN1237">
        <v>1</v>
      </c>
      <c r="AO1237">
        <v>0</v>
      </c>
      <c r="AP1237">
        <v>1</v>
      </c>
      <c r="AQ1237">
        <v>1</v>
      </c>
      <c r="AR1237">
        <v>0</v>
      </c>
      <c r="AS1237">
        <v>0</v>
      </c>
      <c r="AT1237">
        <v>0</v>
      </c>
      <c r="AU1237">
        <v>0</v>
      </c>
      <c r="AV1237">
        <v>0</v>
      </c>
      <c r="AW1237">
        <v>0</v>
      </c>
      <c r="AX1237" s="24">
        <f t="shared" si="125"/>
        <v>1</v>
      </c>
      <c r="AY1237" s="24">
        <f t="shared" si="125"/>
        <v>1</v>
      </c>
      <c r="AZ1237" s="24" t="str">
        <f t="shared" si="127"/>
        <v/>
      </c>
      <c r="BA1237" s="24" t="str">
        <f t="shared" si="127"/>
        <v/>
      </c>
      <c r="BB1237" s="24" t="str">
        <f t="shared" si="127"/>
        <v/>
      </c>
      <c r="BC1237" s="24" t="str">
        <f t="shared" si="127"/>
        <v/>
      </c>
      <c r="BD1237" s="24" t="str">
        <f t="shared" si="127"/>
        <v/>
      </c>
      <c r="BE1237" s="24" t="str">
        <f t="shared" si="127"/>
        <v/>
      </c>
      <c r="BF1237" s="24" t="str">
        <f t="shared" ref="AZ1237:BI1263" si="131">IF(ISERROR(FIND(BF$1,$L1237,1)),"",1)</f>
        <v/>
      </c>
      <c r="BG1237" s="24" t="str">
        <f t="shared" si="131"/>
        <v/>
      </c>
      <c r="BH1237" s="24" t="str">
        <f t="shared" si="129"/>
        <v/>
      </c>
      <c r="BI1237" s="24">
        <f t="shared" si="131"/>
        <v>1</v>
      </c>
      <c r="BJ1237" s="24" t="str">
        <f t="shared" si="130"/>
        <v/>
      </c>
    </row>
    <row r="1238" spans="1:62" ht="15" customHeight="1" x14ac:dyDescent="0.25">
      <c r="A1238" t="str">
        <f>"1497907273"</f>
        <v>1497907273</v>
      </c>
      <c r="B1238" t="str">
        <f>"03462140"</f>
        <v>03462140</v>
      </c>
      <c r="C1238" t="s">
        <v>2432</v>
      </c>
      <c r="D1238" t="s">
        <v>2433</v>
      </c>
      <c r="E1238" t="s">
        <v>2434</v>
      </c>
      <c r="G1238" t="s">
        <v>2420</v>
      </c>
      <c r="H1238" t="s">
        <v>2421</v>
      </c>
      <c r="J1238" t="s">
        <v>2435</v>
      </c>
      <c r="L1238" t="s">
        <v>247</v>
      </c>
      <c r="M1238" t="s">
        <v>139</v>
      </c>
      <c r="R1238" t="s">
        <v>2434</v>
      </c>
      <c r="W1238" t="s">
        <v>2434</v>
      </c>
      <c r="X1238" t="s">
        <v>140</v>
      </c>
      <c r="Y1238" t="s">
        <v>141</v>
      </c>
      <c r="Z1238" t="s">
        <v>111</v>
      </c>
      <c r="AA1238" t="str">
        <f>"13210-2342"</f>
        <v>13210-2342</v>
      </c>
      <c r="AB1238" t="s">
        <v>123</v>
      </c>
      <c r="AC1238" t="s">
        <v>113</v>
      </c>
      <c r="AD1238" t="s">
        <v>108</v>
      </c>
      <c r="AE1238" t="s">
        <v>114</v>
      </c>
      <c r="AF1238" t="s">
        <v>142</v>
      </c>
      <c r="AG1238" t="s">
        <v>116</v>
      </c>
      <c r="AK1238" t="str">
        <f t="shared" si="128"/>
        <v/>
      </c>
      <c r="AL1238" t="s">
        <v>2433</v>
      </c>
      <c r="AM1238">
        <v>0</v>
      </c>
      <c r="AN1238">
        <v>0</v>
      </c>
      <c r="AO1238">
        <v>0</v>
      </c>
      <c r="AP1238">
        <v>0</v>
      </c>
      <c r="AQ1238">
        <v>0</v>
      </c>
      <c r="AR1238">
        <v>0</v>
      </c>
      <c r="AS1238">
        <v>0</v>
      </c>
      <c r="AT1238">
        <v>0</v>
      </c>
      <c r="AU1238">
        <v>0</v>
      </c>
      <c r="AV1238">
        <v>0</v>
      </c>
      <c r="AW1238">
        <v>0</v>
      </c>
      <c r="AX1238" s="24" t="str">
        <f t="shared" si="125"/>
        <v/>
      </c>
      <c r="AY1238" s="24">
        <f t="shared" si="125"/>
        <v>1</v>
      </c>
      <c r="AZ1238" s="24" t="str">
        <f t="shared" si="131"/>
        <v/>
      </c>
      <c r="BA1238" s="24" t="str">
        <f t="shared" si="131"/>
        <v/>
      </c>
      <c r="BB1238" s="24" t="str">
        <f t="shared" si="131"/>
        <v/>
      </c>
      <c r="BC1238" s="24" t="str">
        <f t="shared" si="131"/>
        <v/>
      </c>
      <c r="BD1238" s="24" t="str">
        <f t="shared" si="131"/>
        <v/>
      </c>
      <c r="BE1238" s="24" t="str">
        <f t="shared" si="131"/>
        <v/>
      </c>
      <c r="BF1238" s="24" t="str">
        <f t="shared" si="131"/>
        <v/>
      </c>
      <c r="BG1238" s="24" t="str">
        <f t="shared" si="131"/>
        <v/>
      </c>
      <c r="BH1238" s="24" t="str">
        <f t="shared" si="129"/>
        <v/>
      </c>
      <c r="BI1238" s="24" t="str">
        <f t="shared" si="131"/>
        <v/>
      </c>
      <c r="BJ1238" s="24" t="str">
        <f t="shared" si="130"/>
        <v/>
      </c>
    </row>
    <row r="1239" spans="1:62" ht="15" customHeight="1" x14ac:dyDescent="0.25">
      <c r="A1239" t="str">
        <f>"1548452634"</f>
        <v>1548452634</v>
      </c>
      <c r="B1239" t="str">
        <f>"04505506"</f>
        <v>04505506</v>
      </c>
      <c r="C1239" t="s">
        <v>6232</v>
      </c>
      <c r="D1239" t="s">
        <v>6233</v>
      </c>
      <c r="E1239" t="s">
        <v>6234</v>
      </c>
      <c r="G1239" t="s">
        <v>815</v>
      </c>
      <c r="H1239" t="s">
        <v>816</v>
      </c>
      <c r="J1239" t="s">
        <v>817</v>
      </c>
      <c r="L1239" t="s">
        <v>6868</v>
      </c>
      <c r="M1239" t="s">
        <v>108</v>
      </c>
      <c r="R1239" t="s">
        <v>6235</v>
      </c>
      <c r="W1239" t="s">
        <v>6234</v>
      </c>
      <c r="AB1239" t="s">
        <v>123</v>
      </c>
      <c r="AC1239" t="s">
        <v>113</v>
      </c>
      <c r="AD1239" t="s">
        <v>108</v>
      </c>
      <c r="AE1239" t="s">
        <v>114</v>
      </c>
      <c r="AF1239" t="s">
        <v>115</v>
      </c>
      <c r="AG1239" t="s">
        <v>116</v>
      </c>
      <c r="AK1239" t="str">
        <f t="shared" si="128"/>
        <v>Shalini Bichala, MD</v>
      </c>
      <c r="AL1239" t="s">
        <v>6233</v>
      </c>
      <c r="AM1239" t="s">
        <v>108</v>
      </c>
      <c r="AN1239" t="s">
        <v>108</v>
      </c>
      <c r="AO1239" t="s">
        <v>108</v>
      </c>
      <c r="AP1239" t="s">
        <v>108</v>
      </c>
      <c r="AQ1239" t="s">
        <v>108</v>
      </c>
      <c r="AR1239" t="s">
        <v>108</v>
      </c>
      <c r="AS1239" t="s">
        <v>108</v>
      </c>
      <c r="AT1239" t="s">
        <v>108</v>
      </c>
      <c r="AU1239" t="s">
        <v>108</v>
      </c>
      <c r="AV1239" t="s">
        <v>108</v>
      </c>
      <c r="AW1239" t="s">
        <v>108</v>
      </c>
      <c r="AX1239" s="24">
        <f t="shared" si="125"/>
        <v>1</v>
      </c>
      <c r="AY1239" s="24">
        <f t="shared" si="125"/>
        <v>1</v>
      </c>
      <c r="AZ1239" s="24" t="str">
        <f t="shared" si="131"/>
        <v/>
      </c>
      <c r="BA1239" s="24" t="str">
        <f t="shared" si="131"/>
        <v/>
      </c>
      <c r="BB1239" s="24" t="str">
        <f t="shared" si="131"/>
        <v/>
      </c>
      <c r="BC1239" s="24" t="str">
        <f t="shared" si="131"/>
        <v/>
      </c>
      <c r="BD1239" s="24" t="str">
        <f t="shared" si="131"/>
        <v/>
      </c>
      <c r="BE1239" s="24" t="str">
        <f t="shared" si="131"/>
        <v/>
      </c>
      <c r="BF1239" s="24" t="str">
        <f t="shared" si="131"/>
        <v/>
      </c>
      <c r="BG1239" s="24" t="str">
        <f t="shared" si="131"/>
        <v/>
      </c>
      <c r="BH1239" s="24" t="str">
        <f t="shared" si="129"/>
        <v/>
      </c>
      <c r="BI1239" s="24" t="str">
        <f t="shared" si="131"/>
        <v/>
      </c>
      <c r="BJ1239" s="24" t="str">
        <f t="shared" si="130"/>
        <v/>
      </c>
    </row>
    <row r="1240" spans="1:62" ht="15" customHeight="1" x14ac:dyDescent="0.25">
      <c r="A1240" t="str">
        <f>"1750346540"</f>
        <v>1750346540</v>
      </c>
      <c r="B1240" t="str">
        <f>"02149080"</f>
        <v>02149080</v>
      </c>
      <c r="C1240" t="s">
        <v>130</v>
      </c>
      <c r="D1240" t="s">
        <v>131</v>
      </c>
      <c r="E1240" t="s">
        <v>132</v>
      </c>
      <c r="L1240" t="s">
        <v>133</v>
      </c>
      <c r="M1240" t="s">
        <v>108</v>
      </c>
      <c r="R1240" t="s">
        <v>130</v>
      </c>
      <c r="W1240" t="s">
        <v>132</v>
      </c>
      <c r="X1240" t="s">
        <v>134</v>
      </c>
      <c r="Y1240" t="s">
        <v>129</v>
      </c>
      <c r="Z1240" t="s">
        <v>111</v>
      </c>
      <c r="AA1240" t="str">
        <f>"13790-2558"</f>
        <v>13790-2558</v>
      </c>
      <c r="AB1240" t="s">
        <v>123</v>
      </c>
      <c r="AC1240" t="s">
        <v>113</v>
      </c>
      <c r="AD1240" t="s">
        <v>108</v>
      </c>
      <c r="AE1240" t="s">
        <v>114</v>
      </c>
      <c r="AF1240" t="s">
        <v>115</v>
      </c>
      <c r="AG1240" t="s">
        <v>116</v>
      </c>
      <c r="AK1240" t="str">
        <f t="shared" si="128"/>
        <v>SHALLER MARGE</v>
      </c>
      <c r="AL1240" t="s">
        <v>131</v>
      </c>
      <c r="AM1240" t="s">
        <v>108</v>
      </c>
      <c r="AN1240" t="s">
        <v>108</v>
      </c>
      <c r="AO1240" t="s">
        <v>108</v>
      </c>
      <c r="AP1240" t="s">
        <v>108</v>
      </c>
      <c r="AQ1240" t="s">
        <v>108</v>
      </c>
      <c r="AR1240" t="s">
        <v>108</v>
      </c>
      <c r="AS1240" t="s">
        <v>108</v>
      </c>
      <c r="AT1240" t="s">
        <v>108</v>
      </c>
      <c r="AU1240" t="s">
        <v>108</v>
      </c>
      <c r="AV1240" t="s">
        <v>108</v>
      </c>
      <c r="AW1240" t="s">
        <v>108</v>
      </c>
      <c r="AX1240" s="24" t="str">
        <f t="shared" si="125"/>
        <v/>
      </c>
      <c r="AY1240" s="24" t="str">
        <f t="shared" si="125"/>
        <v/>
      </c>
      <c r="AZ1240" s="24" t="str">
        <f t="shared" si="131"/>
        <v/>
      </c>
      <c r="BA1240" s="24" t="str">
        <f t="shared" si="131"/>
        <v/>
      </c>
      <c r="BB1240" s="24" t="str">
        <f t="shared" si="131"/>
        <v/>
      </c>
      <c r="BC1240" s="24" t="str">
        <f t="shared" si="131"/>
        <v/>
      </c>
      <c r="BD1240" s="24" t="str">
        <f t="shared" si="131"/>
        <v/>
      </c>
      <c r="BE1240" s="24" t="str">
        <f t="shared" si="131"/>
        <v/>
      </c>
      <c r="BF1240" s="24" t="str">
        <f t="shared" si="131"/>
        <v/>
      </c>
      <c r="BG1240" s="24" t="str">
        <f t="shared" si="131"/>
        <v/>
      </c>
      <c r="BH1240" s="24" t="str">
        <f t="shared" si="129"/>
        <v/>
      </c>
      <c r="BI1240" s="24" t="str">
        <f t="shared" si="131"/>
        <v/>
      </c>
      <c r="BJ1240" s="24">
        <f t="shared" si="130"/>
        <v>1</v>
      </c>
    </row>
    <row r="1241" spans="1:62" ht="15" customHeight="1" x14ac:dyDescent="0.25">
      <c r="A1241" t="str">
        <f>"1679742134"</f>
        <v>1679742134</v>
      </c>
      <c r="B1241" t="str">
        <f>"03025821"</f>
        <v>03025821</v>
      </c>
      <c r="C1241" t="s">
        <v>135</v>
      </c>
      <c r="D1241" t="s">
        <v>136</v>
      </c>
      <c r="E1241" t="s">
        <v>137</v>
      </c>
      <c r="L1241" t="s">
        <v>138</v>
      </c>
      <c r="M1241" t="s">
        <v>139</v>
      </c>
      <c r="R1241" t="s">
        <v>135</v>
      </c>
      <c r="W1241" t="s">
        <v>135</v>
      </c>
      <c r="X1241" t="s">
        <v>140</v>
      </c>
      <c r="Y1241" t="s">
        <v>141</v>
      </c>
      <c r="Z1241" t="s">
        <v>111</v>
      </c>
      <c r="AA1241" t="str">
        <f>"13210-2342"</f>
        <v>13210-2342</v>
      </c>
      <c r="AB1241" t="s">
        <v>123</v>
      </c>
      <c r="AC1241" t="s">
        <v>113</v>
      </c>
      <c r="AD1241" t="s">
        <v>108</v>
      </c>
      <c r="AE1241" t="s">
        <v>114</v>
      </c>
      <c r="AF1241" t="s">
        <v>142</v>
      </c>
      <c r="AG1241" t="s">
        <v>116</v>
      </c>
      <c r="AK1241" t="str">
        <f t="shared" si="128"/>
        <v/>
      </c>
      <c r="AL1241" t="s">
        <v>136</v>
      </c>
      <c r="AM1241">
        <v>0</v>
      </c>
      <c r="AN1241">
        <v>0</v>
      </c>
      <c r="AO1241">
        <v>0</v>
      </c>
      <c r="AP1241">
        <v>0</v>
      </c>
      <c r="AQ1241">
        <v>0</v>
      </c>
      <c r="AR1241">
        <v>0</v>
      </c>
      <c r="AS1241">
        <v>0</v>
      </c>
      <c r="AT1241">
        <v>0</v>
      </c>
      <c r="AU1241">
        <v>0</v>
      </c>
      <c r="AV1241">
        <v>0</v>
      </c>
      <c r="AW1241">
        <v>0</v>
      </c>
      <c r="AX1241" s="24" t="str">
        <f t="shared" si="125"/>
        <v/>
      </c>
      <c r="AY1241" s="24">
        <f t="shared" si="125"/>
        <v>1</v>
      </c>
      <c r="AZ1241" s="24" t="str">
        <f t="shared" si="131"/>
        <v/>
      </c>
      <c r="BA1241" s="24" t="str">
        <f t="shared" si="131"/>
        <v/>
      </c>
      <c r="BB1241" s="24" t="str">
        <f t="shared" si="131"/>
        <v/>
      </c>
      <c r="BC1241" s="24" t="str">
        <f t="shared" si="131"/>
        <v/>
      </c>
      <c r="BD1241" s="24" t="str">
        <f t="shared" si="131"/>
        <v/>
      </c>
      <c r="BE1241" s="24" t="str">
        <f t="shared" si="131"/>
        <v/>
      </c>
      <c r="BF1241" s="24" t="str">
        <f t="shared" si="131"/>
        <v/>
      </c>
      <c r="BG1241" s="24" t="str">
        <f t="shared" si="131"/>
        <v/>
      </c>
      <c r="BH1241" s="24" t="str">
        <f t="shared" si="129"/>
        <v/>
      </c>
      <c r="BI1241" s="24">
        <f t="shared" si="131"/>
        <v>1</v>
      </c>
      <c r="BJ1241" s="24" t="str">
        <f t="shared" si="130"/>
        <v/>
      </c>
    </row>
    <row r="1242" spans="1:62" ht="15" customHeight="1" x14ac:dyDescent="0.25">
      <c r="A1242" t="str">
        <f>"1154396752"</f>
        <v>1154396752</v>
      </c>
      <c r="B1242" t="str">
        <f>"00395033"</f>
        <v>00395033</v>
      </c>
      <c r="C1242" t="s">
        <v>718</v>
      </c>
      <c r="D1242" t="s">
        <v>719</v>
      </c>
      <c r="E1242" t="s">
        <v>720</v>
      </c>
      <c r="G1242" t="s">
        <v>699</v>
      </c>
      <c r="H1242" t="s">
        <v>700</v>
      </c>
      <c r="J1242" t="s">
        <v>701</v>
      </c>
      <c r="L1242" t="s">
        <v>120</v>
      </c>
      <c r="M1242" t="s">
        <v>108</v>
      </c>
      <c r="R1242" t="s">
        <v>721</v>
      </c>
      <c r="W1242" t="s">
        <v>720</v>
      </c>
      <c r="X1242" t="s">
        <v>722</v>
      </c>
      <c r="Y1242" t="s">
        <v>157</v>
      </c>
      <c r="Z1242" t="s">
        <v>111</v>
      </c>
      <c r="AA1242" t="str">
        <f>"14830-2899"</f>
        <v>14830-2899</v>
      </c>
      <c r="AB1242" t="s">
        <v>123</v>
      </c>
      <c r="AC1242" t="s">
        <v>113</v>
      </c>
      <c r="AD1242" t="s">
        <v>108</v>
      </c>
      <c r="AE1242" t="s">
        <v>114</v>
      </c>
      <c r="AF1242" t="s">
        <v>149</v>
      </c>
      <c r="AG1242" t="s">
        <v>116</v>
      </c>
      <c r="AK1242" t="str">
        <f t="shared" si="128"/>
        <v/>
      </c>
      <c r="AL1242" t="s">
        <v>719</v>
      </c>
      <c r="AM1242">
        <v>1</v>
      </c>
      <c r="AN1242">
        <v>1</v>
      </c>
      <c r="AO1242">
        <v>0</v>
      </c>
      <c r="AP1242">
        <v>0</v>
      </c>
      <c r="AQ1242">
        <v>0</v>
      </c>
      <c r="AR1242">
        <v>0</v>
      </c>
      <c r="AS1242">
        <v>0</v>
      </c>
      <c r="AT1242">
        <v>1</v>
      </c>
      <c r="AU1242">
        <v>1</v>
      </c>
      <c r="AV1242">
        <v>1</v>
      </c>
      <c r="AW1242">
        <v>0</v>
      </c>
      <c r="AX1242" s="24">
        <f t="shared" si="125"/>
        <v>1</v>
      </c>
      <c r="AY1242" s="24" t="str">
        <f t="shared" si="125"/>
        <v/>
      </c>
      <c r="AZ1242" s="24" t="str">
        <f t="shared" si="131"/>
        <v/>
      </c>
      <c r="BA1242" s="24" t="str">
        <f t="shared" si="131"/>
        <v/>
      </c>
      <c r="BB1242" s="24" t="str">
        <f t="shared" si="131"/>
        <v/>
      </c>
      <c r="BC1242" s="24" t="str">
        <f t="shared" si="131"/>
        <v/>
      </c>
      <c r="BD1242" s="24" t="str">
        <f t="shared" si="131"/>
        <v/>
      </c>
      <c r="BE1242" s="24" t="str">
        <f t="shared" si="131"/>
        <v/>
      </c>
      <c r="BF1242" s="24" t="str">
        <f t="shared" si="131"/>
        <v/>
      </c>
      <c r="BG1242" s="24" t="str">
        <f t="shared" si="131"/>
        <v/>
      </c>
      <c r="BH1242" s="24" t="str">
        <f t="shared" si="129"/>
        <v/>
      </c>
      <c r="BI1242" s="24">
        <f t="shared" si="131"/>
        <v>1</v>
      </c>
      <c r="BJ1242" s="24" t="str">
        <f t="shared" si="130"/>
        <v/>
      </c>
    </row>
    <row r="1243" spans="1:62" ht="15" customHeight="1" x14ac:dyDescent="0.25">
      <c r="A1243" t="str">
        <f>"1912972597"</f>
        <v>1912972597</v>
      </c>
      <c r="B1243" t="str">
        <f>"01805632"</f>
        <v>01805632</v>
      </c>
      <c r="C1243" t="s">
        <v>723</v>
      </c>
      <c r="D1243" t="s">
        <v>724</v>
      </c>
      <c r="E1243" t="s">
        <v>723</v>
      </c>
      <c r="G1243" t="s">
        <v>699</v>
      </c>
      <c r="H1243" t="s">
        <v>700</v>
      </c>
      <c r="J1243" t="s">
        <v>701</v>
      </c>
      <c r="L1243" t="s">
        <v>120</v>
      </c>
      <c r="M1243" t="s">
        <v>108</v>
      </c>
      <c r="R1243" t="s">
        <v>725</v>
      </c>
      <c r="W1243" t="s">
        <v>723</v>
      </c>
      <c r="X1243" t="s">
        <v>180</v>
      </c>
      <c r="Y1243" t="s">
        <v>181</v>
      </c>
      <c r="Z1243" t="s">
        <v>182</v>
      </c>
      <c r="AA1243" t="str">
        <f>"18840"</f>
        <v>18840</v>
      </c>
      <c r="AB1243" t="s">
        <v>123</v>
      </c>
      <c r="AC1243" t="s">
        <v>113</v>
      </c>
      <c r="AD1243" t="s">
        <v>108</v>
      </c>
      <c r="AE1243" t="s">
        <v>114</v>
      </c>
      <c r="AF1243" t="s">
        <v>115</v>
      </c>
      <c r="AG1243" t="s">
        <v>116</v>
      </c>
      <c r="AK1243" t="str">
        <f t="shared" si="128"/>
        <v/>
      </c>
      <c r="AL1243" t="s">
        <v>724</v>
      </c>
      <c r="AM1243">
        <v>1</v>
      </c>
      <c r="AN1243">
        <v>1</v>
      </c>
      <c r="AO1243">
        <v>0</v>
      </c>
      <c r="AP1243">
        <v>0</v>
      </c>
      <c r="AQ1243">
        <v>0</v>
      </c>
      <c r="AR1243">
        <v>0</v>
      </c>
      <c r="AS1243">
        <v>0</v>
      </c>
      <c r="AT1243">
        <v>1</v>
      </c>
      <c r="AU1243">
        <v>1</v>
      </c>
      <c r="AV1243">
        <v>1</v>
      </c>
      <c r="AW1243">
        <v>0</v>
      </c>
      <c r="AX1243" s="24">
        <f t="shared" si="125"/>
        <v>1</v>
      </c>
      <c r="AY1243" s="24" t="str">
        <f t="shared" si="125"/>
        <v/>
      </c>
      <c r="AZ1243" s="24" t="str">
        <f t="shared" si="131"/>
        <v/>
      </c>
      <c r="BA1243" s="24" t="str">
        <f t="shared" si="131"/>
        <v/>
      </c>
      <c r="BB1243" s="24" t="str">
        <f t="shared" si="131"/>
        <v/>
      </c>
      <c r="BC1243" s="24" t="str">
        <f t="shared" si="131"/>
        <v/>
      </c>
      <c r="BD1243" s="24" t="str">
        <f t="shared" si="131"/>
        <v/>
      </c>
      <c r="BE1243" s="24" t="str">
        <f t="shared" si="131"/>
        <v/>
      </c>
      <c r="BF1243" s="24" t="str">
        <f t="shared" si="131"/>
        <v/>
      </c>
      <c r="BG1243" s="24" t="str">
        <f t="shared" si="131"/>
        <v/>
      </c>
      <c r="BH1243" s="24" t="str">
        <f t="shared" si="129"/>
        <v/>
      </c>
      <c r="BI1243" s="24">
        <f t="shared" si="131"/>
        <v>1</v>
      </c>
      <c r="BJ1243" s="24" t="str">
        <f t="shared" si="130"/>
        <v/>
      </c>
    </row>
    <row r="1244" spans="1:62" ht="15" customHeight="1" x14ac:dyDescent="0.25">
      <c r="A1244" t="str">
        <f>"1427125681"</f>
        <v>1427125681</v>
      </c>
      <c r="B1244" t="str">
        <f>"01908965"</f>
        <v>01908965</v>
      </c>
      <c r="C1244" t="s">
        <v>328</v>
      </c>
      <c r="D1244" t="s">
        <v>329</v>
      </c>
      <c r="E1244" t="s">
        <v>330</v>
      </c>
      <c r="G1244" t="s">
        <v>328</v>
      </c>
      <c r="H1244" t="s">
        <v>331</v>
      </c>
      <c r="J1244" t="s">
        <v>332</v>
      </c>
      <c r="L1244" t="s">
        <v>6867</v>
      </c>
      <c r="M1244" t="s">
        <v>108</v>
      </c>
      <c r="R1244" t="s">
        <v>333</v>
      </c>
      <c r="W1244" t="s">
        <v>330</v>
      </c>
      <c r="X1244" t="s">
        <v>334</v>
      </c>
      <c r="Y1244" t="s">
        <v>335</v>
      </c>
      <c r="Z1244" t="s">
        <v>111</v>
      </c>
      <c r="AA1244" t="str">
        <f>"13820-2086"</f>
        <v>13820-2086</v>
      </c>
      <c r="AB1244" t="s">
        <v>123</v>
      </c>
      <c r="AC1244" t="s">
        <v>113</v>
      </c>
      <c r="AD1244" t="s">
        <v>108</v>
      </c>
      <c r="AE1244" t="s">
        <v>114</v>
      </c>
      <c r="AF1244" t="s">
        <v>124</v>
      </c>
      <c r="AG1244" t="s">
        <v>116</v>
      </c>
      <c r="AK1244" t="str">
        <f t="shared" si="128"/>
        <v/>
      </c>
      <c r="AL1244" t="s">
        <v>329</v>
      </c>
      <c r="AM1244">
        <v>0</v>
      </c>
      <c r="AN1244">
        <v>0</v>
      </c>
      <c r="AO1244">
        <v>0</v>
      </c>
      <c r="AP1244">
        <v>0</v>
      </c>
      <c r="AQ1244">
        <v>0</v>
      </c>
      <c r="AR1244">
        <v>0</v>
      </c>
      <c r="AS1244">
        <v>0</v>
      </c>
      <c r="AT1244">
        <v>0</v>
      </c>
      <c r="AU1244">
        <v>0</v>
      </c>
      <c r="AV1244">
        <v>0</v>
      </c>
      <c r="AW1244">
        <v>0</v>
      </c>
      <c r="AX1244" s="24">
        <f t="shared" si="125"/>
        <v>1</v>
      </c>
      <c r="AY1244" s="24">
        <f t="shared" si="125"/>
        <v>1</v>
      </c>
      <c r="AZ1244" s="24" t="str">
        <f t="shared" si="131"/>
        <v/>
      </c>
      <c r="BA1244" s="24" t="str">
        <f t="shared" si="131"/>
        <v/>
      </c>
      <c r="BB1244" s="24" t="str">
        <f t="shared" si="131"/>
        <v/>
      </c>
      <c r="BC1244" s="24" t="str">
        <f t="shared" si="131"/>
        <v/>
      </c>
      <c r="BD1244" s="24" t="str">
        <f t="shared" si="131"/>
        <v/>
      </c>
      <c r="BE1244" s="24" t="str">
        <f t="shared" si="131"/>
        <v/>
      </c>
      <c r="BF1244" s="24" t="str">
        <f t="shared" si="131"/>
        <v/>
      </c>
      <c r="BG1244" s="24" t="str">
        <f t="shared" si="131"/>
        <v/>
      </c>
      <c r="BH1244" s="24" t="str">
        <f t="shared" si="129"/>
        <v/>
      </c>
      <c r="BI1244" s="24">
        <f t="shared" si="131"/>
        <v>1</v>
      </c>
      <c r="BJ1244" s="24" t="str">
        <f t="shared" si="130"/>
        <v/>
      </c>
    </row>
    <row r="1245" spans="1:62" ht="15" customHeight="1" x14ac:dyDescent="0.25">
      <c r="A1245" t="str">
        <f>"1083671325"</f>
        <v>1083671325</v>
      </c>
      <c r="B1245" t="str">
        <f>"01445418"</f>
        <v>01445418</v>
      </c>
      <c r="C1245" t="s">
        <v>4511</v>
      </c>
      <c r="D1245" t="s">
        <v>4512</v>
      </c>
      <c r="E1245" t="s">
        <v>4513</v>
      </c>
      <c r="G1245" t="s">
        <v>4304</v>
      </c>
      <c r="H1245" t="s">
        <v>4305</v>
      </c>
      <c r="J1245" t="s">
        <v>4514</v>
      </c>
      <c r="L1245" t="s">
        <v>120</v>
      </c>
      <c r="M1245" t="s">
        <v>108</v>
      </c>
      <c r="R1245" t="s">
        <v>4515</v>
      </c>
      <c r="W1245" t="s">
        <v>4516</v>
      </c>
      <c r="X1245" t="s">
        <v>4517</v>
      </c>
      <c r="Y1245" t="s">
        <v>471</v>
      </c>
      <c r="Z1245" t="s">
        <v>111</v>
      </c>
      <c r="AA1245" t="str">
        <f>"14203-1154"</f>
        <v>14203-1154</v>
      </c>
      <c r="AB1245" t="s">
        <v>123</v>
      </c>
      <c r="AC1245" t="s">
        <v>113</v>
      </c>
      <c r="AD1245" t="s">
        <v>108</v>
      </c>
      <c r="AE1245" t="s">
        <v>114</v>
      </c>
      <c r="AF1245" t="s">
        <v>142</v>
      </c>
      <c r="AG1245" t="s">
        <v>116</v>
      </c>
      <c r="AK1245" t="str">
        <f t="shared" si="128"/>
        <v/>
      </c>
      <c r="AL1245" t="s">
        <v>4512</v>
      </c>
      <c r="AM1245">
        <v>1</v>
      </c>
      <c r="AN1245">
        <v>1</v>
      </c>
      <c r="AO1245">
        <v>0</v>
      </c>
      <c r="AP1245">
        <v>0</v>
      </c>
      <c r="AQ1245">
        <v>0</v>
      </c>
      <c r="AR1245">
        <v>0</v>
      </c>
      <c r="AS1245">
        <v>0</v>
      </c>
      <c r="AT1245">
        <v>0</v>
      </c>
      <c r="AU1245">
        <v>0</v>
      </c>
      <c r="AV1245">
        <v>0</v>
      </c>
      <c r="AW1245">
        <v>0</v>
      </c>
      <c r="AX1245" s="24">
        <f t="shared" si="125"/>
        <v>1</v>
      </c>
      <c r="AY1245" s="24" t="str">
        <f t="shared" si="125"/>
        <v/>
      </c>
      <c r="AZ1245" s="24" t="str">
        <f t="shared" si="131"/>
        <v/>
      </c>
      <c r="BA1245" s="24" t="str">
        <f t="shared" si="131"/>
        <v/>
      </c>
      <c r="BB1245" s="24" t="str">
        <f t="shared" si="131"/>
        <v/>
      </c>
      <c r="BC1245" s="24" t="str">
        <f t="shared" si="131"/>
        <v/>
      </c>
      <c r="BD1245" s="24" t="str">
        <f t="shared" si="131"/>
        <v/>
      </c>
      <c r="BE1245" s="24" t="str">
        <f t="shared" si="131"/>
        <v/>
      </c>
      <c r="BF1245" s="24" t="str">
        <f t="shared" si="131"/>
        <v/>
      </c>
      <c r="BG1245" s="24" t="str">
        <f t="shared" si="131"/>
        <v/>
      </c>
      <c r="BH1245" s="24" t="str">
        <f t="shared" si="129"/>
        <v/>
      </c>
      <c r="BI1245" s="24">
        <f t="shared" si="131"/>
        <v>1</v>
      </c>
      <c r="BJ1245" s="24" t="str">
        <f t="shared" si="130"/>
        <v/>
      </c>
    </row>
    <row r="1246" spans="1:62" ht="15" customHeight="1" x14ac:dyDescent="0.25">
      <c r="A1246" t="str">
        <f>"1609035351"</f>
        <v>1609035351</v>
      </c>
      <c r="B1246" t="str">
        <f>"03104941"</f>
        <v>03104941</v>
      </c>
      <c r="C1246" t="s">
        <v>1553</v>
      </c>
      <c r="D1246" t="s">
        <v>1554</v>
      </c>
      <c r="E1246" t="s">
        <v>1555</v>
      </c>
      <c r="G1246" t="s">
        <v>1553</v>
      </c>
      <c r="H1246" t="s">
        <v>440</v>
      </c>
      <c r="J1246" t="s">
        <v>1556</v>
      </c>
      <c r="L1246" t="s">
        <v>120</v>
      </c>
      <c r="M1246" t="s">
        <v>108</v>
      </c>
      <c r="R1246" t="s">
        <v>1557</v>
      </c>
      <c r="W1246" t="s">
        <v>1558</v>
      </c>
      <c r="X1246" t="s">
        <v>881</v>
      </c>
      <c r="Y1246" t="s">
        <v>321</v>
      </c>
      <c r="Z1246" t="s">
        <v>111</v>
      </c>
      <c r="AA1246" t="str">
        <f>"13760-5430"</f>
        <v>13760-5430</v>
      </c>
      <c r="AB1246" t="s">
        <v>123</v>
      </c>
      <c r="AC1246" t="s">
        <v>113</v>
      </c>
      <c r="AD1246" t="s">
        <v>108</v>
      </c>
      <c r="AE1246" t="s">
        <v>114</v>
      </c>
      <c r="AF1246" t="s">
        <v>115</v>
      </c>
      <c r="AG1246" t="s">
        <v>116</v>
      </c>
      <c r="AK1246" t="str">
        <f t="shared" si="128"/>
        <v/>
      </c>
      <c r="AL1246" t="s">
        <v>1554</v>
      </c>
      <c r="AM1246">
        <v>0</v>
      </c>
      <c r="AN1246">
        <v>0</v>
      </c>
      <c r="AO1246">
        <v>0</v>
      </c>
      <c r="AP1246">
        <v>0</v>
      </c>
      <c r="AQ1246">
        <v>0</v>
      </c>
      <c r="AR1246">
        <v>0</v>
      </c>
      <c r="AS1246">
        <v>0</v>
      </c>
      <c r="AT1246">
        <v>0</v>
      </c>
      <c r="AU1246">
        <v>0</v>
      </c>
      <c r="AV1246">
        <v>0</v>
      </c>
      <c r="AW1246">
        <v>0</v>
      </c>
      <c r="AX1246" s="24">
        <f t="shared" si="125"/>
        <v>1</v>
      </c>
      <c r="AY1246" s="24" t="str">
        <f t="shared" si="125"/>
        <v/>
      </c>
      <c r="AZ1246" s="24" t="str">
        <f t="shared" si="131"/>
        <v/>
      </c>
      <c r="BA1246" s="24" t="str">
        <f t="shared" si="131"/>
        <v/>
      </c>
      <c r="BB1246" s="24" t="str">
        <f t="shared" si="131"/>
        <v/>
      </c>
      <c r="BC1246" s="24" t="str">
        <f t="shared" si="131"/>
        <v/>
      </c>
      <c r="BD1246" s="24" t="str">
        <f t="shared" si="131"/>
        <v/>
      </c>
      <c r="BE1246" s="24" t="str">
        <f t="shared" si="131"/>
        <v/>
      </c>
      <c r="BF1246" s="24" t="str">
        <f t="shared" si="131"/>
        <v/>
      </c>
      <c r="BG1246" s="24" t="str">
        <f t="shared" si="131"/>
        <v/>
      </c>
      <c r="BH1246" s="24" t="str">
        <f t="shared" si="129"/>
        <v/>
      </c>
      <c r="BI1246" s="24">
        <f t="shared" si="131"/>
        <v>1</v>
      </c>
      <c r="BJ1246" s="24" t="str">
        <f t="shared" si="130"/>
        <v/>
      </c>
    </row>
    <row r="1247" spans="1:62" ht="15" customHeight="1" x14ac:dyDescent="0.25">
      <c r="A1247" t="str">
        <f>"1568780922"</f>
        <v>1568780922</v>
      </c>
      <c r="B1247" t="str">
        <f>"03802077"</f>
        <v>03802077</v>
      </c>
      <c r="C1247" t="s">
        <v>6251</v>
      </c>
      <c r="D1247" t="s">
        <v>6252</v>
      </c>
      <c r="E1247" t="s">
        <v>6253</v>
      </c>
      <c r="G1247" t="s">
        <v>815</v>
      </c>
      <c r="H1247" t="s">
        <v>816</v>
      </c>
      <c r="J1247" t="s">
        <v>817</v>
      </c>
      <c r="L1247" t="s">
        <v>120</v>
      </c>
      <c r="M1247" t="s">
        <v>108</v>
      </c>
      <c r="R1247" t="s">
        <v>6254</v>
      </c>
      <c r="W1247" t="s">
        <v>6253</v>
      </c>
      <c r="X1247" t="s">
        <v>3299</v>
      </c>
      <c r="Y1247" t="s">
        <v>281</v>
      </c>
      <c r="Z1247" t="s">
        <v>111</v>
      </c>
      <c r="AA1247" t="str">
        <f>"13827-1620"</f>
        <v>13827-1620</v>
      </c>
      <c r="AB1247" t="s">
        <v>123</v>
      </c>
      <c r="AC1247" t="s">
        <v>113</v>
      </c>
      <c r="AD1247" t="s">
        <v>108</v>
      </c>
      <c r="AE1247" t="s">
        <v>114</v>
      </c>
      <c r="AF1247" t="s">
        <v>115</v>
      </c>
      <c r="AG1247" t="s">
        <v>116</v>
      </c>
      <c r="AK1247" t="str">
        <f t="shared" si="128"/>
        <v>Shean L. Barrett, MD</v>
      </c>
      <c r="AL1247" t="s">
        <v>6252</v>
      </c>
      <c r="AM1247" t="s">
        <v>108</v>
      </c>
      <c r="AN1247" t="s">
        <v>108</v>
      </c>
      <c r="AO1247" t="s">
        <v>108</v>
      </c>
      <c r="AP1247" t="s">
        <v>108</v>
      </c>
      <c r="AQ1247" t="s">
        <v>108</v>
      </c>
      <c r="AR1247" t="s">
        <v>108</v>
      </c>
      <c r="AS1247" t="s">
        <v>108</v>
      </c>
      <c r="AT1247" t="s">
        <v>108</v>
      </c>
      <c r="AU1247" t="s">
        <v>108</v>
      </c>
      <c r="AV1247" t="s">
        <v>108</v>
      </c>
      <c r="AW1247" t="s">
        <v>108</v>
      </c>
      <c r="AX1247" s="24">
        <f t="shared" si="125"/>
        <v>1</v>
      </c>
      <c r="AY1247" s="24" t="str">
        <f t="shared" si="125"/>
        <v/>
      </c>
      <c r="AZ1247" s="24" t="str">
        <f t="shared" si="131"/>
        <v/>
      </c>
      <c r="BA1247" s="24" t="str">
        <f t="shared" si="131"/>
        <v/>
      </c>
      <c r="BB1247" s="24" t="str">
        <f t="shared" si="131"/>
        <v/>
      </c>
      <c r="BC1247" s="24" t="str">
        <f t="shared" si="131"/>
        <v/>
      </c>
      <c r="BD1247" s="24" t="str">
        <f t="shared" si="131"/>
        <v/>
      </c>
      <c r="BE1247" s="24" t="str">
        <f t="shared" si="131"/>
        <v/>
      </c>
      <c r="BF1247" s="24" t="str">
        <f t="shared" si="131"/>
        <v/>
      </c>
      <c r="BG1247" s="24" t="str">
        <f t="shared" si="131"/>
        <v/>
      </c>
      <c r="BH1247" s="24" t="str">
        <f t="shared" si="129"/>
        <v/>
      </c>
      <c r="BI1247" s="24">
        <f t="shared" si="131"/>
        <v>1</v>
      </c>
      <c r="BJ1247" s="24" t="str">
        <f t="shared" si="130"/>
        <v/>
      </c>
    </row>
    <row r="1248" spans="1:62" ht="15" customHeight="1" x14ac:dyDescent="0.25">
      <c r="A1248" t="str">
        <f>"1073772729"</f>
        <v>1073772729</v>
      </c>
      <c r="B1248" t="str">
        <f>"03287712"</f>
        <v>03287712</v>
      </c>
      <c r="C1248" t="s">
        <v>143</v>
      </c>
      <c r="D1248" t="s">
        <v>144</v>
      </c>
      <c r="E1248" t="s">
        <v>145</v>
      </c>
      <c r="L1248" t="s">
        <v>120</v>
      </c>
      <c r="M1248" t="s">
        <v>108</v>
      </c>
      <c r="R1248" t="s">
        <v>143</v>
      </c>
      <c r="W1248" t="s">
        <v>146</v>
      </c>
      <c r="X1248" t="s">
        <v>147</v>
      </c>
      <c r="Y1248" t="s">
        <v>148</v>
      </c>
      <c r="Z1248" t="s">
        <v>111</v>
      </c>
      <c r="AA1248" t="str">
        <f>"14845-8301"</f>
        <v>14845-8301</v>
      </c>
      <c r="AB1248" t="s">
        <v>123</v>
      </c>
      <c r="AC1248" t="s">
        <v>113</v>
      </c>
      <c r="AD1248" t="s">
        <v>108</v>
      </c>
      <c r="AE1248" t="s">
        <v>114</v>
      </c>
      <c r="AF1248" t="s">
        <v>149</v>
      </c>
      <c r="AG1248" t="s">
        <v>116</v>
      </c>
      <c r="AK1248" t="str">
        <f t="shared" si="128"/>
        <v/>
      </c>
      <c r="AL1248" t="s">
        <v>144</v>
      </c>
      <c r="AM1248">
        <v>0</v>
      </c>
      <c r="AN1248">
        <v>0</v>
      </c>
      <c r="AO1248">
        <v>0</v>
      </c>
      <c r="AP1248">
        <v>0</v>
      </c>
      <c r="AQ1248">
        <v>0</v>
      </c>
      <c r="AR1248">
        <v>0</v>
      </c>
      <c r="AS1248">
        <v>0</v>
      </c>
      <c r="AT1248">
        <v>0</v>
      </c>
      <c r="AU1248">
        <v>0</v>
      </c>
      <c r="AV1248">
        <v>0</v>
      </c>
      <c r="AW1248">
        <v>0</v>
      </c>
      <c r="AX1248" s="24">
        <f t="shared" si="125"/>
        <v>1</v>
      </c>
      <c r="AY1248" s="24" t="str">
        <f t="shared" si="125"/>
        <v/>
      </c>
      <c r="AZ1248" s="24" t="str">
        <f t="shared" si="131"/>
        <v/>
      </c>
      <c r="BA1248" s="24" t="str">
        <f t="shared" si="131"/>
        <v/>
      </c>
      <c r="BB1248" s="24" t="str">
        <f t="shared" si="131"/>
        <v/>
      </c>
      <c r="BC1248" s="24" t="str">
        <f t="shared" si="131"/>
        <v/>
      </c>
      <c r="BD1248" s="24" t="str">
        <f t="shared" si="131"/>
        <v/>
      </c>
      <c r="BE1248" s="24" t="str">
        <f t="shared" si="131"/>
        <v/>
      </c>
      <c r="BF1248" s="24" t="str">
        <f t="shared" si="131"/>
        <v/>
      </c>
      <c r="BG1248" s="24" t="str">
        <f t="shared" si="131"/>
        <v/>
      </c>
      <c r="BH1248" s="24" t="str">
        <f t="shared" si="129"/>
        <v/>
      </c>
      <c r="BI1248" s="24">
        <f t="shared" si="131"/>
        <v>1</v>
      </c>
      <c r="BJ1248" s="24" t="str">
        <f t="shared" si="130"/>
        <v/>
      </c>
    </row>
    <row r="1249" spans="1:62" ht="15" customHeight="1" x14ac:dyDescent="0.25">
      <c r="A1249" t="str">
        <f>"1356422349"</f>
        <v>1356422349</v>
      </c>
      <c r="B1249" t="str">
        <f>"00406464"</f>
        <v>00406464</v>
      </c>
      <c r="C1249" t="s">
        <v>5195</v>
      </c>
      <c r="D1249" t="s">
        <v>5196</v>
      </c>
      <c r="E1249" t="s">
        <v>5197</v>
      </c>
      <c r="G1249" t="s">
        <v>4447</v>
      </c>
      <c r="H1249" t="s">
        <v>4448</v>
      </c>
      <c r="J1249" t="s">
        <v>4449</v>
      </c>
      <c r="L1249" t="s">
        <v>120</v>
      </c>
      <c r="M1249" t="s">
        <v>108</v>
      </c>
      <c r="R1249" t="s">
        <v>5195</v>
      </c>
      <c r="W1249" t="s">
        <v>5197</v>
      </c>
      <c r="X1249" t="s">
        <v>5198</v>
      </c>
      <c r="Y1249" t="s">
        <v>927</v>
      </c>
      <c r="Z1249" t="s">
        <v>111</v>
      </c>
      <c r="AA1249" t="str">
        <f>"14905"</f>
        <v>14905</v>
      </c>
      <c r="AB1249" t="s">
        <v>123</v>
      </c>
      <c r="AC1249" t="s">
        <v>113</v>
      </c>
      <c r="AD1249" t="s">
        <v>108</v>
      </c>
      <c r="AE1249" t="s">
        <v>114</v>
      </c>
      <c r="AF1249" t="s">
        <v>149</v>
      </c>
      <c r="AG1249" t="s">
        <v>116</v>
      </c>
      <c r="AK1249" t="str">
        <f t="shared" si="128"/>
        <v/>
      </c>
      <c r="AL1249" t="s">
        <v>5196</v>
      </c>
      <c r="AM1249">
        <v>0</v>
      </c>
      <c r="AN1249">
        <v>0</v>
      </c>
      <c r="AO1249">
        <v>0</v>
      </c>
      <c r="AP1249">
        <v>0</v>
      </c>
      <c r="AQ1249">
        <v>0</v>
      </c>
      <c r="AR1249">
        <v>0</v>
      </c>
      <c r="AS1249">
        <v>0</v>
      </c>
      <c r="AT1249">
        <v>0</v>
      </c>
      <c r="AU1249">
        <v>0</v>
      </c>
      <c r="AV1249">
        <v>0</v>
      </c>
      <c r="AW1249">
        <v>0</v>
      </c>
      <c r="AX1249" s="24">
        <f t="shared" si="125"/>
        <v>1</v>
      </c>
      <c r="AY1249" s="24" t="str">
        <f t="shared" si="125"/>
        <v/>
      </c>
      <c r="AZ1249" s="24" t="str">
        <f t="shared" si="131"/>
        <v/>
      </c>
      <c r="BA1249" s="24" t="str">
        <f t="shared" si="131"/>
        <v/>
      </c>
      <c r="BB1249" s="24" t="str">
        <f t="shared" si="131"/>
        <v/>
      </c>
      <c r="BC1249" s="24" t="str">
        <f t="shared" si="131"/>
        <v/>
      </c>
      <c r="BD1249" s="24" t="str">
        <f t="shared" si="131"/>
        <v/>
      </c>
      <c r="BE1249" s="24" t="str">
        <f t="shared" si="131"/>
        <v/>
      </c>
      <c r="BF1249" s="24" t="str">
        <f t="shared" si="131"/>
        <v/>
      </c>
      <c r="BG1249" s="24" t="str">
        <f t="shared" si="131"/>
        <v/>
      </c>
      <c r="BH1249" s="24" t="str">
        <f t="shared" si="129"/>
        <v/>
      </c>
      <c r="BI1249" s="24">
        <f t="shared" si="131"/>
        <v>1</v>
      </c>
      <c r="BJ1249" s="24" t="str">
        <f t="shared" si="130"/>
        <v/>
      </c>
    </row>
    <row r="1250" spans="1:62" ht="15" customHeight="1" x14ac:dyDescent="0.25">
      <c r="A1250" t="str">
        <f>"1558387100"</f>
        <v>1558387100</v>
      </c>
      <c r="B1250" t="str">
        <f>"02796147"</f>
        <v>02796147</v>
      </c>
      <c r="C1250" t="s">
        <v>4484</v>
      </c>
      <c r="D1250" t="s">
        <v>4485</v>
      </c>
      <c r="E1250" t="s">
        <v>4486</v>
      </c>
      <c r="G1250" t="s">
        <v>4447</v>
      </c>
      <c r="H1250" t="s">
        <v>4448</v>
      </c>
      <c r="J1250" t="s">
        <v>4449</v>
      </c>
      <c r="L1250" t="s">
        <v>138</v>
      </c>
      <c r="M1250" t="s">
        <v>139</v>
      </c>
      <c r="R1250" t="s">
        <v>4484</v>
      </c>
      <c r="W1250" t="s">
        <v>4486</v>
      </c>
      <c r="X1250" t="s">
        <v>121</v>
      </c>
      <c r="Y1250" t="s">
        <v>122</v>
      </c>
      <c r="Z1250" t="s">
        <v>111</v>
      </c>
      <c r="AA1250" t="str">
        <f>"13815-1019"</f>
        <v>13815-1019</v>
      </c>
      <c r="AB1250" t="s">
        <v>123</v>
      </c>
      <c r="AC1250" t="s">
        <v>113</v>
      </c>
      <c r="AD1250" t="s">
        <v>108</v>
      </c>
      <c r="AE1250" t="s">
        <v>114</v>
      </c>
      <c r="AF1250" t="s">
        <v>124</v>
      </c>
      <c r="AG1250" t="s">
        <v>116</v>
      </c>
      <c r="AK1250" t="str">
        <f t="shared" si="128"/>
        <v/>
      </c>
      <c r="AL1250" t="s">
        <v>4485</v>
      </c>
      <c r="AM1250">
        <v>0</v>
      </c>
      <c r="AN1250">
        <v>0</v>
      </c>
      <c r="AO1250">
        <v>0</v>
      </c>
      <c r="AP1250">
        <v>0</v>
      </c>
      <c r="AQ1250">
        <v>0</v>
      </c>
      <c r="AR1250">
        <v>0</v>
      </c>
      <c r="AS1250">
        <v>0</v>
      </c>
      <c r="AT1250">
        <v>0</v>
      </c>
      <c r="AU1250">
        <v>0</v>
      </c>
      <c r="AV1250">
        <v>0</v>
      </c>
      <c r="AW1250">
        <v>0</v>
      </c>
      <c r="AX1250" s="24" t="str">
        <f t="shared" si="125"/>
        <v/>
      </c>
      <c r="AY1250" s="24">
        <f t="shared" si="125"/>
        <v>1</v>
      </c>
      <c r="AZ1250" s="24" t="str">
        <f t="shared" si="131"/>
        <v/>
      </c>
      <c r="BA1250" s="24" t="str">
        <f t="shared" si="131"/>
        <v/>
      </c>
      <c r="BB1250" s="24" t="str">
        <f t="shared" si="131"/>
        <v/>
      </c>
      <c r="BC1250" s="24" t="str">
        <f t="shared" si="131"/>
        <v/>
      </c>
      <c r="BD1250" s="24" t="str">
        <f t="shared" si="131"/>
        <v/>
      </c>
      <c r="BE1250" s="24" t="str">
        <f t="shared" si="131"/>
        <v/>
      </c>
      <c r="BF1250" s="24" t="str">
        <f t="shared" si="131"/>
        <v/>
      </c>
      <c r="BG1250" s="24" t="str">
        <f t="shared" si="131"/>
        <v/>
      </c>
      <c r="BH1250" s="24" t="str">
        <f t="shared" si="129"/>
        <v/>
      </c>
      <c r="BI1250" s="24">
        <f t="shared" si="131"/>
        <v>1</v>
      </c>
      <c r="BJ1250" s="24" t="str">
        <f t="shared" si="130"/>
        <v/>
      </c>
    </row>
    <row r="1251" spans="1:62" ht="15" customHeight="1" x14ac:dyDescent="0.25">
      <c r="A1251" t="str">
        <f>"1467667386"</f>
        <v>1467667386</v>
      </c>
      <c r="B1251" t="str">
        <f>"03116745"</f>
        <v>03116745</v>
      </c>
      <c r="C1251" t="s">
        <v>3365</v>
      </c>
      <c r="D1251" t="s">
        <v>3366</v>
      </c>
      <c r="E1251" t="s">
        <v>3367</v>
      </c>
      <c r="G1251" t="s">
        <v>786</v>
      </c>
      <c r="H1251" t="s">
        <v>787</v>
      </c>
      <c r="J1251" t="s">
        <v>788</v>
      </c>
      <c r="L1251" t="s">
        <v>809</v>
      </c>
      <c r="M1251" t="s">
        <v>108</v>
      </c>
      <c r="R1251" t="s">
        <v>3365</v>
      </c>
      <c r="W1251" t="s">
        <v>3367</v>
      </c>
      <c r="X1251" t="s">
        <v>3368</v>
      </c>
      <c r="Y1251" t="s">
        <v>2510</v>
      </c>
      <c r="Z1251" t="s">
        <v>111</v>
      </c>
      <c r="AA1251" t="str">
        <f>"13077-1529"</f>
        <v>13077-1529</v>
      </c>
      <c r="AB1251" t="s">
        <v>811</v>
      </c>
      <c r="AC1251" t="s">
        <v>113</v>
      </c>
      <c r="AD1251" t="s">
        <v>108</v>
      </c>
      <c r="AE1251" t="s">
        <v>114</v>
      </c>
      <c r="AF1251" t="s">
        <v>142</v>
      </c>
      <c r="AG1251" t="s">
        <v>116</v>
      </c>
      <c r="AK1251" t="str">
        <f t="shared" si="128"/>
        <v/>
      </c>
      <c r="AL1251" t="s">
        <v>3366</v>
      </c>
      <c r="AM1251">
        <v>0</v>
      </c>
      <c r="AN1251">
        <v>0</v>
      </c>
      <c r="AO1251">
        <v>0</v>
      </c>
      <c r="AP1251">
        <v>0</v>
      </c>
      <c r="AQ1251">
        <v>0</v>
      </c>
      <c r="AR1251">
        <v>0</v>
      </c>
      <c r="AS1251">
        <v>0</v>
      </c>
      <c r="AT1251">
        <v>0</v>
      </c>
      <c r="AU1251">
        <v>0</v>
      </c>
      <c r="AV1251">
        <v>0</v>
      </c>
      <c r="AW1251">
        <v>0</v>
      </c>
      <c r="AX1251" s="24" t="str">
        <f t="shared" si="125"/>
        <v/>
      </c>
      <c r="AY1251" s="24">
        <f t="shared" si="125"/>
        <v>1</v>
      </c>
      <c r="AZ1251" s="24" t="str">
        <f t="shared" si="131"/>
        <v/>
      </c>
      <c r="BA1251" s="24" t="str">
        <f t="shared" si="131"/>
        <v/>
      </c>
      <c r="BB1251" s="24" t="str">
        <f t="shared" si="131"/>
        <v/>
      </c>
      <c r="BC1251" s="24">
        <f t="shared" si="131"/>
        <v>1</v>
      </c>
      <c r="BD1251" s="24" t="str">
        <f t="shared" si="131"/>
        <v/>
      </c>
      <c r="BE1251" s="24" t="str">
        <f t="shared" si="131"/>
        <v/>
      </c>
      <c r="BF1251" s="24" t="str">
        <f t="shared" si="131"/>
        <v/>
      </c>
      <c r="BG1251" s="24" t="str">
        <f t="shared" si="131"/>
        <v/>
      </c>
      <c r="BH1251" s="24" t="str">
        <f t="shared" si="129"/>
        <v/>
      </c>
      <c r="BI1251" s="24" t="str">
        <f t="shared" si="131"/>
        <v/>
      </c>
      <c r="BJ1251" s="24" t="str">
        <f t="shared" si="130"/>
        <v/>
      </c>
    </row>
    <row r="1252" spans="1:62" ht="15" customHeight="1" x14ac:dyDescent="0.25">
      <c r="A1252" t="str">
        <f>"1518955673"</f>
        <v>1518955673</v>
      </c>
      <c r="B1252" t="str">
        <f>"01084202"</f>
        <v>01084202</v>
      </c>
      <c r="C1252" t="s">
        <v>150</v>
      </c>
      <c r="D1252" t="s">
        <v>151</v>
      </c>
      <c r="E1252" t="s">
        <v>152</v>
      </c>
      <c r="L1252" t="s">
        <v>138</v>
      </c>
      <c r="M1252" t="s">
        <v>108</v>
      </c>
      <c r="R1252" t="s">
        <v>150</v>
      </c>
      <c r="W1252" t="s">
        <v>152</v>
      </c>
      <c r="Y1252" t="s">
        <v>129</v>
      </c>
      <c r="Z1252" t="s">
        <v>111</v>
      </c>
      <c r="AA1252" t="str">
        <f>"13790-2597"</f>
        <v>13790-2597</v>
      </c>
      <c r="AB1252" t="s">
        <v>123</v>
      </c>
      <c r="AC1252" t="s">
        <v>113</v>
      </c>
      <c r="AD1252" t="s">
        <v>108</v>
      </c>
      <c r="AE1252" t="s">
        <v>114</v>
      </c>
      <c r="AF1252" t="s">
        <v>115</v>
      </c>
      <c r="AG1252" t="s">
        <v>116</v>
      </c>
      <c r="AK1252" t="str">
        <f t="shared" si="128"/>
        <v/>
      </c>
      <c r="AL1252" t="s">
        <v>151</v>
      </c>
      <c r="AM1252">
        <v>0</v>
      </c>
      <c r="AN1252">
        <v>0</v>
      </c>
      <c r="AO1252">
        <v>0</v>
      </c>
      <c r="AP1252">
        <v>0</v>
      </c>
      <c r="AQ1252">
        <v>0</v>
      </c>
      <c r="AR1252">
        <v>0</v>
      </c>
      <c r="AS1252">
        <v>0</v>
      </c>
      <c r="AT1252">
        <v>0</v>
      </c>
      <c r="AU1252">
        <v>0</v>
      </c>
      <c r="AV1252">
        <v>0</v>
      </c>
      <c r="AW1252">
        <v>0</v>
      </c>
      <c r="AX1252" s="24" t="str">
        <f t="shared" si="125"/>
        <v/>
      </c>
      <c r="AY1252" s="24">
        <f t="shared" si="125"/>
        <v>1</v>
      </c>
      <c r="AZ1252" s="24" t="str">
        <f t="shared" si="131"/>
        <v/>
      </c>
      <c r="BA1252" s="24" t="str">
        <f t="shared" si="131"/>
        <v/>
      </c>
      <c r="BB1252" s="24" t="str">
        <f t="shared" si="131"/>
        <v/>
      </c>
      <c r="BC1252" s="24" t="str">
        <f t="shared" si="131"/>
        <v/>
      </c>
      <c r="BD1252" s="24" t="str">
        <f t="shared" si="131"/>
        <v/>
      </c>
      <c r="BE1252" s="24" t="str">
        <f t="shared" si="131"/>
        <v/>
      </c>
      <c r="BF1252" s="24" t="str">
        <f t="shared" si="131"/>
        <v/>
      </c>
      <c r="BG1252" s="24" t="str">
        <f t="shared" si="131"/>
        <v/>
      </c>
      <c r="BH1252" s="24" t="str">
        <f t="shared" si="129"/>
        <v/>
      </c>
      <c r="BI1252" s="24">
        <f t="shared" si="131"/>
        <v>1</v>
      </c>
      <c r="BJ1252" s="24" t="str">
        <f t="shared" si="130"/>
        <v/>
      </c>
    </row>
    <row r="1253" spans="1:62" ht="15" customHeight="1" x14ac:dyDescent="0.25">
      <c r="A1253" t="str">
        <f>"1861621955"</f>
        <v>1861621955</v>
      </c>
      <c r="B1253" t="str">
        <f>"03491343"</f>
        <v>03491343</v>
      </c>
      <c r="C1253" t="s">
        <v>153</v>
      </c>
      <c r="D1253" t="s">
        <v>154</v>
      </c>
      <c r="E1253" t="s">
        <v>155</v>
      </c>
      <c r="L1253" t="s">
        <v>6867</v>
      </c>
      <c r="M1253" t="s">
        <v>108</v>
      </c>
      <c r="R1253" t="s">
        <v>153</v>
      </c>
      <c r="W1253" t="s">
        <v>155</v>
      </c>
      <c r="X1253" t="s">
        <v>156</v>
      </c>
      <c r="Y1253" t="s">
        <v>157</v>
      </c>
      <c r="Z1253" t="s">
        <v>111</v>
      </c>
      <c r="AA1253" t="str">
        <f>"14830-2959"</f>
        <v>14830-2959</v>
      </c>
      <c r="AB1253" t="s">
        <v>123</v>
      </c>
      <c r="AC1253" t="s">
        <v>113</v>
      </c>
      <c r="AD1253" t="s">
        <v>108</v>
      </c>
      <c r="AE1253" t="s">
        <v>114</v>
      </c>
      <c r="AF1253" t="s">
        <v>149</v>
      </c>
      <c r="AG1253" t="s">
        <v>116</v>
      </c>
      <c r="AK1253" t="str">
        <f t="shared" si="128"/>
        <v/>
      </c>
      <c r="AL1253" t="s">
        <v>154</v>
      </c>
      <c r="AM1253">
        <v>0</v>
      </c>
      <c r="AN1253">
        <v>0</v>
      </c>
      <c r="AO1253">
        <v>0</v>
      </c>
      <c r="AP1253">
        <v>0</v>
      </c>
      <c r="AQ1253">
        <v>0</v>
      </c>
      <c r="AR1253">
        <v>0</v>
      </c>
      <c r="AS1253">
        <v>0</v>
      </c>
      <c r="AT1253">
        <v>0</v>
      </c>
      <c r="AU1253">
        <v>0</v>
      </c>
      <c r="AV1253">
        <v>0</v>
      </c>
      <c r="AW1253">
        <v>0</v>
      </c>
      <c r="AX1253" s="24">
        <f t="shared" si="125"/>
        <v>1</v>
      </c>
      <c r="AY1253" s="24">
        <f t="shared" si="125"/>
        <v>1</v>
      </c>
      <c r="AZ1253" s="24" t="str">
        <f t="shared" si="131"/>
        <v/>
      </c>
      <c r="BA1253" s="24" t="str">
        <f t="shared" si="131"/>
        <v/>
      </c>
      <c r="BB1253" s="24" t="str">
        <f t="shared" si="131"/>
        <v/>
      </c>
      <c r="BC1253" s="24" t="str">
        <f t="shared" si="131"/>
        <v/>
      </c>
      <c r="BD1253" s="24" t="str">
        <f t="shared" si="131"/>
        <v/>
      </c>
      <c r="BE1253" s="24" t="str">
        <f t="shared" si="131"/>
        <v/>
      </c>
      <c r="BF1253" s="24" t="str">
        <f t="shared" si="131"/>
        <v/>
      </c>
      <c r="BG1253" s="24" t="str">
        <f t="shared" si="131"/>
        <v/>
      </c>
      <c r="BH1253" s="24" t="str">
        <f t="shared" si="129"/>
        <v/>
      </c>
      <c r="BI1253" s="24">
        <f t="shared" si="131"/>
        <v>1</v>
      </c>
      <c r="BJ1253" s="24" t="str">
        <f t="shared" si="130"/>
        <v/>
      </c>
    </row>
    <row r="1254" spans="1:62" ht="15" customHeight="1" x14ac:dyDescent="0.25">
      <c r="A1254" t="str">
        <f>"1821036740"</f>
        <v>1821036740</v>
      </c>
      <c r="B1254" t="str">
        <f>"00685727"</f>
        <v>00685727</v>
      </c>
      <c r="C1254" t="s">
        <v>961</v>
      </c>
      <c r="D1254" t="s">
        <v>962</v>
      </c>
      <c r="E1254" t="s">
        <v>963</v>
      </c>
      <c r="L1254" t="s">
        <v>247</v>
      </c>
      <c r="M1254" t="s">
        <v>108</v>
      </c>
      <c r="R1254" t="s">
        <v>961</v>
      </c>
      <c r="W1254" t="s">
        <v>964</v>
      </c>
      <c r="X1254" t="s">
        <v>965</v>
      </c>
      <c r="Y1254" t="s">
        <v>966</v>
      </c>
      <c r="Z1254" t="s">
        <v>111</v>
      </c>
      <c r="AA1254" t="str">
        <f>"13850-1559"</f>
        <v>13850-1559</v>
      </c>
      <c r="AB1254" t="s">
        <v>123</v>
      </c>
      <c r="AC1254" t="s">
        <v>113</v>
      </c>
      <c r="AD1254" t="s">
        <v>108</v>
      </c>
      <c r="AE1254" t="s">
        <v>114</v>
      </c>
      <c r="AF1254" t="s">
        <v>115</v>
      </c>
      <c r="AG1254" t="s">
        <v>116</v>
      </c>
      <c r="AK1254" t="str">
        <f t="shared" si="128"/>
        <v/>
      </c>
      <c r="AL1254" t="s">
        <v>962</v>
      </c>
      <c r="AM1254">
        <v>0</v>
      </c>
      <c r="AN1254">
        <v>0</v>
      </c>
      <c r="AO1254">
        <v>0</v>
      </c>
      <c r="AP1254">
        <v>0</v>
      </c>
      <c r="AQ1254">
        <v>0</v>
      </c>
      <c r="AR1254">
        <v>0</v>
      </c>
      <c r="AS1254">
        <v>0</v>
      </c>
      <c r="AT1254">
        <v>0</v>
      </c>
      <c r="AU1254">
        <v>0</v>
      </c>
      <c r="AV1254">
        <v>0</v>
      </c>
      <c r="AW1254">
        <v>0</v>
      </c>
      <c r="AX1254" s="24" t="str">
        <f t="shared" si="125"/>
        <v/>
      </c>
      <c r="AY1254" s="24">
        <f t="shared" si="125"/>
        <v>1</v>
      </c>
      <c r="AZ1254" s="24" t="str">
        <f t="shared" si="131"/>
        <v/>
      </c>
      <c r="BA1254" s="24" t="str">
        <f t="shared" si="131"/>
        <v/>
      </c>
      <c r="BB1254" s="24" t="str">
        <f t="shared" si="131"/>
        <v/>
      </c>
      <c r="BC1254" s="24" t="str">
        <f t="shared" si="131"/>
        <v/>
      </c>
      <c r="BD1254" s="24" t="str">
        <f t="shared" si="131"/>
        <v/>
      </c>
      <c r="BE1254" s="24" t="str">
        <f t="shared" si="131"/>
        <v/>
      </c>
      <c r="BF1254" s="24" t="str">
        <f t="shared" si="131"/>
        <v/>
      </c>
      <c r="BG1254" s="24" t="str">
        <f t="shared" si="131"/>
        <v/>
      </c>
      <c r="BH1254" s="24" t="str">
        <f t="shared" si="129"/>
        <v/>
      </c>
      <c r="BI1254" s="24" t="str">
        <f t="shared" si="131"/>
        <v/>
      </c>
      <c r="BJ1254" s="24" t="str">
        <f t="shared" si="130"/>
        <v/>
      </c>
    </row>
    <row r="1255" spans="1:62" ht="15" customHeight="1" x14ac:dyDescent="0.25">
      <c r="A1255" t="str">
        <f>"1952545840"</f>
        <v>1952545840</v>
      </c>
      <c r="B1255" t="str">
        <f>"03124334"</f>
        <v>03124334</v>
      </c>
      <c r="C1255" t="s">
        <v>967</v>
      </c>
      <c r="D1255" t="s">
        <v>968</v>
      </c>
      <c r="E1255" t="s">
        <v>969</v>
      </c>
      <c r="L1255" t="s">
        <v>120</v>
      </c>
      <c r="M1255" t="s">
        <v>139</v>
      </c>
      <c r="R1255" t="s">
        <v>967</v>
      </c>
      <c r="W1255" t="s">
        <v>969</v>
      </c>
      <c r="X1255" t="s">
        <v>483</v>
      </c>
      <c r="Y1255" t="s">
        <v>110</v>
      </c>
      <c r="Z1255" t="s">
        <v>111</v>
      </c>
      <c r="AA1255" t="str">
        <f>"13903-1619"</f>
        <v>13903-1619</v>
      </c>
      <c r="AB1255" t="s">
        <v>123</v>
      </c>
      <c r="AC1255" t="s">
        <v>113</v>
      </c>
      <c r="AD1255" t="s">
        <v>108</v>
      </c>
      <c r="AE1255" t="s">
        <v>114</v>
      </c>
      <c r="AF1255" t="s">
        <v>115</v>
      </c>
      <c r="AG1255" t="s">
        <v>116</v>
      </c>
      <c r="AK1255" t="str">
        <f t="shared" si="128"/>
        <v/>
      </c>
      <c r="AL1255" t="s">
        <v>968</v>
      </c>
      <c r="AM1255">
        <v>0</v>
      </c>
      <c r="AN1255">
        <v>0</v>
      </c>
      <c r="AO1255">
        <v>0</v>
      </c>
      <c r="AP1255">
        <v>0</v>
      </c>
      <c r="AQ1255">
        <v>0</v>
      </c>
      <c r="AR1255">
        <v>0</v>
      </c>
      <c r="AS1255">
        <v>0</v>
      </c>
      <c r="AT1255">
        <v>0</v>
      </c>
      <c r="AU1255">
        <v>0</v>
      </c>
      <c r="AV1255">
        <v>0</v>
      </c>
      <c r="AW1255">
        <v>0</v>
      </c>
      <c r="AX1255" s="24">
        <f t="shared" si="125"/>
        <v>1</v>
      </c>
      <c r="AY1255" s="24" t="str">
        <f t="shared" si="125"/>
        <v/>
      </c>
      <c r="AZ1255" s="24" t="str">
        <f t="shared" si="131"/>
        <v/>
      </c>
      <c r="BA1255" s="24" t="str">
        <f t="shared" si="131"/>
        <v/>
      </c>
      <c r="BB1255" s="24" t="str">
        <f t="shared" si="131"/>
        <v/>
      </c>
      <c r="BC1255" s="24" t="str">
        <f t="shared" si="131"/>
        <v/>
      </c>
      <c r="BD1255" s="24" t="str">
        <f t="shared" si="131"/>
        <v/>
      </c>
      <c r="BE1255" s="24" t="str">
        <f t="shared" si="131"/>
        <v/>
      </c>
      <c r="BF1255" s="24" t="str">
        <f t="shared" si="131"/>
        <v/>
      </c>
      <c r="BG1255" s="24" t="str">
        <f t="shared" si="131"/>
        <v/>
      </c>
      <c r="BH1255" s="24" t="str">
        <f t="shared" si="129"/>
        <v/>
      </c>
      <c r="BI1255" s="24">
        <f t="shared" si="131"/>
        <v>1</v>
      </c>
      <c r="BJ1255" s="24" t="str">
        <f t="shared" si="130"/>
        <v/>
      </c>
    </row>
    <row r="1256" spans="1:62" ht="15" customHeight="1" x14ac:dyDescent="0.25">
      <c r="A1256" t="str">
        <f>"1346321254"</f>
        <v>1346321254</v>
      </c>
      <c r="B1256" t="str">
        <f>"01069507"</f>
        <v>01069507</v>
      </c>
      <c r="C1256" t="s">
        <v>970</v>
      </c>
      <c r="D1256" t="s">
        <v>971</v>
      </c>
      <c r="E1256" t="s">
        <v>972</v>
      </c>
      <c r="L1256" t="s">
        <v>442</v>
      </c>
      <c r="M1256" t="s">
        <v>108</v>
      </c>
      <c r="R1256" t="s">
        <v>970</v>
      </c>
      <c r="W1256" t="s">
        <v>973</v>
      </c>
      <c r="X1256" t="s">
        <v>974</v>
      </c>
      <c r="Y1256" t="s">
        <v>122</v>
      </c>
      <c r="Z1256" t="s">
        <v>111</v>
      </c>
      <c r="AA1256" t="str">
        <f>"13815-1097"</f>
        <v>13815-1097</v>
      </c>
      <c r="AB1256" t="s">
        <v>123</v>
      </c>
      <c r="AC1256" t="s">
        <v>113</v>
      </c>
      <c r="AD1256" t="s">
        <v>108</v>
      </c>
      <c r="AE1256" t="s">
        <v>114</v>
      </c>
      <c r="AF1256" t="s">
        <v>124</v>
      </c>
      <c r="AG1256" t="s">
        <v>116</v>
      </c>
      <c r="AK1256" t="str">
        <f t="shared" si="128"/>
        <v/>
      </c>
      <c r="AL1256" t="s">
        <v>971</v>
      </c>
      <c r="AM1256">
        <v>1</v>
      </c>
      <c r="AN1256">
        <v>1</v>
      </c>
      <c r="AO1256">
        <v>0</v>
      </c>
      <c r="AP1256">
        <v>1</v>
      </c>
      <c r="AQ1256">
        <v>1</v>
      </c>
      <c r="AR1256">
        <v>0</v>
      </c>
      <c r="AS1256">
        <v>0</v>
      </c>
      <c r="AT1256">
        <v>0</v>
      </c>
      <c r="AU1256">
        <v>0</v>
      </c>
      <c r="AV1256">
        <v>0</v>
      </c>
      <c r="AW1256">
        <v>0</v>
      </c>
      <c r="AX1256" s="24">
        <f t="shared" ref="AX1256:AY1319" si="132">IF(ISERROR(FIND(AX$1,$L1256,1)),"",1)</f>
        <v>1</v>
      </c>
      <c r="AY1256" s="24" t="str">
        <f t="shared" si="132"/>
        <v/>
      </c>
      <c r="AZ1256" s="24" t="str">
        <f t="shared" si="131"/>
        <v/>
      </c>
      <c r="BA1256" s="24" t="str">
        <f t="shared" si="131"/>
        <v/>
      </c>
      <c r="BB1256" s="24" t="str">
        <f t="shared" si="131"/>
        <v/>
      </c>
      <c r="BC1256" s="24" t="str">
        <f t="shared" si="131"/>
        <v/>
      </c>
      <c r="BD1256" s="24" t="str">
        <f t="shared" si="131"/>
        <v/>
      </c>
      <c r="BE1256" s="24" t="str">
        <f t="shared" si="131"/>
        <v/>
      </c>
      <c r="BF1256" s="24" t="str">
        <f t="shared" si="131"/>
        <v/>
      </c>
      <c r="BG1256" s="24" t="str">
        <f t="shared" si="131"/>
        <v/>
      </c>
      <c r="BH1256" s="24" t="str">
        <f t="shared" si="129"/>
        <v/>
      </c>
      <c r="BI1256" s="24" t="str">
        <f t="shared" si="131"/>
        <v/>
      </c>
      <c r="BJ1256" s="24" t="str">
        <f t="shared" si="130"/>
        <v/>
      </c>
    </row>
    <row r="1257" spans="1:62" ht="15" customHeight="1" x14ac:dyDescent="0.25">
      <c r="A1257" t="str">
        <f>"1275985558"</f>
        <v>1275985558</v>
      </c>
      <c r="B1257" t="str">
        <f>"04500890"</f>
        <v>04500890</v>
      </c>
      <c r="C1257" t="s">
        <v>6339</v>
      </c>
      <c r="D1257" t="s">
        <v>6340</v>
      </c>
      <c r="E1257" t="s">
        <v>6341</v>
      </c>
      <c r="G1257" t="s">
        <v>6330</v>
      </c>
      <c r="H1257" t="s">
        <v>6331</v>
      </c>
      <c r="J1257" t="s">
        <v>6332</v>
      </c>
      <c r="L1257" t="s">
        <v>120</v>
      </c>
      <c r="M1257" t="s">
        <v>108</v>
      </c>
      <c r="R1257" t="s">
        <v>6342</v>
      </c>
      <c r="W1257" t="s">
        <v>6341</v>
      </c>
      <c r="AB1257" t="s">
        <v>123</v>
      </c>
      <c r="AC1257" t="s">
        <v>113</v>
      </c>
      <c r="AD1257" t="s">
        <v>108</v>
      </c>
      <c r="AE1257" t="s">
        <v>114</v>
      </c>
      <c r="AF1257" t="s">
        <v>115</v>
      </c>
      <c r="AG1257" t="s">
        <v>116</v>
      </c>
      <c r="AK1257" t="str">
        <f t="shared" si="128"/>
        <v>Sivers Douglas</v>
      </c>
      <c r="AL1257" t="s">
        <v>6340</v>
      </c>
      <c r="AM1257" t="s">
        <v>108</v>
      </c>
      <c r="AN1257" t="s">
        <v>108</v>
      </c>
      <c r="AO1257" t="s">
        <v>108</v>
      </c>
      <c r="AP1257" t="s">
        <v>108</v>
      </c>
      <c r="AQ1257" t="s">
        <v>108</v>
      </c>
      <c r="AR1257" t="s">
        <v>108</v>
      </c>
      <c r="AS1257" t="s">
        <v>108</v>
      </c>
      <c r="AT1257" t="s">
        <v>108</v>
      </c>
      <c r="AU1257" t="s">
        <v>108</v>
      </c>
      <c r="AV1257" t="s">
        <v>108</v>
      </c>
      <c r="AW1257" t="s">
        <v>108</v>
      </c>
      <c r="AX1257" s="24">
        <f t="shared" si="132"/>
        <v>1</v>
      </c>
      <c r="AY1257" s="24" t="str">
        <f t="shared" si="132"/>
        <v/>
      </c>
      <c r="AZ1257" s="24" t="str">
        <f t="shared" si="131"/>
        <v/>
      </c>
      <c r="BA1257" s="24" t="str">
        <f t="shared" si="131"/>
        <v/>
      </c>
      <c r="BB1257" s="24" t="str">
        <f t="shared" si="131"/>
        <v/>
      </c>
      <c r="BC1257" s="24" t="str">
        <f t="shared" si="131"/>
        <v/>
      </c>
      <c r="BD1257" s="24" t="str">
        <f t="shared" si="131"/>
        <v/>
      </c>
      <c r="BE1257" s="24" t="str">
        <f t="shared" si="131"/>
        <v/>
      </c>
      <c r="BF1257" s="24" t="str">
        <f t="shared" si="131"/>
        <v/>
      </c>
      <c r="BG1257" s="24" t="str">
        <f t="shared" si="131"/>
        <v/>
      </c>
      <c r="BH1257" s="24" t="str">
        <f t="shared" si="129"/>
        <v/>
      </c>
      <c r="BI1257" s="24">
        <f t="shared" si="131"/>
        <v>1</v>
      </c>
      <c r="BJ1257" s="24" t="str">
        <f t="shared" si="130"/>
        <v/>
      </c>
    </row>
    <row r="1258" spans="1:62" ht="15" customHeight="1" x14ac:dyDescent="0.25">
      <c r="A1258" t="str">
        <f>"1447225008"</f>
        <v>1447225008</v>
      </c>
      <c r="B1258" t="str">
        <f>"00905679"</f>
        <v>00905679</v>
      </c>
      <c r="C1258" t="s">
        <v>183</v>
      </c>
      <c r="D1258" t="s">
        <v>184</v>
      </c>
      <c r="E1258" t="s">
        <v>185</v>
      </c>
      <c r="G1258" t="s">
        <v>177</v>
      </c>
      <c r="H1258" t="s">
        <v>178</v>
      </c>
      <c r="J1258" t="s">
        <v>179</v>
      </c>
      <c r="L1258" t="s">
        <v>138</v>
      </c>
      <c r="M1258" t="s">
        <v>108</v>
      </c>
      <c r="R1258" t="s">
        <v>183</v>
      </c>
      <c r="W1258" t="s">
        <v>185</v>
      </c>
      <c r="X1258" t="s">
        <v>186</v>
      </c>
      <c r="Y1258" t="s">
        <v>181</v>
      </c>
      <c r="Z1258" t="s">
        <v>182</v>
      </c>
      <c r="AA1258" t="str">
        <f>"18840"</f>
        <v>18840</v>
      </c>
      <c r="AB1258" t="s">
        <v>123</v>
      </c>
      <c r="AC1258" t="s">
        <v>113</v>
      </c>
      <c r="AD1258" t="s">
        <v>108</v>
      </c>
      <c r="AE1258" t="s">
        <v>114</v>
      </c>
      <c r="AF1258" t="s">
        <v>115</v>
      </c>
      <c r="AG1258" t="s">
        <v>116</v>
      </c>
      <c r="AK1258" t="str">
        <f t="shared" si="128"/>
        <v/>
      </c>
      <c r="AL1258" t="s">
        <v>184</v>
      </c>
      <c r="AM1258">
        <v>1</v>
      </c>
      <c r="AN1258">
        <v>1</v>
      </c>
      <c r="AO1258">
        <v>0</v>
      </c>
      <c r="AP1258">
        <v>0</v>
      </c>
      <c r="AQ1258">
        <v>0</v>
      </c>
      <c r="AR1258">
        <v>0</v>
      </c>
      <c r="AS1258">
        <v>0</v>
      </c>
      <c r="AT1258">
        <v>0</v>
      </c>
      <c r="AU1258">
        <v>0</v>
      </c>
      <c r="AV1258">
        <v>1</v>
      </c>
      <c r="AW1258">
        <v>0</v>
      </c>
      <c r="AX1258" s="24" t="str">
        <f t="shared" si="132"/>
        <v/>
      </c>
      <c r="AY1258" s="24">
        <f t="shared" si="132"/>
        <v>1</v>
      </c>
      <c r="AZ1258" s="24" t="str">
        <f t="shared" si="131"/>
        <v/>
      </c>
      <c r="BA1258" s="24" t="str">
        <f t="shared" si="131"/>
        <v/>
      </c>
      <c r="BB1258" s="24" t="str">
        <f t="shared" si="131"/>
        <v/>
      </c>
      <c r="BC1258" s="24" t="str">
        <f t="shared" si="131"/>
        <v/>
      </c>
      <c r="BD1258" s="24" t="str">
        <f t="shared" si="131"/>
        <v/>
      </c>
      <c r="BE1258" s="24" t="str">
        <f t="shared" si="131"/>
        <v/>
      </c>
      <c r="BF1258" s="24" t="str">
        <f t="shared" si="131"/>
        <v/>
      </c>
      <c r="BG1258" s="24" t="str">
        <f t="shared" si="131"/>
        <v/>
      </c>
      <c r="BH1258" s="24" t="str">
        <f t="shared" si="129"/>
        <v/>
      </c>
      <c r="BI1258" s="24">
        <f t="shared" si="131"/>
        <v>1</v>
      </c>
      <c r="BJ1258" s="24" t="str">
        <f t="shared" si="130"/>
        <v/>
      </c>
    </row>
    <row r="1259" spans="1:62" ht="15" customHeight="1" x14ac:dyDescent="0.25">
      <c r="A1259" t="str">
        <f>"1700851375"</f>
        <v>1700851375</v>
      </c>
      <c r="B1259" t="str">
        <f>"01088191"</f>
        <v>01088191</v>
      </c>
      <c r="C1259" t="s">
        <v>726</v>
      </c>
      <c r="D1259" t="s">
        <v>727</v>
      </c>
      <c r="E1259" t="s">
        <v>726</v>
      </c>
      <c r="G1259" t="s">
        <v>699</v>
      </c>
      <c r="H1259" t="s">
        <v>700</v>
      </c>
      <c r="J1259" t="s">
        <v>701</v>
      </c>
      <c r="L1259" t="s">
        <v>120</v>
      </c>
      <c r="M1259" t="s">
        <v>108</v>
      </c>
      <c r="R1259" t="s">
        <v>728</v>
      </c>
      <c r="W1259" t="s">
        <v>726</v>
      </c>
      <c r="X1259" t="s">
        <v>543</v>
      </c>
      <c r="Y1259" t="s">
        <v>293</v>
      </c>
      <c r="Z1259" t="s">
        <v>111</v>
      </c>
      <c r="AA1259" t="str">
        <f>"14850-9105"</f>
        <v>14850-9105</v>
      </c>
      <c r="AB1259" t="s">
        <v>123</v>
      </c>
      <c r="AC1259" t="s">
        <v>113</v>
      </c>
      <c r="AD1259" t="s">
        <v>108</v>
      </c>
      <c r="AE1259" t="s">
        <v>114</v>
      </c>
      <c r="AF1259" t="s">
        <v>142</v>
      </c>
      <c r="AG1259" t="s">
        <v>116</v>
      </c>
      <c r="AK1259" t="str">
        <f t="shared" si="128"/>
        <v/>
      </c>
      <c r="AL1259" t="s">
        <v>727</v>
      </c>
      <c r="AM1259">
        <v>1</v>
      </c>
      <c r="AN1259">
        <v>1</v>
      </c>
      <c r="AO1259">
        <v>0</v>
      </c>
      <c r="AP1259">
        <v>0</v>
      </c>
      <c r="AQ1259">
        <v>0</v>
      </c>
      <c r="AR1259">
        <v>0</v>
      </c>
      <c r="AS1259">
        <v>0</v>
      </c>
      <c r="AT1259">
        <v>1</v>
      </c>
      <c r="AU1259">
        <v>1</v>
      </c>
      <c r="AV1259">
        <v>1</v>
      </c>
      <c r="AW1259">
        <v>0</v>
      </c>
      <c r="AX1259" s="24">
        <f t="shared" si="132"/>
        <v>1</v>
      </c>
      <c r="AY1259" s="24" t="str">
        <f t="shared" si="132"/>
        <v/>
      </c>
      <c r="AZ1259" s="24" t="str">
        <f t="shared" si="131"/>
        <v/>
      </c>
      <c r="BA1259" s="24" t="str">
        <f t="shared" si="131"/>
        <v/>
      </c>
      <c r="BB1259" s="24" t="str">
        <f t="shared" si="131"/>
        <v/>
      </c>
      <c r="BC1259" s="24" t="str">
        <f t="shared" si="131"/>
        <v/>
      </c>
      <c r="BD1259" s="24" t="str">
        <f t="shared" si="131"/>
        <v/>
      </c>
      <c r="BE1259" s="24" t="str">
        <f t="shared" si="131"/>
        <v/>
      </c>
      <c r="BF1259" s="24" t="str">
        <f t="shared" si="131"/>
        <v/>
      </c>
      <c r="BG1259" s="24" t="str">
        <f t="shared" si="131"/>
        <v/>
      </c>
      <c r="BH1259" s="24" t="str">
        <f t="shared" si="129"/>
        <v/>
      </c>
      <c r="BI1259" s="24">
        <f t="shared" si="131"/>
        <v>1</v>
      </c>
      <c r="BJ1259" s="24" t="str">
        <f t="shared" si="130"/>
        <v/>
      </c>
    </row>
    <row r="1260" spans="1:62" ht="15" customHeight="1" x14ac:dyDescent="0.25">
      <c r="A1260" t="str">
        <f>"1528290061"</f>
        <v>1528290061</v>
      </c>
      <c r="B1260" t="str">
        <f>"03140154"</f>
        <v>03140154</v>
      </c>
      <c r="C1260" t="s">
        <v>975</v>
      </c>
      <c r="D1260" t="s">
        <v>976</v>
      </c>
      <c r="E1260" t="s">
        <v>977</v>
      </c>
      <c r="G1260" t="s">
        <v>6330</v>
      </c>
      <c r="H1260" t="s">
        <v>6331</v>
      </c>
      <c r="J1260" t="s">
        <v>6332</v>
      </c>
      <c r="L1260" t="s">
        <v>120</v>
      </c>
      <c r="M1260" t="s">
        <v>108</v>
      </c>
      <c r="R1260" t="s">
        <v>975</v>
      </c>
      <c r="W1260" t="s">
        <v>977</v>
      </c>
      <c r="X1260" t="s">
        <v>978</v>
      </c>
      <c r="Y1260" t="s">
        <v>979</v>
      </c>
      <c r="Z1260" t="s">
        <v>111</v>
      </c>
      <c r="AA1260" t="str">
        <f>"13760-1560"</f>
        <v>13760-1560</v>
      </c>
      <c r="AB1260" t="s">
        <v>123</v>
      </c>
      <c r="AC1260" t="s">
        <v>113</v>
      </c>
      <c r="AD1260" t="s">
        <v>108</v>
      </c>
      <c r="AE1260" t="s">
        <v>114</v>
      </c>
      <c r="AF1260" t="s">
        <v>115</v>
      </c>
      <c r="AG1260" t="s">
        <v>116</v>
      </c>
      <c r="AK1260" t="str">
        <f t="shared" si="128"/>
        <v/>
      </c>
      <c r="AL1260" t="s">
        <v>976</v>
      </c>
      <c r="AM1260">
        <v>1</v>
      </c>
      <c r="AN1260">
        <v>1</v>
      </c>
      <c r="AO1260">
        <v>0</v>
      </c>
      <c r="AP1260">
        <v>1</v>
      </c>
      <c r="AQ1260">
        <v>1</v>
      </c>
      <c r="AR1260">
        <v>0</v>
      </c>
      <c r="AS1260">
        <v>0</v>
      </c>
      <c r="AT1260">
        <v>0</v>
      </c>
      <c r="AU1260">
        <v>0</v>
      </c>
      <c r="AV1260">
        <v>0</v>
      </c>
      <c r="AW1260">
        <v>0</v>
      </c>
      <c r="AX1260" s="24">
        <f t="shared" si="132"/>
        <v>1</v>
      </c>
      <c r="AY1260" s="24" t="str">
        <f t="shared" si="132"/>
        <v/>
      </c>
      <c r="AZ1260" s="24" t="str">
        <f t="shared" si="131"/>
        <v/>
      </c>
      <c r="BA1260" s="24" t="str">
        <f t="shared" si="131"/>
        <v/>
      </c>
      <c r="BB1260" s="24" t="str">
        <f t="shared" si="131"/>
        <v/>
      </c>
      <c r="BC1260" s="24" t="str">
        <f t="shared" si="131"/>
        <v/>
      </c>
      <c r="BD1260" s="24" t="str">
        <f t="shared" si="131"/>
        <v/>
      </c>
      <c r="BE1260" s="24" t="str">
        <f t="shared" si="131"/>
        <v/>
      </c>
      <c r="BF1260" s="24" t="str">
        <f t="shared" si="131"/>
        <v/>
      </c>
      <c r="BG1260" s="24" t="str">
        <f t="shared" si="131"/>
        <v/>
      </c>
      <c r="BH1260" s="24" t="str">
        <f t="shared" si="129"/>
        <v/>
      </c>
      <c r="BI1260" s="24">
        <f t="shared" si="131"/>
        <v>1</v>
      </c>
      <c r="BJ1260" s="24" t="str">
        <f t="shared" si="130"/>
        <v/>
      </c>
    </row>
    <row r="1261" spans="1:62" ht="15" customHeight="1" x14ac:dyDescent="0.25">
      <c r="A1261" t="str">
        <f>"1669467858"</f>
        <v>1669467858</v>
      </c>
      <c r="B1261" t="str">
        <f>"01338861"</f>
        <v>01338861</v>
      </c>
      <c r="C1261" t="s">
        <v>980</v>
      </c>
      <c r="D1261" t="s">
        <v>981</v>
      </c>
      <c r="E1261" t="s">
        <v>982</v>
      </c>
      <c r="L1261" t="s">
        <v>120</v>
      </c>
      <c r="M1261" t="s">
        <v>108</v>
      </c>
      <c r="R1261" t="s">
        <v>980</v>
      </c>
      <c r="W1261" t="s">
        <v>982</v>
      </c>
      <c r="X1261" t="s">
        <v>838</v>
      </c>
      <c r="Y1261" t="s">
        <v>839</v>
      </c>
      <c r="Z1261" t="s">
        <v>111</v>
      </c>
      <c r="AA1261" t="str">
        <f>"13743"</f>
        <v>13743</v>
      </c>
      <c r="AB1261" t="s">
        <v>123</v>
      </c>
      <c r="AC1261" t="s">
        <v>113</v>
      </c>
      <c r="AD1261" t="s">
        <v>108</v>
      </c>
      <c r="AE1261" t="s">
        <v>114</v>
      </c>
      <c r="AF1261" t="s">
        <v>115</v>
      </c>
      <c r="AG1261" t="s">
        <v>116</v>
      </c>
      <c r="AK1261" t="str">
        <f t="shared" si="128"/>
        <v/>
      </c>
      <c r="AL1261" t="s">
        <v>981</v>
      </c>
      <c r="AM1261">
        <v>1</v>
      </c>
      <c r="AN1261">
        <v>1</v>
      </c>
      <c r="AO1261">
        <v>0</v>
      </c>
      <c r="AP1261">
        <v>1</v>
      </c>
      <c r="AQ1261">
        <v>1</v>
      </c>
      <c r="AR1261">
        <v>0</v>
      </c>
      <c r="AS1261">
        <v>0</v>
      </c>
      <c r="AT1261">
        <v>0</v>
      </c>
      <c r="AU1261">
        <v>0</v>
      </c>
      <c r="AV1261">
        <v>0</v>
      </c>
      <c r="AW1261">
        <v>0</v>
      </c>
      <c r="AX1261" s="24">
        <f t="shared" si="132"/>
        <v>1</v>
      </c>
      <c r="AY1261" s="24" t="str">
        <f t="shared" si="132"/>
        <v/>
      </c>
      <c r="AZ1261" s="24" t="str">
        <f t="shared" si="131"/>
        <v/>
      </c>
      <c r="BA1261" s="24" t="str">
        <f t="shared" si="131"/>
        <v/>
      </c>
      <c r="BB1261" s="24" t="str">
        <f t="shared" si="131"/>
        <v/>
      </c>
      <c r="BC1261" s="24" t="str">
        <f t="shared" si="131"/>
        <v/>
      </c>
      <c r="BD1261" s="24" t="str">
        <f t="shared" si="131"/>
        <v/>
      </c>
      <c r="BE1261" s="24" t="str">
        <f t="shared" si="131"/>
        <v/>
      </c>
      <c r="BF1261" s="24" t="str">
        <f t="shared" si="131"/>
        <v/>
      </c>
      <c r="BG1261" s="24" t="str">
        <f t="shared" si="131"/>
        <v/>
      </c>
      <c r="BH1261" s="24" t="str">
        <f t="shared" si="129"/>
        <v/>
      </c>
      <c r="BI1261" s="24">
        <f t="shared" si="131"/>
        <v>1</v>
      </c>
      <c r="BJ1261" s="24" t="str">
        <f t="shared" si="130"/>
        <v/>
      </c>
    </row>
    <row r="1262" spans="1:62" ht="15" customHeight="1" x14ac:dyDescent="0.25">
      <c r="A1262" t="str">
        <f>"1700339074"</f>
        <v>1700339074</v>
      </c>
      <c r="B1262" t="str">
        <f>"04539442"</f>
        <v>04539442</v>
      </c>
      <c r="C1262" t="s">
        <v>6605</v>
      </c>
      <c r="D1262" t="s">
        <v>6606</v>
      </c>
      <c r="E1262" t="s">
        <v>6607</v>
      </c>
      <c r="G1262" t="s">
        <v>786</v>
      </c>
      <c r="H1262" t="s">
        <v>787</v>
      </c>
      <c r="J1262" t="s">
        <v>788</v>
      </c>
      <c r="L1262" t="s">
        <v>442</v>
      </c>
      <c r="M1262" t="s">
        <v>108</v>
      </c>
      <c r="R1262" t="s">
        <v>6608</v>
      </c>
      <c r="W1262" t="s">
        <v>6607</v>
      </c>
      <c r="AB1262" t="s">
        <v>123</v>
      </c>
      <c r="AC1262" t="s">
        <v>113</v>
      </c>
      <c r="AD1262" t="s">
        <v>108</v>
      </c>
      <c r="AE1262" t="s">
        <v>114</v>
      </c>
      <c r="AF1262" t="s">
        <v>142</v>
      </c>
      <c r="AG1262" t="s">
        <v>116</v>
      </c>
      <c r="AK1262" t="str">
        <f t="shared" si="128"/>
        <v>Smith Carly</v>
      </c>
      <c r="AL1262" t="s">
        <v>6606</v>
      </c>
      <c r="AM1262" t="s">
        <v>108</v>
      </c>
      <c r="AN1262" t="s">
        <v>108</v>
      </c>
      <c r="AO1262" t="s">
        <v>108</v>
      </c>
      <c r="AP1262" t="s">
        <v>108</v>
      </c>
      <c r="AQ1262" t="s">
        <v>108</v>
      </c>
      <c r="AR1262" t="s">
        <v>108</v>
      </c>
      <c r="AS1262" t="s">
        <v>108</v>
      </c>
      <c r="AT1262" t="s">
        <v>108</v>
      </c>
      <c r="AU1262" t="s">
        <v>108</v>
      </c>
      <c r="AV1262" t="s">
        <v>108</v>
      </c>
      <c r="AW1262" t="s">
        <v>108</v>
      </c>
      <c r="AX1262" s="24">
        <f t="shared" si="132"/>
        <v>1</v>
      </c>
      <c r="AY1262" s="24" t="str">
        <f t="shared" si="132"/>
        <v/>
      </c>
      <c r="AZ1262" s="24" t="str">
        <f t="shared" si="131"/>
        <v/>
      </c>
      <c r="BA1262" s="24" t="str">
        <f t="shared" si="131"/>
        <v/>
      </c>
      <c r="BB1262" s="24" t="str">
        <f t="shared" si="131"/>
        <v/>
      </c>
      <c r="BC1262" s="24" t="str">
        <f t="shared" si="131"/>
        <v/>
      </c>
      <c r="BD1262" s="24" t="str">
        <f t="shared" si="131"/>
        <v/>
      </c>
      <c r="BE1262" s="24" t="str">
        <f t="shared" si="131"/>
        <v/>
      </c>
      <c r="BF1262" s="24" t="str">
        <f t="shared" si="131"/>
        <v/>
      </c>
      <c r="BG1262" s="24" t="str">
        <f t="shared" si="131"/>
        <v/>
      </c>
      <c r="BH1262" s="24" t="str">
        <f t="shared" si="129"/>
        <v/>
      </c>
      <c r="BI1262" s="24" t="str">
        <f t="shared" si="131"/>
        <v/>
      </c>
      <c r="BJ1262" s="24" t="str">
        <f t="shared" si="130"/>
        <v/>
      </c>
    </row>
    <row r="1263" spans="1:62" ht="15" customHeight="1" x14ac:dyDescent="0.25">
      <c r="A1263" t="str">
        <f>"1588791388"</f>
        <v>1588791388</v>
      </c>
      <c r="B1263" t="str">
        <f>"03019110"</f>
        <v>03019110</v>
      </c>
      <c r="C1263" t="s">
        <v>983</v>
      </c>
      <c r="D1263" t="s">
        <v>984</v>
      </c>
      <c r="E1263" t="s">
        <v>983</v>
      </c>
      <c r="L1263" t="s">
        <v>985</v>
      </c>
      <c r="M1263" t="s">
        <v>108</v>
      </c>
      <c r="R1263" t="s">
        <v>983</v>
      </c>
      <c r="W1263" t="s">
        <v>986</v>
      </c>
      <c r="X1263" t="s">
        <v>342</v>
      </c>
      <c r="Y1263" t="s">
        <v>335</v>
      </c>
      <c r="Z1263" t="s">
        <v>111</v>
      </c>
      <c r="AA1263" t="str">
        <f>"13820-2239"</f>
        <v>13820-2239</v>
      </c>
      <c r="AB1263" t="s">
        <v>811</v>
      </c>
      <c r="AC1263" t="s">
        <v>113</v>
      </c>
      <c r="AD1263" t="s">
        <v>108</v>
      </c>
      <c r="AE1263" t="s">
        <v>114</v>
      </c>
      <c r="AF1263" t="s">
        <v>124</v>
      </c>
      <c r="AG1263" t="s">
        <v>116</v>
      </c>
      <c r="AK1263" t="str">
        <f t="shared" si="128"/>
        <v/>
      </c>
      <c r="AL1263" t="s">
        <v>984</v>
      </c>
      <c r="AM1263">
        <v>0</v>
      </c>
      <c r="AN1263">
        <v>0</v>
      </c>
      <c r="AO1263">
        <v>0</v>
      </c>
      <c r="AP1263">
        <v>0</v>
      </c>
      <c r="AQ1263">
        <v>0</v>
      </c>
      <c r="AR1263">
        <v>0</v>
      </c>
      <c r="AS1263">
        <v>0</v>
      </c>
      <c r="AT1263">
        <v>0</v>
      </c>
      <c r="AU1263">
        <v>0</v>
      </c>
      <c r="AV1263">
        <v>0</v>
      </c>
      <c r="AW1263">
        <v>0</v>
      </c>
      <c r="AX1263" s="24" t="str">
        <f t="shared" si="132"/>
        <v/>
      </c>
      <c r="AY1263" s="24">
        <f t="shared" si="132"/>
        <v>1</v>
      </c>
      <c r="AZ1263" s="24" t="str">
        <f t="shared" si="131"/>
        <v/>
      </c>
      <c r="BA1263" s="24" t="str">
        <f t="shared" ref="AZ1263:BI1288" si="133">IF(ISERROR(FIND(BA$1,$L1263,1)),"",1)</f>
        <v/>
      </c>
      <c r="BB1263" s="24" t="str">
        <f t="shared" si="133"/>
        <v/>
      </c>
      <c r="BC1263" s="24">
        <f t="shared" si="133"/>
        <v>1</v>
      </c>
      <c r="BD1263" s="24" t="str">
        <f t="shared" si="133"/>
        <v/>
      </c>
      <c r="BE1263" s="24" t="str">
        <f t="shared" si="133"/>
        <v/>
      </c>
      <c r="BF1263" s="24" t="str">
        <f t="shared" si="133"/>
        <v/>
      </c>
      <c r="BG1263" s="24" t="str">
        <f t="shared" si="133"/>
        <v/>
      </c>
      <c r="BH1263" s="24" t="str">
        <f t="shared" si="129"/>
        <v/>
      </c>
      <c r="BI1263" s="24">
        <f t="shared" si="133"/>
        <v>1</v>
      </c>
      <c r="BJ1263" s="24" t="str">
        <f t="shared" si="130"/>
        <v/>
      </c>
    </row>
    <row r="1264" spans="1:62" ht="15" customHeight="1" x14ac:dyDescent="0.25">
      <c r="A1264" t="str">
        <f>"1700056546"</f>
        <v>1700056546</v>
      </c>
      <c r="B1264" t="str">
        <f>"03046848"</f>
        <v>03046848</v>
      </c>
      <c r="C1264" t="s">
        <v>987</v>
      </c>
      <c r="D1264" t="s">
        <v>988</v>
      </c>
      <c r="E1264" t="s">
        <v>989</v>
      </c>
      <c r="L1264" t="s">
        <v>6867</v>
      </c>
      <c r="M1264" t="s">
        <v>139</v>
      </c>
      <c r="R1264" t="s">
        <v>987</v>
      </c>
      <c r="W1264" t="s">
        <v>989</v>
      </c>
      <c r="X1264" t="s">
        <v>990</v>
      </c>
      <c r="Y1264" t="s">
        <v>991</v>
      </c>
      <c r="Z1264" t="s">
        <v>111</v>
      </c>
      <c r="AA1264" t="str">
        <f>"13838-1325"</f>
        <v>13838-1325</v>
      </c>
      <c r="AB1264" t="s">
        <v>123</v>
      </c>
      <c r="AC1264" t="s">
        <v>113</v>
      </c>
      <c r="AD1264" t="s">
        <v>108</v>
      </c>
      <c r="AE1264" t="s">
        <v>114</v>
      </c>
      <c r="AF1264" t="s">
        <v>124</v>
      </c>
      <c r="AG1264" t="s">
        <v>116</v>
      </c>
      <c r="AK1264" t="str">
        <f t="shared" si="128"/>
        <v/>
      </c>
      <c r="AL1264" t="s">
        <v>988</v>
      </c>
      <c r="AM1264">
        <v>0</v>
      </c>
      <c r="AN1264">
        <v>0</v>
      </c>
      <c r="AO1264">
        <v>0</v>
      </c>
      <c r="AP1264">
        <v>0</v>
      </c>
      <c r="AQ1264">
        <v>0</v>
      </c>
      <c r="AR1264">
        <v>0</v>
      </c>
      <c r="AS1264">
        <v>0</v>
      </c>
      <c r="AT1264">
        <v>0</v>
      </c>
      <c r="AU1264">
        <v>0</v>
      </c>
      <c r="AV1264">
        <v>0</v>
      </c>
      <c r="AW1264">
        <v>0</v>
      </c>
      <c r="AX1264" s="24">
        <f t="shared" si="132"/>
        <v>1</v>
      </c>
      <c r="AY1264" s="24">
        <f t="shared" si="132"/>
        <v>1</v>
      </c>
      <c r="AZ1264" s="24" t="str">
        <f t="shared" si="133"/>
        <v/>
      </c>
      <c r="BA1264" s="24" t="str">
        <f t="shared" si="133"/>
        <v/>
      </c>
      <c r="BB1264" s="24" t="str">
        <f t="shared" si="133"/>
        <v/>
      </c>
      <c r="BC1264" s="24" t="str">
        <f t="shared" si="133"/>
        <v/>
      </c>
      <c r="BD1264" s="24" t="str">
        <f t="shared" si="133"/>
        <v/>
      </c>
      <c r="BE1264" s="24" t="str">
        <f t="shared" si="133"/>
        <v/>
      </c>
      <c r="BF1264" s="24" t="str">
        <f t="shared" si="133"/>
        <v/>
      </c>
      <c r="BG1264" s="24" t="str">
        <f t="shared" si="133"/>
        <v/>
      </c>
      <c r="BH1264" s="24" t="str">
        <f t="shared" si="129"/>
        <v/>
      </c>
      <c r="BI1264" s="24">
        <f t="shared" si="133"/>
        <v>1</v>
      </c>
      <c r="BJ1264" s="24" t="str">
        <f t="shared" si="130"/>
        <v/>
      </c>
    </row>
    <row r="1265" spans="1:62" ht="15" customHeight="1" x14ac:dyDescent="0.25">
      <c r="A1265" t="str">
        <f>"1225058530"</f>
        <v>1225058530</v>
      </c>
      <c r="B1265" t="str">
        <f>"01479689"</f>
        <v>01479689</v>
      </c>
      <c r="C1265" t="s">
        <v>992</v>
      </c>
      <c r="D1265" t="s">
        <v>993</v>
      </c>
      <c r="E1265" t="s">
        <v>994</v>
      </c>
      <c r="L1265" t="s">
        <v>247</v>
      </c>
      <c r="M1265" t="s">
        <v>108</v>
      </c>
      <c r="R1265" t="s">
        <v>992</v>
      </c>
      <c r="W1265" t="s">
        <v>992</v>
      </c>
      <c r="X1265" t="s">
        <v>180</v>
      </c>
      <c r="Y1265" t="s">
        <v>181</v>
      </c>
      <c r="Z1265" t="s">
        <v>182</v>
      </c>
      <c r="AA1265" t="str">
        <f>"18840"</f>
        <v>18840</v>
      </c>
      <c r="AB1265" t="s">
        <v>123</v>
      </c>
      <c r="AC1265" t="s">
        <v>113</v>
      </c>
      <c r="AD1265" t="s">
        <v>108</v>
      </c>
      <c r="AE1265" t="s">
        <v>114</v>
      </c>
      <c r="AF1265" t="s">
        <v>115</v>
      </c>
      <c r="AG1265" t="s">
        <v>116</v>
      </c>
      <c r="AK1265" t="str">
        <f t="shared" si="128"/>
        <v/>
      </c>
      <c r="AL1265" t="s">
        <v>993</v>
      </c>
      <c r="AM1265">
        <v>1</v>
      </c>
      <c r="AN1265">
        <v>1</v>
      </c>
      <c r="AO1265">
        <v>0</v>
      </c>
      <c r="AP1265">
        <v>1</v>
      </c>
      <c r="AQ1265">
        <v>1</v>
      </c>
      <c r="AR1265">
        <v>0</v>
      </c>
      <c r="AS1265">
        <v>0</v>
      </c>
      <c r="AT1265">
        <v>0</v>
      </c>
      <c r="AU1265">
        <v>0</v>
      </c>
      <c r="AV1265">
        <v>0</v>
      </c>
      <c r="AW1265">
        <v>1</v>
      </c>
      <c r="AX1265" s="24" t="str">
        <f t="shared" si="132"/>
        <v/>
      </c>
      <c r="AY1265" s="24">
        <f t="shared" si="132"/>
        <v>1</v>
      </c>
      <c r="AZ1265" s="24" t="str">
        <f t="shared" si="133"/>
        <v/>
      </c>
      <c r="BA1265" s="24" t="str">
        <f t="shared" si="133"/>
        <v/>
      </c>
      <c r="BB1265" s="24" t="str">
        <f t="shared" si="133"/>
        <v/>
      </c>
      <c r="BC1265" s="24" t="str">
        <f t="shared" si="133"/>
        <v/>
      </c>
      <c r="BD1265" s="24" t="str">
        <f t="shared" si="133"/>
        <v/>
      </c>
      <c r="BE1265" s="24" t="str">
        <f t="shared" si="133"/>
        <v/>
      </c>
      <c r="BF1265" s="24" t="str">
        <f t="shared" si="133"/>
        <v/>
      </c>
      <c r="BG1265" s="24" t="str">
        <f t="shared" si="133"/>
        <v/>
      </c>
      <c r="BH1265" s="24" t="str">
        <f t="shared" si="129"/>
        <v/>
      </c>
      <c r="BI1265" s="24" t="str">
        <f t="shared" si="133"/>
        <v/>
      </c>
      <c r="BJ1265" s="24" t="str">
        <f t="shared" si="130"/>
        <v/>
      </c>
    </row>
    <row r="1266" spans="1:62" ht="15" customHeight="1" x14ac:dyDescent="0.25">
      <c r="B1266" t="str">
        <f>"02168761"</f>
        <v>02168761</v>
      </c>
      <c r="C1266" t="s">
        <v>1063</v>
      </c>
      <c r="D1266" t="s">
        <v>1064</v>
      </c>
      <c r="E1266" t="s">
        <v>1063</v>
      </c>
      <c r="F1266">
        <v>161204347</v>
      </c>
      <c r="G1266" t="s">
        <v>219</v>
      </c>
      <c r="H1266" t="s">
        <v>220</v>
      </c>
      <c r="J1266" t="s">
        <v>221</v>
      </c>
      <c r="L1266" t="s">
        <v>68</v>
      </c>
      <c r="M1266" t="s">
        <v>139</v>
      </c>
      <c r="W1266" t="s">
        <v>1063</v>
      </c>
      <c r="X1266" t="s">
        <v>1065</v>
      </c>
      <c r="Y1266" t="s">
        <v>110</v>
      </c>
      <c r="Z1266" t="s">
        <v>111</v>
      </c>
      <c r="AA1266" t="str">
        <f>"13901-2802"</f>
        <v>13901-2802</v>
      </c>
      <c r="AB1266" t="s">
        <v>165</v>
      </c>
      <c r="AC1266" t="s">
        <v>113</v>
      </c>
      <c r="AD1266" t="s">
        <v>108</v>
      </c>
      <c r="AE1266" t="s">
        <v>114</v>
      </c>
      <c r="AF1266" t="s">
        <v>115</v>
      </c>
      <c r="AG1266" t="s">
        <v>116</v>
      </c>
      <c r="AK1266" t="str">
        <f t="shared" si="128"/>
        <v>SO TIER INDEPENDENCE CTR SMP</v>
      </c>
      <c r="AL1266" t="s">
        <v>1064</v>
      </c>
      <c r="AM1266" t="s">
        <v>108</v>
      </c>
      <c r="AN1266" t="s">
        <v>108</v>
      </c>
      <c r="AO1266" t="s">
        <v>108</v>
      </c>
      <c r="AP1266" t="s">
        <v>108</v>
      </c>
      <c r="AQ1266" t="s">
        <v>108</v>
      </c>
      <c r="AR1266" t="s">
        <v>108</v>
      </c>
      <c r="AS1266" t="s">
        <v>108</v>
      </c>
      <c r="AT1266" t="s">
        <v>108</v>
      </c>
      <c r="AU1266" t="s">
        <v>108</v>
      </c>
      <c r="AV1266" t="s">
        <v>108</v>
      </c>
      <c r="AW1266" t="s">
        <v>108</v>
      </c>
      <c r="AX1266" s="24" t="str">
        <f t="shared" si="132"/>
        <v/>
      </c>
      <c r="AY1266" s="24" t="str">
        <f t="shared" si="132"/>
        <v/>
      </c>
      <c r="AZ1266" s="24" t="str">
        <f t="shared" si="133"/>
        <v/>
      </c>
      <c r="BA1266" s="24" t="str">
        <f t="shared" si="133"/>
        <v/>
      </c>
      <c r="BB1266" s="24" t="str">
        <f t="shared" si="133"/>
        <v/>
      </c>
      <c r="BC1266" s="24" t="str">
        <f t="shared" si="133"/>
        <v/>
      </c>
      <c r="BD1266" s="24" t="str">
        <f t="shared" si="133"/>
        <v/>
      </c>
      <c r="BE1266" s="24" t="str">
        <f t="shared" si="133"/>
        <v/>
      </c>
      <c r="BF1266" s="24" t="str">
        <f t="shared" si="133"/>
        <v/>
      </c>
      <c r="BG1266" s="24" t="str">
        <f t="shared" si="133"/>
        <v/>
      </c>
      <c r="BH1266" s="24" t="str">
        <f t="shared" si="129"/>
        <v/>
      </c>
      <c r="BI1266" s="24">
        <f t="shared" si="133"/>
        <v>1</v>
      </c>
      <c r="BJ1266" s="24" t="str">
        <f t="shared" si="130"/>
        <v/>
      </c>
    </row>
    <row r="1267" spans="1:62" ht="15" customHeight="1" x14ac:dyDescent="0.25">
      <c r="A1267" t="str">
        <f>"1417366642"</f>
        <v>1417366642</v>
      </c>
      <c r="B1267" t="str">
        <f>"04053834"</f>
        <v>04053834</v>
      </c>
      <c r="C1267" t="s">
        <v>6601</v>
      </c>
      <c r="D1267" t="s">
        <v>6602</v>
      </c>
      <c r="E1267" t="s">
        <v>6603</v>
      </c>
      <c r="G1267" t="s">
        <v>786</v>
      </c>
      <c r="H1267" t="s">
        <v>787</v>
      </c>
      <c r="J1267" t="s">
        <v>788</v>
      </c>
      <c r="L1267" t="s">
        <v>247</v>
      </c>
      <c r="M1267" t="s">
        <v>108</v>
      </c>
      <c r="R1267" t="s">
        <v>6604</v>
      </c>
      <c r="W1267" t="s">
        <v>6603</v>
      </c>
      <c r="X1267" t="s">
        <v>3338</v>
      </c>
      <c r="Y1267" t="s">
        <v>239</v>
      </c>
      <c r="Z1267" t="s">
        <v>111</v>
      </c>
      <c r="AA1267" t="str">
        <f>"13045-1842"</f>
        <v>13045-1842</v>
      </c>
      <c r="AB1267" t="s">
        <v>123</v>
      </c>
      <c r="AC1267" t="s">
        <v>113</v>
      </c>
      <c r="AD1267" t="s">
        <v>108</v>
      </c>
      <c r="AE1267" t="s">
        <v>114</v>
      </c>
      <c r="AF1267" t="s">
        <v>142</v>
      </c>
      <c r="AG1267" t="s">
        <v>116</v>
      </c>
      <c r="AK1267" t="str">
        <f t="shared" si="128"/>
        <v>Somers Megan</v>
      </c>
      <c r="AL1267" t="s">
        <v>6602</v>
      </c>
      <c r="AM1267" t="s">
        <v>108</v>
      </c>
      <c r="AN1267" t="s">
        <v>108</v>
      </c>
      <c r="AO1267" t="s">
        <v>108</v>
      </c>
      <c r="AP1267" t="s">
        <v>108</v>
      </c>
      <c r="AQ1267" t="s">
        <v>108</v>
      </c>
      <c r="AR1267" t="s">
        <v>108</v>
      </c>
      <c r="AS1267" t="s">
        <v>108</v>
      </c>
      <c r="AT1267" t="s">
        <v>108</v>
      </c>
      <c r="AU1267" t="s">
        <v>108</v>
      </c>
      <c r="AV1267" t="s">
        <v>108</v>
      </c>
      <c r="AW1267" t="s">
        <v>108</v>
      </c>
      <c r="AX1267" s="24" t="str">
        <f t="shared" si="132"/>
        <v/>
      </c>
      <c r="AY1267" s="24">
        <f t="shared" si="132"/>
        <v>1</v>
      </c>
      <c r="AZ1267" s="24" t="str">
        <f t="shared" si="133"/>
        <v/>
      </c>
      <c r="BA1267" s="24" t="str">
        <f t="shared" si="133"/>
        <v/>
      </c>
      <c r="BB1267" s="24" t="str">
        <f t="shared" si="133"/>
        <v/>
      </c>
      <c r="BC1267" s="24" t="str">
        <f t="shared" si="133"/>
        <v/>
      </c>
      <c r="BD1267" s="24" t="str">
        <f t="shared" si="133"/>
        <v/>
      </c>
      <c r="BE1267" s="24" t="str">
        <f t="shared" si="133"/>
        <v/>
      </c>
      <c r="BF1267" s="24" t="str">
        <f t="shared" si="133"/>
        <v/>
      </c>
      <c r="BG1267" s="24" t="str">
        <f t="shared" si="133"/>
        <v/>
      </c>
      <c r="BH1267" s="24" t="str">
        <f t="shared" si="129"/>
        <v/>
      </c>
      <c r="BI1267" s="24" t="str">
        <f t="shared" si="133"/>
        <v/>
      </c>
      <c r="BJ1267" s="24" t="str">
        <f t="shared" si="130"/>
        <v/>
      </c>
    </row>
    <row r="1268" spans="1:62" ht="15" customHeight="1" x14ac:dyDescent="0.25">
      <c r="A1268" t="str">
        <f>"1922130335"</f>
        <v>1922130335</v>
      </c>
      <c r="B1268" t="str">
        <f>"01681130"</f>
        <v>01681130</v>
      </c>
      <c r="C1268" t="s">
        <v>3667</v>
      </c>
      <c r="D1268" t="s">
        <v>3668</v>
      </c>
      <c r="E1268" t="s">
        <v>3669</v>
      </c>
      <c r="G1268" t="s">
        <v>3670</v>
      </c>
      <c r="H1268" t="s">
        <v>3671</v>
      </c>
      <c r="J1268" t="s">
        <v>3672</v>
      </c>
      <c r="L1268" t="s">
        <v>66</v>
      </c>
      <c r="M1268" t="s">
        <v>139</v>
      </c>
      <c r="R1268" t="s">
        <v>3673</v>
      </c>
      <c r="W1268" t="s">
        <v>3669</v>
      </c>
      <c r="X1268" t="s">
        <v>3674</v>
      </c>
      <c r="Y1268" t="s">
        <v>110</v>
      </c>
      <c r="Z1268" t="s">
        <v>111</v>
      </c>
      <c r="AA1268" t="str">
        <f>"13905-4659"</f>
        <v>13905-4659</v>
      </c>
      <c r="AB1268" t="s">
        <v>165</v>
      </c>
      <c r="AC1268" t="s">
        <v>113</v>
      </c>
      <c r="AD1268" t="s">
        <v>108</v>
      </c>
      <c r="AE1268" t="s">
        <v>114</v>
      </c>
      <c r="AF1268" t="s">
        <v>115</v>
      </c>
      <c r="AG1268" t="s">
        <v>116</v>
      </c>
      <c r="AK1268" t="str">
        <f t="shared" si="128"/>
        <v/>
      </c>
      <c r="AL1268" t="s">
        <v>3668</v>
      </c>
      <c r="AM1268">
        <v>0</v>
      </c>
      <c r="AN1268">
        <v>0</v>
      </c>
      <c r="AO1268">
        <v>0</v>
      </c>
      <c r="AP1268">
        <v>0</v>
      </c>
      <c r="AQ1268">
        <v>0</v>
      </c>
      <c r="AR1268">
        <v>0</v>
      </c>
      <c r="AS1268">
        <v>0</v>
      </c>
      <c r="AT1268">
        <v>0</v>
      </c>
      <c r="AU1268">
        <v>0</v>
      </c>
      <c r="AV1268">
        <v>0</v>
      </c>
      <c r="AW1268">
        <v>0</v>
      </c>
      <c r="AX1268" s="24" t="str">
        <f t="shared" si="132"/>
        <v/>
      </c>
      <c r="AY1268" s="24" t="str">
        <f t="shared" si="132"/>
        <v/>
      </c>
      <c r="AZ1268" s="24" t="str">
        <f t="shared" si="133"/>
        <v/>
      </c>
      <c r="BA1268" s="24" t="str">
        <f t="shared" si="133"/>
        <v/>
      </c>
      <c r="BB1268" s="24">
        <f t="shared" si="133"/>
        <v>1</v>
      </c>
      <c r="BC1268" s="24" t="str">
        <f t="shared" si="133"/>
        <v/>
      </c>
      <c r="BD1268" s="24" t="str">
        <f t="shared" si="133"/>
        <v/>
      </c>
      <c r="BE1268" s="24" t="str">
        <f t="shared" si="133"/>
        <v/>
      </c>
      <c r="BF1268" s="24" t="str">
        <f t="shared" si="133"/>
        <v/>
      </c>
      <c r="BG1268" s="24" t="str">
        <f t="shared" si="133"/>
        <v/>
      </c>
      <c r="BH1268" s="24" t="str">
        <f t="shared" si="129"/>
        <v/>
      </c>
      <c r="BI1268" s="24" t="str">
        <f t="shared" si="133"/>
        <v/>
      </c>
      <c r="BJ1268" s="24" t="str">
        <f t="shared" si="130"/>
        <v/>
      </c>
    </row>
    <row r="1269" spans="1:62" ht="15" customHeight="1" x14ac:dyDescent="0.25">
      <c r="C1269" t="s">
        <v>1091</v>
      </c>
      <c r="G1269" t="s">
        <v>1092</v>
      </c>
      <c r="H1269" t="s">
        <v>1093</v>
      </c>
      <c r="J1269" t="s">
        <v>1094</v>
      </c>
      <c r="K1269" t="s">
        <v>780</v>
      </c>
      <c r="L1269" t="s">
        <v>781</v>
      </c>
      <c r="M1269" t="s">
        <v>108</v>
      </c>
      <c r="N1269" t="s">
        <v>1095</v>
      </c>
      <c r="O1269" t="s">
        <v>1096</v>
      </c>
      <c r="P1269" t="s">
        <v>111</v>
      </c>
      <c r="Q1269" t="str">
        <f>"13901"</f>
        <v>13901</v>
      </c>
      <c r="AC1269" t="s">
        <v>113</v>
      </c>
      <c r="AD1269" t="s">
        <v>108</v>
      </c>
      <c r="AE1269" t="s">
        <v>784</v>
      </c>
      <c r="AF1269" t="s">
        <v>115</v>
      </c>
      <c r="AG1269" t="s">
        <v>116</v>
      </c>
      <c r="AK1269" t="str">
        <f t="shared" si="128"/>
        <v>Southern Tier Healthlink</v>
      </c>
      <c r="AM1269" t="s">
        <v>108</v>
      </c>
      <c r="AN1269" t="s">
        <v>108</v>
      </c>
      <c r="AO1269" t="s">
        <v>108</v>
      </c>
      <c r="AP1269" t="s">
        <v>108</v>
      </c>
      <c r="AQ1269" t="s">
        <v>108</v>
      </c>
      <c r="AR1269" t="s">
        <v>108</v>
      </c>
      <c r="AS1269" t="s">
        <v>108</v>
      </c>
      <c r="AT1269" t="s">
        <v>108</v>
      </c>
      <c r="AU1269" t="s">
        <v>108</v>
      </c>
      <c r="AV1269" t="s">
        <v>108</v>
      </c>
      <c r="AW1269" t="s">
        <v>108</v>
      </c>
      <c r="AX1269" s="24" t="str">
        <f t="shared" si="132"/>
        <v/>
      </c>
      <c r="AY1269" s="24" t="str">
        <f t="shared" si="132"/>
        <v/>
      </c>
      <c r="AZ1269" s="24" t="str">
        <f t="shared" si="133"/>
        <v/>
      </c>
      <c r="BA1269" s="24" t="str">
        <f t="shared" si="133"/>
        <v/>
      </c>
      <c r="BB1269" s="24" t="str">
        <f t="shared" si="133"/>
        <v/>
      </c>
      <c r="BC1269" s="24" t="str">
        <f t="shared" si="133"/>
        <v/>
      </c>
      <c r="BD1269" s="24" t="str">
        <f t="shared" si="133"/>
        <v/>
      </c>
      <c r="BE1269" s="24" t="str">
        <f t="shared" si="133"/>
        <v/>
      </c>
      <c r="BF1269" s="24" t="str">
        <f t="shared" si="133"/>
        <v/>
      </c>
      <c r="BG1269" s="24" t="str">
        <f t="shared" si="133"/>
        <v/>
      </c>
      <c r="BH1269" s="24">
        <f t="shared" si="129"/>
        <v>1</v>
      </c>
      <c r="BI1269" s="24" t="str">
        <f t="shared" si="133"/>
        <v/>
      </c>
      <c r="BJ1269" s="24" t="str">
        <f t="shared" si="130"/>
        <v/>
      </c>
    </row>
    <row r="1270" spans="1:62" ht="15" customHeight="1" x14ac:dyDescent="0.25">
      <c r="A1270" t="str">
        <f>"1285638775"</f>
        <v>1285638775</v>
      </c>
      <c r="B1270" t="str">
        <f>"00973982"</f>
        <v>00973982</v>
      </c>
      <c r="C1270" t="s">
        <v>2392</v>
      </c>
      <c r="D1270" t="s">
        <v>2393</v>
      </c>
      <c r="E1270" t="s">
        <v>2392</v>
      </c>
      <c r="G1270" t="s">
        <v>2394</v>
      </c>
      <c r="H1270" t="s">
        <v>2395</v>
      </c>
      <c r="J1270" t="s">
        <v>2396</v>
      </c>
      <c r="L1270" t="s">
        <v>1115</v>
      </c>
      <c r="M1270" t="s">
        <v>108</v>
      </c>
      <c r="R1270" t="s">
        <v>2397</v>
      </c>
      <c r="W1270" t="s">
        <v>2398</v>
      </c>
      <c r="X1270" t="s">
        <v>2399</v>
      </c>
      <c r="Y1270" t="s">
        <v>2400</v>
      </c>
      <c r="Z1270" t="s">
        <v>111</v>
      </c>
      <c r="AA1270" t="str">
        <f>"14870-9509"</f>
        <v>14870-9509</v>
      </c>
      <c r="AB1270" t="s">
        <v>282</v>
      </c>
      <c r="AC1270" t="s">
        <v>113</v>
      </c>
      <c r="AD1270" t="s">
        <v>108</v>
      </c>
      <c r="AE1270" t="s">
        <v>114</v>
      </c>
      <c r="AF1270" t="s">
        <v>149</v>
      </c>
      <c r="AG1270" t="s">
        <v>116</v>
      </c>
      <c r="AK1270" t="str">
        <f t="shared" si="128"/>
        <v/>
      </c>
      <c r="AL1270" t="s">
        <v>2393</v>
      </c>
      <c r="AM1270">
        <v>1</v>
      </c>
      <c r="AN1270">
        <v>1</v>
      </c>
      <c r="AO1270">
        <v>0</v>
      </c>
      <c r="AP1270">
        <v>1</v>
      </c>
      <c r="AQ1270">
        <v>0</v>
      </c>
      <c r="AR1270">
        <v>0</v>
      </c>
      <c r="AS1270">
        <v>0</v>
      </c>
      <c r="AT1270">
        <v>0</v>
      </c>
      <c r="AU1270">
        <v>1</v>
      </c>
      <c r="AV1270">
        <v>0</v>
      </c>
      <c r="AW1270">
        <v>0</v>
      </c>
      <c r="AX1270" s="24" t="str">
        <f t="shared" si="132"/>
        <v/>
      </c>
      <c r="AY1270" s="24" t="str">
        <f t="shared" si="132"/>
        <v/>
      </c>
      <c r="AZ1270" s="24" t="str">
        <f t="shared" si="133"/>
        <v/>
      </c>
      <c r="BA1270" s="24" t="str">
        <f t="shared" si="133"/>
        <v/>
      </c>
      <c r="BB1270" s="24" t="str">
        <f t="shared" si="133"/>
        <v/>
      </c>
      <c r="BC1270" s="24" t="str">
        <f t="shared" si="133"/>
        <v/>
      </c>
      <c r="BD1270" s="24" t="str">
        <f t="shared" si="133"/>
        <v/>
      </c>
      <c r="BE1270" s="24" t="str">
        <f t="shared" si="133"/>
        <v/>
      </c>
      <c r="BF1270" s="24" t="str">
        <f t="shared" si="133"/>
        <v/>
      </c>
      <c r="BG1270" s="24">
        <f t="shared" si="133"/>
        <v>1</v>
      </c>
      <c r="BH1270" s="24" t="str">
        <f t="shared" si="129"/>
        <v/>
      </c>
      <c r="BI1270" s="24">
        <f t="shared" si="133"/>
        <v>1</v>
      </c>
      <c r="BJ1270" s="24" t="str">
        <f t="shared" si="130"/>
        <v/>
      </c>
    </row>
    <row r="1271" spans="1:62" ht="15" customHeight="1" x14ac:dyDescent="0.25">
      <c r="B1271" t="str">
        <f>"01741166"</f>
        <v>01741166</v>
      </c>
      <c r="C1271" t="s">
        <v>222</v>
      </c>
      <c r="D1271" t="s">
        <v>223</v>
      </c>
      <c r="E1271" t="s">
        <v>222</v>
      </c>
      <c r="F1271">
        <v>161204347</v>
      </c>
      <c r="G1271" t="s">
        <v>219</v>
      </c>
      <c r="H1271" t="s">
        <v>220</v>
      </c>
      <c r="J1271" t="s">
        <v>221</v>
      </c>
      <c r="L1271" t="s">
        <v>68</v>
      </c>
      <c r="M1271" t="s">
        <v>139</v>
      </c>
      <c r="W1271" t="s">
        <v>224</v>
      </c>
      <c r="X1271" t="s">
        <v>225</v>
      </c>
      <c r="Y1271" t="s">
        <v>110</v>
      </c>
      <c r="Z1271" t="s">
        <v>111</v>
      </c>
      <c r="AA1271" t="str">
        <f>"13904-1224"</f>
        <v>13904-1224</v>
      </c>
      <c r="AB1271" t="s">
        <v>165</v>
      </c>
      <c r="AC1271" t="s">
        <v>113</v>
      </c>
      <c r="AD1271" t="s">
        <v>108</v>
      </c>
      <c r="AE1271" t="s">
        <v>114</v>
      </c>
      <c r="AF1271" t="s">
        <v>115</v>
      </c>
      <c r="AG1271" t="s">
        <v>116</v>
      </c>
      <c r="AK1271" t="str">
        <f t="shared" si="128"/>
        <v/>
      </c>
      <c r="AL1271" t="s">
        <v>223</v>
      </c>
      <c r="AM1271">
        <v>0</v>
      </c>
      <c r="AN1271">
        <v>0</v>
      </c>
      <c r="AO1271">
        <v>0</v>
      </c>
      <c r="AP1271">
        <v>0</v>
      </c>
      <c r="AQ1271">
        <v>0</v>
      </c>
      <c r="AR1271">
        <v>0</v>
      </c>
      <c r="AS1271">
        <v>0</v>
      </c>
      <c r="AT1271">
        <v>0</v>
      </c>
      <c r="AU1271">
        <v>0</v>
      </c>
      <c r="AV1271">
        <v>0</v>
      </c>
      <c r="AW1271">
        <v>0</v>
      </c>
      <c r="AX1271" s="24" t="str">
        <f t="shared" si="132"/>
        <v/>
      </c>
      <c r="AY1271" s="24" t="str">
        <f t="shared" si="132"/>
        <v/>
      </c>
      <c r="AZ1271" s="24" t="str">
        <f t="shared" si="133"/>
        <v/>
      </c>
      <c r="BA1271" s="24" t="str">
        <f t="shared" si="133"/>
        <v/>
      </c>
      <c r="BB1271" s="24" t="str">
        <f t="shared" si="133"/>
        <v/>
      </c>
      <c r="BC1271" s="24" t="str">
        <f t="shared" si="133"/>
        <v/>
      </c>
      <c r="BD1271" s="24" t="str">
        <f t="shared" si="133"/>
        <v/>
      </c>
      <c r="BE1271" s="24" t="str">
        <f t="shared" si="133"/>
        <v/>
      </c>
      <c r="BF1271" s="24" t="str">
        <f t="shared" si="133"/>
        <v/>
      </c>
      <c r="BG1271" s="24" t="str">
        <f t="shared" si="133"/>
        <v/>
      </c>
      <c r="BH1271" s="24" t="str">
        <f t="shared" si="129"/>
        <v/>
      </c>
      <c r="BI1271" s="24">
        <f t="shared" si="133"/>
        <v>1</v>
      </c>
      <c r="BJ1271" s="24" t="str">
        <f t="shared" si="130"/>
        <v/>
      </c>
    </row>
    <row r="1272" spans="1:62" ht="15" customHeight="1" x14ac:dyDescent="0.25">
      <c r="B1272" t="str">
        <f>"02693649"</f>
        <v>02693649</v>
      </c>
      <c r="C1272" t="s">
        <v>217</v>
      </c>
      <c r="D1272" t="s">
        <v>218</v>
      </c>
      <c r="E1272" t="s">
        <v>217</v>
      </c>
      <c r="F1272">
        <v>161204347</v>
      </c>
      <c r="G1272" t="s">
        <v>219</v>
      </c>
      <c r="H1272" t="s">
        <v>220</v>
      </c>
      <c r="J1272" t="s">
        <v>221</v>
      </c>
      <c r="L1272" t="s">
        <v>68</v>
      </c>
      <c r="M1272" t="s">
        <v>139</v>
      </c>
      <c r="W1272" t="s">
        <v>217</v>
      </c>
      <c r="X1272" t="s">
        <v>173</v>
      </c>
      <c r="Y1272" t="s">
        <v>110</v>
      </c>
      <c r="Z1272" t="s">
        <v>111</v>
      </c>
      <c r="AA1272" t="str">
        <f>"13901-2802"</f>
        <v>13901-2802</v>
      </c>
      <c r="AB1272" t="s">
        <v>165</v>
      </c>
      <c r="AC1272" t="s">
        <v>113</v>
      </c>
      <c r="AD1272" t="s">
        <v>108</v>
      </c>
      <c r="AE1272" t="s">
        <v>114</v>
      </c>
      <c r="AF1272" t="s">
        <v>115</v>
      </c>
      <c r="AG1272" t="s">
        <v>116</v>
      </c>
      <c r="AK1272" t="str">
        <f t="shared" si="128"/>
        <v>SOUTHERN TIER INDEP CTR DAY</v>
      </c>
      <c r="AL1272" t="s">
        <v>218</v>
      </c>
      <c r="AM1272" t="s">
        <v>108</v>
      </c>
      <c r="AN1272" t="s">
        <v>108</v>
      </c>
      <c r="AO1272" t="s">
        <v>108</v>
      </c>
      <c r="AP1272" t="s">
        <v>108</v>
      </c>
      <c r="AQ1272" t="s">
        <v>108</v>
      </c>
      <c r="AR1272" t="s">
        <v>108</v>
      </c>
      <c r="AS1272" t="s">
        <v>108</v>
      </c>
      <c r="AT1272" t="s">
        <v>108</v>
      </c>
      <c r="AU1272" t="s">
        <v>108</v>
      </c>
      <c r="AV1272" t="s">
        <v>108</v>
      </c>
      <c r="AW1272" t="s">
        <v>108</v>
      </c>
      <c r="AX1272" s="24" t="str">
        <f t="shared" si="132"/>
        <v/>
      </c>
      <c r="AY1272" s="24" t="str">
        <f t="shared" si="132"/>
        <v/>
      </c>
      <c r="AZ1272" s="24" t="str">
        <f t="shared" si="133"/>
        <v/>
      </c>
      <c r="BA1272" s="24" t="str">
        <f t="shared" si="133"/>
        <v/>
      </c>
      <c r="BB1272" s="24" t="str">
        <f t="shared" si="133"/>
        <v/>
      </c>
      <c r="BC1272" s="24" t="str">
        <f t="shared" si="133"/>
        <v/>
      </c>
      <c r="BD1272" s="24" t="str">
        <f t="shared" si="133"/>
        <v/>
      </c>
      <c r="BE1272" s="24" t="str">
        <f t="shared" si="133"/>
        <v/>
      </c>
      <c r="BF1272" s="24" t="str">
        <f t="shared" si="133"/>
        <v/>
      </c>
      <c r="BG1272" s="24" t="str">
        <f t="shared" si="133"/>
        <v/>
      </c>
      <c r="BH1272" s="24" t="str">
        <f t="shared" si="129"/>
        <v/>
      </c>
      <c r="BI1272" s="24">
        <f t="shared" si="133"/>
        <v>1</v>
      </c>
      <c r="BJ1272" s="24" t="str">
        <f t="shared" si="130"/>
        <v/>
      </c>
    </row>
    <row r="1273" spans="1:62" ht="15" customHeight="1" x14ac:dyDescent="0.25">
      <c r="A1273" t="str">
        <f>"1033272034"</f>
        <v>1033272034</v>
      </c>
      <c r="B1273" t="str">
        <f>"03115919"</f>
        <v>03115919</v>
      </c>
      <c r="C1273" t="s">
        <v>995</v>
      </c>
      <c r="D1273" t="s">
        <v>996</v>
      </c>
      <c r="E1273" t="s">
        <v>995</v>
      </c>
      <c r="L1273" t="s">
        <v>133</v>
      </c>
      <c r="M1273" t="s">
        <v>108</v>
      </c>
      <c r="R1273" t="s">
        <v>995</v>
      </c>
      <c r="W1273" t="s">
        <v>995</v>
      </c>
      <c r="X1273" t="s">
        <v>810</v>
      </c>
      <c r="Y1273" t="s">
        <v>110</v>
      </c>
      <c r="Z1273" t="s">
        <v>111</v>
      </c>
      <c r="AA1273" t="str">
        <f>"13905-2522"</f>
        <v>13905-2522</v>
      </c>
      <c r="AB1273" t="s">
        <v>811</v>
      </c>
      <c r="AC1273" t="s">
        <v>113</v>
      </c>
      <c r="AD1273" t="s">
        <v>108</v>
      </c>
      <c r="AE1273" t="s">
        <v>114</v>
      </c>
      <c r="AF1273" t="s">
        <v>115</v>
      </c>
      <c r="AG1273" t="s">
        <v>116</v>
      </c>
      <c r="AK1273" t="str">
        <f t="shared" si="128"/>
        <v>SPENCER FREDERICK</v>
      </c>
      <c r="AL1273" t="s">
        <v>996</v>
      </c>
      <c r="AM1273" t="s">
        <v>108</v>
      </c>
      <c r="AN1273" t="s">
        <v>108</v>
      </c>
      <c r="AO1273" t="s">
        <v>108</v>
      </c>
      <c r="AP1273" t="s">
        <v>108</v>
      </c>
      <c r="AQ1273" t="s">
        <v>108</v>
      </c>
      <c r="AR1273" t="s">
        <v>108</v>
      </c>
      <c r="AS1273" t="s">
        <v>108</v>
      </c>
      <c r="AT1273" t="s">
        <v>108</v>
      </c>
      <c r="AU1273" t="s">
        <v>108</v>
      </c>
      <c r="AV1273" t="s">
        <v>108</v>
      </c>
      <c r="AW1273" t="s">
        <v>108</v>
      </c>
      <c r="AX1273" s="24" t="str">
        <f t="shared" si="132"/>
        <v/>
      </c>
      <c r="AY1273" s="24" t="str">
        <f t="shared" si="132"/>
        <v/>
      </c>
      <c r="AZ1273" s="24" t="str">
        <f t="shared" si="133"/>
        <v/>
      </c>
      <c r="BA1273" s="24" t="str">
        <f t="shared" si="133"/>
        <v/>
      </c>
      <c r="BB1273" s="24" t="str">
        <f t="shared" si="133"/>
        <v/>
      </c>
      <c r="BC1273" s="24" t="str">
        <f t="shared" si="133"/>
        <v/>
      </c>
      <c r="BD1273" s="24" t="str">
        <f t="shared" si="133"/>
        <v/>
      </c>
      <c r="BE1273" s="24" t="str">
        <f t="shared" si="133"/>
        <v/>
      </c>
      <c r="BF1273" s="24" t="str">
        <f t="shared" si="133"/>
        <v/>
      </c>
      <c r="BG1273" s="24" t="str">
        <f t="shared" si="133"/>
        <v/>
      </c>
      <c r="BH1273" s="24" t="str">
        <f t="shared" si="129"/>
        <v/>
      </c>
      <c r="BI1273" s="24" t="str">
        <f t="shared" si="133"/>
        <v/>
      </c>
      <c r="BJ1273" s="24">
        <f t="shared" si="130"/>
        <v>1</v>
      </c>
    </row>
    <row r="1274" spans="1:62" ht="15" customHeight="1" x14ac:dyDescent="0.25">
      <c r="A1274" t="str">
        <f>"1174768501"</f>
        <v>1174768501</v>
      </c>
      <c r="B1274" t="str">
        <f>"03501860"</f>
        <v>03501860</v>
      </c>
      <c r="C1274" t="s">
        <v>997</v>
      </c>
      <c r="D1274" t="s">
        <v>998</v>
      </c>
      <c r="E1274" t="s">
        <v>997</v>
      </c>
      <c r="L1274" t="s">
        <v>247</v>
      </c>
      <c r="M1274" t="s">
        <v>108</v>
      </c>
      <c r="R1274" t="s">
        <v>997</v>
      </c>
      <c r="W1274" t="s">
        <v>997</v>
      </c>
      <c r="X1274" t="s">
        <v>999</v>
      </c>
      <c r="Y1274" t="s">
        <v>110</v>
      </c>
      <c r="Z1274" t="s">
        <v>111</v>
      </c>
      <c r="AA1274" t="str">
        <f>"13903-1645"</f>
        <v>13903-1645</v>
      </c>
      <c r="AB1274" t="s">
        <v>1000</v>
      </c>
      <c r="AC1274" t="s">
        <v>113</v>
      </c>
      <c r="AD1274" t="s">
        <v>108</v>
      </c>
      <c r="AE1274" t="s">
        <v>114</v>
      </c>
      <c r="AF1274" t="s">
        <v>115</v>
      </c>
      <c r="AG1274" t="s">
        <v>116</v>
      </c>
      <c r="AK1274" t="str">
        <f t="shared" si="128"/>
        <v>SPENCER RYAN</v>
      </c>
      <c r="AL1274" t="s">
        <v>998</v>
      </c>
      <c r="AM1274" t="s">
        <v>108</v>
      </c>
      <c r="AN1274" t="s">
        <v>108</v>
      </c>
      <c r="AO1274" t="s">
        <v>108</v>
      </c>
      <c r="AP1274" t="s">
        <v>108</v>
      </c>
      <c r="AQ1274" t="s">
        <v>108</v>
      </c>
      <c r="AR1274" t="s">
        <v>108</v>
      </c>
      <c r="AS1274" t="s">
        <v>108</v>
      </c>
      <c r="AT1274" t="s">
        <v>108</v>
      </c>
      <c r="AU1274" t="s">
        <v>108</v>
      </c>
      <c r="AV1274" t="s">
        <v>108</v>
      </c>
      <c r="AW1274" t="s">
        <v>108</v>
      </c>
      <c r="AX1274" s="24" t="str">
        <f t="shared" si="132"/>
        <v/>
      </c>
      <c r="AY1274" s="24">
        <f t="shared" si="132"/>
        <v>1</v>
      </c>
      <c r="AZ1274" s="24" t="str">
        <f t="shared" si="133"/>
        <v/>
      </c>
      <c r="BA1274" s="24" t="str">
        <f t="shared" si="133"/>
        <v/>
      </c>
      <c r="BB1274" s="24" t="str">
        <f t="shared" si="133"/>
        <v/>
      </c>
      <c r="BC1274" s="24" t="str">
        <f t="shared" si="133"/>
        <v/>
      </c>
      <c r="BD1274" s="24" t="str">
        <f t="shared" si="133"/>
        <v/>
      </c>
      <c r="BE1274" s="24" t="str">
        <f t="shared" si="133"/>
        <v/>
      </c>
      <c r="BF1274" s="24" t="str">
        <f t="shared" si="133"/>
        <v/>
      </c>
      <c r="BG1274" s="24" t="str">
        <f t="shared" si="133"/>
        <v/>
      </c>
      <c r="BH1274" s="24" t="str">
        <f t="shared" si="129"/>
        <v/>
      </c>
      <c r="BI1274" s="24" t="str">
        <f t="shared" si="133"/>
        <v/>
      </c>
      <c r="BJ1274" s="24" t="str">
        <f t="shared" si="130"/>
        <v/>
      </c>
    </row>
    <row r="1275" spans="1:62" ht="15" customHeight="1" x14ac:dyDescent="0.25">
      <c r="A1275" t="str">
        <f>"1861475600"</f>
        <v>1861475600</v>
      </c>
      <c r="B1275" t="str">
        <f>"02328747"</f>
        <v>02328747</v>
      </c>
      <c r="C1275" t="s">
        <v>1001</v>
      </c>
      <c r="D1275" t="s">
        <v>1002</v>
      </c>
      <c r="E1275" t="s">
        <v>1003</v>
      </c>
      <c r="L1275" t="s">
        <v>442</v>
      </c>
      <c r="M1275" t="s">
        <v>139</v>
      </c>
      <c r="R1275" t="s">
        <v>1001</v>
      </c>
      <c r="W1275" t="s">
        <v>1003</v>
      </c>
      <c r="X1275" t="s">
        <v>366</v>
      </c>
      <c r="Y1275" t="s">
        <v>367</v>
      </c>
      <c r="Z1275" t="s">
        <v>111</v>
      </c>
      <c r="AA1275" t="str">
        <f>"13753-7407"</f>
        <v>13753-7407</v>
      </c>
      <c r="AB1275" t="s">
        <v>123</v>
      </c>
      <c r="AC1275" t="s">
        <v>113</v>
      </c>
      <c r="AD1275" t="s">
        <v>108</v>
      </c>
      <c r="AE1275" t="s">
        <v>114</v>
      </c>
      <c r="AF1275" t="s">
        <v>124</v>
      </c>
      <c r="AG1275" t="s">
        <v>116</v>
      </c>
      <c r="AK1275" t="str">
        <f t="shared" si="128"/>
        <v/>
      </c>
      <c r="AL1275" t="s">
        <v>1002</v>
      </c>
      <c r="AM1275">
        <v>0</v>
      </c>
      <c r="AN1275">
        <v>0</v>
      </c>
      <c r="AO1275">
        <v>0</v>
      </c>
      <c r="AP1275">
        <v>0</v>
      </c>
      <c r="AQ1275">
        <v>0</v>
      </c>
      <c r="AR1275">
        <v>0</v>
      </c>
      <c r="AS1275">
        <v>0</v>
      </c>
      <c r="AT1275">
        <v>0</v>
      </c>
      <c r="AU1275">
        <v>0</v>
      </c>
      <c r="AV1275">
        <v>0</v>
      </c>
      <c r="AW1275">
        <v>0</v>
      </c>
      <c r="AX1275" s="24">
        <f t="shared" si="132"/>
        <v>1</v>
      </c>
      <c r="AY1275" s="24" t="str">
        <f t="shared" si="132"/>
        <v/>
      </c>
      <c r="AZ1275" s="24" t="str">
        <f t="shared" si="133"/>
        <v/>
      </c>
      <c r="BA1275" s="24" t="str">
        <f t="shared" si="133"/>
        <v/>
      </c>
      <c r="BB1275" s="24" t="str">
        <f t="shared" si="133"/>
        <v/>
      </c>
      <c r="BC1275" s="24" t="str">
        <f t="shared" si="133"/>
        <v/>
      </c>
      <c r="BD1275" s="24" t="str">
        <f t="shared" si="133"/>
        <v/>
      </c>
      <c r="BE1275" s="24" t="str">
        <f t="shared" si="133"/>
        <v/>
      </c>
      <c r="BF1275" s="24" t="str">
        <f t="shared" si="133"/>
        <v/>
      </c>
      <c r="BG1275" s="24" t="str">
        <f t="shared" si="133"/>
        <v/>
      </c>
      <c r="BH1275" s="24" t="str">
        <f t="shared" si="129"/>
        <v/>
      </c>
      <c r="BI1275" s="24" t="str">
        <f t="shared" si="133"/>
        <v/>
      </c>
      <c r="BJ1275" s="24" t="str">
        <f t="shared" si="130"/>
        <v/>
      </c>
    </row>
    <row r="1276" spans="1:62" ht="15" customHeight="1" x14ac:dyDescent="0.25">
      <c r="A1276" t="str">
        <f>"1871568923"</f>
        <v>1871568923</v>
      </c>
      <c r="B1276" t="str">
        <f>"01264768"</f>
        <v>01264768</v>
      </c>
      <c r="C1276" t="s">
        <v>494</v>
      </c>
      <c r="D1276" t="s">
        <v>495</v>
      </c>
      <c r="E1276" t="s">
        <v>496</v>
      </c>
      <c r="G1276" t="s">
        <v>177</v>
      </c>
      <c r="H1276" t="s">
        <v>178</v>
      </c>
      <c r="J1276" t="s">
        <v>179</v>
      </c>
      <c r="L1276" t="s">
        <v>138</v>
      </c>
      <c r="M1276" t="s">
        <v>108</v>
      </c>
      <c r="R1276" t="s">
        <v>494</v>
      </c>
      <c r="W1276" t="s">
        <v>496</v>
      </c>
      <c r="X1276" t="s">
        <v>180</v>
      </c>
      <c r="Y1276" t="s">
        <v>181</v>
      </c>
      <c r="Z1276" t="s">
        <v>182</v>
      </c>
      <c r="AA1276" t="str">
        <f>"18840"</f>
        <v>18840</v>
      </c>
      <c r="AB1276" t="s">
        <v>123</v>
      </c>
      <c r="AC1276" t="s">
        <v>113</v>
      </c>
      <c r="AD1276" t="s">
        <v>108</v>
      </c>
      <c r="AE1276" t="s">
        <v>114</v>
      </c>
      <c r="AF1276" t="s">
        <v>115</v>
      </c>
      <c r="AG1276" t="s">
        <v>116</v>
      </c>
      <c r="AK1276" t="str">
        <f t="shared" si="128"/>
        <v/>
      </c>
      <c r="AL1276" t="s">
        <v>495</v>
      </c>
      <c r="AM1276">
        <v>1</v>
      </c>
      <c r="AN1276">
        <v>1</v>
      </c>
      <c r="AO1276">
        <v>0</v>
      </c>
      <c r="AP1276">
        <v>0</v>
      </c>
      <c r="AQ1276">
        <v>0</v>
      </c>
      <c r="AR1276">
        <v>0</v>
      </c>
      <c r="AS1276">
        <v>0</v>
      </c>
      <c r="AT1276">
        <v>0</v>
      </c>
      <c r="AU1276">
        <v>0</v>
      </c>
      <c r="AV1276">
        <v>1</v>
      </c>
      <c r="AW1276">
        <v>0</v>
      </c>
      <c r="AX1276" s="24" t="str">
        <f t="shared" si="132"/>
        <v/>
      </c>
      <c r="AY1276" s="24">
        <f t="shared" si="132"/>
        <v>1</v>
      </c>
      <c r="AZ1276" s="24" t="str">
        <f t="shared" si="133"/>
        <v/>
      </c>
      <c r="BA1276" s="24" t="str">
        <f t="shared" si="133"/>
        <v/>
      </c>
      <c r="BB1276" s="24" t="str">
        <f t="shared" si="133"/>
        <v/>
      </c>
      <c r="BC1276" s="24" t="str">
        <f t="shared" si="133"/>
        <v/>
      </c>
      <c r="BD1276" s="24" t="str">
        <f t="shared" si="133"/>
        <v/>
      </c>
      <c r="BE1276" s="24" t="str">
        <f t="shared" si="133"/>
        <v/>
      </c>
      <c r="BF1276" s="24" t="str">
        <f t="shared" si="133"/>
        <v/>
      </c>
      <c r="BG1276" s="24" t="str">
        <f t="shared" si="133"/>
        <v/>
      </c>
      <c r="BH1276" s="24" t="str">
        <f t="shared" si="129"/>
        <v/>
      </c>
      <c r="BI1276" s="24">
        <f t="shared" si="133"/>
        <v>1</v>
      </c>
      <c r="BJ1276" s="24" t="str">
        <f t="shared" si="130"/>
        <v/>
      </c>
    </row>
    <row r="1277" spans="1:62" x14ac:dyDescent="0.25">
      <c r="A1277" t="str">
        <f>"1902045008"</f>
        <v>1902045008</v>
      </c>
      <c r="B1277" t="str">
        <f>"03772167"</f>
        <v>03772167</v>
      </c>
      <c r="C1277" t="s">
        <v>4190</v>
      </c>
      <c r="D1277" t="s">
        <v>4191</v>
      </c>
      <c r="E1277" t="s">
        <v>4192</v>
      </c>
      <c r="F1277">
        <v>150539129</v>
      </c>
      <c r="G1277" t="s">
        <v>4193</v>
      </c>
      <c r="H1277" t="s">
        <v>4194</v>
      </c>
      <c r="I1277">
        <v>220</v>
      </c>
      <c r="J1277" t="s">
        <v>4195</v>
      </c>
      <c r="L1277" t="s">
        <v>13</v>
      </c>
      <c r="M1277" t="s">
        <v>139</v>
      </c>
      <c r="R1277" t="s">
        <v>4196</v>
      </c>
      <c r="W1277" t="s">
        <v>4192</v>
      </c>
      <c r="X1277" t="s">
        <v>2139</v>
      </c>
      <c r="Y1277" t="s">
        <v>122</v>
      </c>
      <c r="Z1277" t="s">
        <v>111</v>
      </c>
      <c r="AA1277" t="str">
        <f>"13815-1654"</f>
        <v>13815-1654</v>
      </c>
      <c r="AB1277" t="s">
        <v>385</v>
      </c>
      <c r="AC1277" t="s">
        <v>113</v>
      </c>
      <c r="AD1277" t="s">
        <v>108</v>
      </c>
      <c r="AE1277" t="s">
        <v>114</v>
      </c>
      <c r="AF1277" t="s">
        <v>124</v>
      </c>
      <c r="AG1277" t="s">
        <v>116</v>
      </c>
      <c r="AK1277" t="str">
        <f t="shared" si="128"/>
        <v/>
      </c>
      <c r="AL1277" t="s">
        <v>4191</v>
      </c>
      <c r="AM1277">
        <v>0</v>
      </c>
      <c r="AN1277">
        <v>0</v>
      </c>
      <c r="AO1277">
        <v>0</v>
      </c>
      <c r="AP1277">
        <v>0</v>
      </c>
      <c r="AQ1277">
        <v>0</v>
      </c>
      <c r="AR1277">
        <v>0</v>
      </c>
      <c r="AS1277">
        <v>0</v>
      </c>
      <c r="AT1277">
        <v>0</v>
      </c>
      <c r="AU1277">
        <v>0</v>
      </c>
      <c r="AV1277">
        <v>0</v>
      </c>
      <c r="AW1277">
        <v>0</v>
      </c>
      <c r="AX1277" s="24" t="str">
        <f t="shared" si="132"/>
        <v/>
      </c>
      <c r="AY1277" s="24" t="str">
        <f t="shared" si="132"/>
        <v/>
      </c>
      <c r="AZ1277" s="24" t="str">
        <f t="shared" si="133"/>
        <v/>
      </c>
      <c r="BA1277" s="24">
        <f t="shared" si="133"/>
        <v>1</v>
      </c>
      <c r="BB1277" s="24" t="str">
        <f t="shared" si="133"/>
        <v/>
      </c>
      <c r="BC1277" s="24" t="str">
        <f t="shared" si="133"/>
        <v/>
      </c>
      <c r="BD1277" s="24" t="str">
        <f t="shared" si="133"/>
        <v/>
      </c>
      <c r="BE1277" s="24" t="str">
        <f t="shared" si="133"/>
        <v/>
      </c>
      <c r="BF1277" s="24" t="str">
        <f t="shared" si="133"/>
        <v/>
      </c>
      <c r="BG1277" s="24" t="str">
        <f t="shared" si="133"/>
        <v/>
      </c>
      <c r="BH1277" s="24" t="str">
        <f t="shared" si="129"/>
        <v/>
      </c>
      <c r="BI1277" s="24" t="str">
        <f t="shared" si="133"/>
        <v/>
      </c>
      <c r="BJ1277" s="24" t="str">
        <f t="shared" si="130"/>
        <v/>
      </c>
    </row>
    <row r="1278" spans="1:62" ht="15" customHeight="1" x14ac:dyDescent="0.25">
      <c r="A1278" t="str">
        <f>"1851369607"</f>
        <v>1851369607</v>
      </c>
      <c r="B1278" t="str">
        <f>"00811743"</f>
        <v>00811743</v>
      </c>
      <c r="C1278" t="s">
        <v>4400</v>
      </c>
      <c r="D1278" t="s">
        <v>4401</v>
      </c>
      <c r="E1278" t="s">
        <v>4402</v>
      </c>
      <c r="G1278" t="s">
        <v>4400</v>
      </c>
      <c r="H1278" t="s">
        <v>403</v>
      </c>
      <c r="J1278" t="s">
        <v>4403</v>
      </c>
      <c r="L1278" t="s">
        <v>138</v>
      </c>
      <c r="M1278" t="s">
        <v>108</v>
      </c>
      <c r="R1278" t="s">
        <v>4404</v>
      </c>
      <c r="W1278" t="s">
        <v>4405</v>
      </c>
      <c r="X1278" t="s">
        <v>425</v>
      </c>
      <c r="Y1278" t="s">
        <v>110</v>
      </c>
      <c r="Z1278" t="s">
        <v>111</v>
      </c>
      <c r="AA1278" t="str">
        <f>"13903"</f>
        <v>13903</v>
      </c>
      <c r="AB1278" t="s">
        <v>123</v>
      </c>
      <c r="AC1278" t="s">
        <v>113</v>
      </c>
      <c r="AD1278" t="s">
        <v>108</v>
      </c>
      <c r="AE1278" t="s">
        <v>114</v>
      </c>
      <c r="AF1278" t="s">
        <v>115</v>
      </c>
      <c r="AG1278" t="s">
        <v>116</v>
      </c>
      <c r="AK1278" t="str">
        <f t="shared" si="128"/>
        <v/>
      </c>
      <c r="AL1278" t="s">
        <v>4401</v>
      </c>
      <c r="AM1278">
        <v>1</v>
      </c>
      <c r="AN1278">
        <v>1</v>
      </c>
      <c r="AO1278">
        <v>0</v>
      </c>
      <c r="AP1278">
        <v>1</v>
      </c>
      <c r="AQ1278">
        <v>1</v>
      </c>
      <c r="AR1278">
        <v>0</v>
      </c>
      <c r="AS1278">
        <v>0</v>
      </c>
      <c r="AT1278">
        <v>0</v>
      </c>
      <c r="AU1278">
        <v>0</v>
      </c>
      <c r="AV1278">
        <v>0</v>
      </c>
      <c r="AW1278">
        <v>0</v>
      </c>
      <c r="AX1278" s="24" t="str">
        <f t="shared" si="132"/>
        <v/>
      </c>
      <c r="AY1278" s="24">
        <f t="shared" si="132"/>
        <v>1</v>
      </c>
      <c r="AZ1278" s="24" t="str">
        <f t="shared" si="133"/>
        <v/>
      </c>
      <c r="BA1278" s="24" t="str">
        <f t="shared" si="133"/>
        <v/>
      </c>
      <c r="BB1278" s="24" t="str">
        <f t="shared" si="133"/>
        <v/>
      </c>
      <c r="BC1278" s="24" t="str">
        <f t="shared" si="133"/>
        <v/>
      </c>
      <c r="BD1278" s="24" t="str">
        <f t="shared" si="133"/>
        <v/>
      </c>
      <c r="BE1278" s="24" t="str">
        <f t="shared" si="133"/>
        <v/>
      </c>
      <c r="BF1278" s="24" t="str">
        <f t="shared" si="133"/>
        <v/>
      </c>
      <c r="BG1278" s="24" t="str">
        <f t="shared" si="133"/>
        <v/>
      </c>
      <c r="BH1278" s="24" t="str">
        <f t="shared" si="129"/>
        <v/>
      </c>
      <c r="BI1278" s="24">
        <f t="shared" si="133"/>
        <v>1</v>
      </c>
      <c r="BJ1278" s="24" t="str">
        <f t="shared" si="130"/>
        <v/>
      </c>
    </row>
    <row r="1279" spans="1:62" ht="15" customHeight="1" x14ac:dyDescent="0.25">
      <c r="A1279" t="str">
        <f>"1821316324"</f>
        <v>1821316324</v>
      </c>
      <c r="B1279" t="str">
        <f>"03428948"</f>
        <v>03428948</v>
      </c>
      <c r="C1279" t="s">
        <v>2322</v>
      </c>
      <c r="D1279" t="s">
        <v>2323</v>
      </c>
      <c r="E1279" t="s">
        <v>2324</v>
      </c>
      <c r="G1279" t="s">
        <v>2322</v>
      </c>
      <c r="H1279" t="s">
        <v>440</v>
      </c>
      <c r="J1279" t="s">
        <v>2325</v>
      </c>
      <c r="L1279" t="s">
        <v>6868</v>
      </c>
      <c r="M1279" t="s">
        <v>108</v>
      </c>
      <c r="R1279" t="s">
        <v>2326</v>
      </c>
      <c r="W1279" t="s">
        <v>2324</v>
      </c>
      <c r="X1279" t="s">
        <v>406</v>
      </c>
      <c r="Y1279" t="s">
        <v>129</v>
      </c>
      <c r="Z1279" t="s">
        <v>111</v>
      </c>
      <c r="AA1279" t="str">
        <f>"13790-2107"</f>
        <v>13790-2107</v>
      </c>
      <c r="AB1279" t="s">
        <v>123</v>
      </c>
      <c r="AC1279" t="s">
        <v>113</v>
      </c>
      <c r="AD1279" t="s">
        <v>108</v>
      </c>
      <c r="AE1279" t="s">
        <v>114</v>
      </c>
      <c r="AF1279" t="s">
        <v>115</v>
      </c>
      <c r="AG1279" t="s">
        <v>116</v>
      </c>
      <c r="AK1279" t="str">
        <f t="shared" si="128"/>
        <v/>
      </c>
      <c r="AL1279" t="s">
        <v>2323</v>
      </c>
      <c r="AM1279">
        <v>1</v>
      </c>
      <c r="AN1279">
        <v>1</v>
      </c>
      <c r="AO1279">
        <v>0</v>
      </c>
      <c r="AP1279">
        <v>1</v>
      </c>
      <c r="AQ1279">
        <v>1</v>
      </c>
      <c r="AR1279">
        <v>0</v>
      </c>
      <c r="AS1279">
        <v>0</v>
      </c>
      <c r="AT1279">
        <v>0</v>
      </c>
      <c r="AU1279">
        <v>0</v>
      </c>
      <c r="AV1279">
        <v>0</v>
      </c>
      <c r="AW1279">
        <v>0</v>
      </c>
      <c r="AX1279" s="24">
        <f t="shared" si="132"/>
        <v>1</v>
      </c>
      <c r="AY1279" s="24">
        <f t="shared" si="132"/>
        <v>1</v>
      </c>
      <c r="AZ1279" s="24" t="str">
        <f t="shared" si="133"/>
        <v/>
      </c>
      <c r="BA1279" s="24" t="str">
        <f t="shared" si="133"/>
        <v/>
      </c>
      <c r="BB1279" s="24" t="str">
        <f t="shared" si="133"/>
        <v/>
      </c>
      <c r="BC1279" s="24" t="str">
        <f t="shared" si="133"/>
        <v/>
      </c>
      <c r="BD1279" s="24" t="str">
        <f t="shared" si="133"/>
        <v/>
      </c>
      <c r="BE1279" s="24" t="str">
        <f t="shared" si="133"/>
        <v/>
      </c>
      <c r="BF1279" s="24" t="str">
        <f t="shared" si="133"/>
        <v/>
      </c>
      <c r="BG1279" s="24" t="str">
        <f t="shared" si="133"/>
        <v/>
      </c>
      <c r="BH1279" s="24" t="str">
        <f t="shared" si="129"/>
        <v/>
      </c>
      <c r="BI1279" s="24" t="str">
        <f t="shared" si="133"/>
        <v/>
      </c>
      <c r="BJ1279" s="24" t="str">
        <f t="shared" si="130"/>
        <v/>
      </c>
    </row>
    <row r="1280" spans="1:62" ht="15" customHeight="1" x14ac:dyDescent="0.25">
      <c r="A1280" t="str">
        <f>"1770576084"</f>
        <v>1770576084</v>
      </c>
      <c r="B1280" t="str">
        <f>"00435507"</f>
        <v>00435507</v>
      </c>
      <c r="C1280" t="s">
        <v>1493</v>
      </c>
      <c r="D1280" t="s">
        <v>1494</v>
      </c>
      <c r="E1280" t="s">
        <v>1495</v>
      </c>
      <c r="G1280" t="s">
        <v>1493</v>
      </c>
      <c r="H1280" t="s">
        <v>395</v>
      </c>
      <c r="J1280" t="s">
        <v>1496</v>
      </c>
      <c r="L1280" t="s">
        <v>120</v>
      </c>
      <c r="M1280" t="s">
        <v>139</v>
      </c>
      <c r="R1280" t="s">
        <v>1497</v>
      </c>
      <c r="W1280" t="s">
        <v>1495</v>
      </c>
      <c r="X1280" t="s">
        <v>1498</v>
      </c>
      <c r="Y1280" t="s">
        <v>129</v>
      </c>
      <c r="Z1280" t="s">
        <v>111</v>
      </c>
      <c r="AA1280" t="str">
        <f>"13790"</f>
        <v>13790</v>
      </c>
      <c r="AB1280" t="s">
        <v>123</v>
      </c>
      <c r="AC1280" t="s">
        <v>113</v>
      </c>
      <c r="AD1280" t="s">
        <v>108</v>
      </c>
      <c r="AE1280" t="s">
        <v>114</v>
      </c>
      <c r="AF1280" t="s">
        <v>115</v>
      </c>
      <c r="AG1280" t="s">
        <v>116</v>
      </c>
      <c r="AK1280" t="str">
        <f t="shared" si="128"/>
        <v/>
      </c>
      <c r="AL1280" t="s">
        <v>1494</v>
      </c>
      <c r="AM1280">
        <v>1</v>
      </c>
      <c r="AN1280">
        <v>1</v>
      </c>
      <c r="AO1280">
        <v>0</v>
      </c>
      <c r="AP1280">
        <v>1</v>
      </c>
      <c r="AQ1280">
        <v>1</v>
      </c>
      <c r="AR1280">
        <v>0</v>
      </c>
      <c r="AS1280">
        <v>0</v>
      </c>
      <c r="AT1280">
        <v>0</v>
      </c>
      <c r="AU1280">
        <v>0</v>
      </c>
      <c r="AV1280">
        <v>0</v>
      </c>
      <c r="AW1280">
        <v>0</v>
      </c>
      <c r="AX1280" s="24">
        <f t="shared" si="132"/>
        <v>1</v>
      </c>
      <c r="AY1280" s="24" t="str">
        <f t="shared" si="132"/>
        <v/>
      </c>
      <c r="AZ1280" s="24" t="str">
        <f t="shared" si="133"/>
        <v/>
      </c>
      <c r="BA1280" s="24" t="str">
        <f t="shared" si="133"/>
        <v/>
      </c>
      <c r="BB1280" s="24" t="str">
        <f t="shared" si="133"/>
        <v/>
      </c>
      <c r="BC1280" s="24" t="str">
        <f t="shared" si="133"/>
        <v/>
      </c>
      <c r="BD1280" s="24" t="str">
        <f t="shared" si="133"/>
        <v/>
      </c>
      <c r="BE1280" s="24" t="str">
        <f t="shared" si="133"/>
        <v/>
      </c>
      <c r="BF1280" s="24" t="str">
        <f t="shared" si="133"/>
        <v/>
      </c>
      <c r="BG1280" s="24" t="str">
        <f t="shared" si="133"/>
        <v/>
      </c>
      <c r="BH1280" s="24" t="str">
        <f t="shared" si="129"/>
        <v/>
      </c>
      <c r="BI1280" s="24">
        <f t="shared" si="133"/>
        <v>1</v>
      </c>
      <c r="BJ1280" s="24" t="str">
        <f t="shared" si="130"/>
        <v/>
      </c>
    </row>
    <row r="1281" spans="1:62" ht="15" customHeight="1" x14ac:dyDescent="0.25">
      <c r="A1281" t="str">
        <f>"1164568176"</f>
        <v>1164568176</v>
      </c>
      <c r="B1281" t="str">
        <f>"02371180"</f>
        <v>02371180</v>
      </c>
      <c r="C1281" t="s">
        <v>2985</v>
      </c>
      <c r="D1281" t="s">
        <v>2986</v>
      </c>
      <c r="E1281" t="s">
        <v>2987</v>
      </c>
      <c r="G1281" t="s">
        <v>2985</v>
      </c>
      <c r="H1281" t="s">
        <v>2988</v>
      </c>
      <c r="J1281" t="s">
        <v>2989</v>
      </c>
      <c r="L1281" t="s">
        <v>247</v>
      </c>
      <c r="M1281" t="s">
        <v>108</v>
      </c>
      <c r="R1281" t="s">
        <v>2990</v>
      </c>
      <c r="W1281" t="s">
        <v>2987</v>
      </c>
      <c r="X1281" t="s">
        <v>302</v>
      </c>
      <c r="Y1281" t="s">
        <v>293</v>
      </c>
      <c r="Z1281" t="s">
        <v>111</v>
      </c>
      <c r="AA1281" t="str">
        <f>"14850-1342"</f>
        <v>14850-1342</v>
      </c>
      <c r="AB1281" t="s">
        <v>123</v>
      </c>
      <c r="AC1281" t="s">
        <v>113</v>
      </c>
      <c r="AD1281" t="s">
        <v>108</v>
      </c>
      <c r="AE1281" t="s">
        <v>114</v>
      </c>
      <c r="AF1281" t="s">
        <v>142</v>
      </c>
      <c r="AG1281" t="s">
        <v>116</v>
      </c>
      <c r="AK1281" t="str">
        <f t="shared" si="128"/>
        <v/>
      </c>
      <c r="AL1281" t="s">
        <v>2986</v>
      </c>
      <c r="AM1281">
        <v>1</v>
      </c>
      <c r="AN1281">
        <v>1</v>
      </c>
      <c r="AO1281">
        <v>0</v>
      </c>
      <c r="AP1281">
        <v>0</v>
      </c>
      <c r="AQ1281">
        <v>0</v>
      </c>
      <c r="AR1281">
        <v>0</v>
      </c>
      <c r="AS1281">
        <v>0</v>
      </c>
      <c r="AT1281">
        <v>0</v>
      </c>
      <c r="AU1281">
        <v>0</v>
      </c>
      <c r="AV1281">
        <v>0</v>
      </c>
      <c r="AW1281">
        <v>0</v>
      </c>
      <c r="AX1281" s="24" t="str">
        <f t="shared" si="132"/>
        <v/>
      </c>
      <c r="AY1281" s="24">
        <f t="shared" si="132"/>
        <v>1</v>
      </c>
      <c r="AZ1281" s="24" t="str">
        <f t="shared" si="133"/>
        <v/>
      </c>
      <c r="BA1281" s="24" t="str">
        <f t="shared" si="133"/>
        <v/>
      </c>
      <c r="BB1281" s="24" t="str">
        <f t="shared" si="133"/>
        <v/>
      </c>
      <c r="BC1281" s="24" t="str">
        <f t="shared" si="133"/>
        <v/>
      </c>
      <c r="BD1281" s="24" t="str">
        <f t="shared" si="133"/>
        <v/>
      </c>
      <c r="BE1281" s="24" t="str">
        <f t="shared" si="133"/>
        <v/>
      </c>
      <c r="BF1281" s="24" t="str">
        <f t="shared" si="133"/>
        <v/>
      </c>
      <c r="BG1281" s="24" t="str">
        <f t="shared" si="133"/>
        <v/>
      </c>
      <c r="BH1281" s="24" t="str">
        <f t="shared" si="129"/>
        <v/>
      </c>
      <c r="BI1281" s="24" t="str">
        <f t="shared" si="133"/>
        <v/>
      </c>
      <c r="BJ1281" s="24" t="str">
        <f t="shared" si="130"/>
        <v/>
      </c>
    </row>
    <row r="1282" spans="1:62" ht="15" customHeight="1" x14ac:dyDescent="0.25">
      <c r="A1282" t="str">
        <f>"1396710893"</f>
        <v>1396710893</v>
      </c>
      <c r="B1282" t="str">
        <f>"02238397"</f>
        <v>02238397</v>
      </c>
      <c r="C1282" t="s">
        <v>2250</v>
      </c>
      <c r="D1282" t="s">
        <v>2251</v>
      </c>
      <c r="E1282" t="s">
        <v>2252</v>
      </c>
      <c r="G1282" t="s">
        <v>177</v>
      </c>
      <c r="H1282" t="s">
        <v>178</v>
      </c>
      <c r="J1282" t="s">
        <v>179</v>
      </c>
      <c r="L1282" t="s">
        <v>138</v>
      </c>
      <c r="M1282" t="s">
        <v>108</v>
      </c>
      <c r="R1282" t="s">
        <v>2250</v>
      </c>
      <c r="W1282" t="s">
        <v>2252</v>
      </c>
      <c r="X1282" t="s">
        <v>740</v>
      </c>
      <c r="Y1282" t="s">
        <v>181</v>
      </c>
      <c r="Z1282" t="s">
        <v>182</v>
      </c>
      <c r="AA1282" t="str">
        <f>"18840"</f>
        <v>18840</v>
      </c>
      <c r="AB1282" t="s">
        <v>123</v>
      </c>
      <c r="AC1282" t="s">
        <v>113</v>
      </c>
      <c r="AD1282" t="s">
        <v>108</v>
      </c>
      <c r="AE1282" t="s">
        <v>114</v>
      </c>
      <c r="AF1282" t="s">
        <v>115</v>
      </c>
      <c r="AG1282" t="s">
        <v>116</v>
      </c>
      <c r="AK1282" t="str">
        <f t="shared" ref="AK1282:AK1345" si="134">IF(AM1282="No",C1282,"")</f>
        <v/>
      </c>
      <c r="AL1282" t="s">
        <v>2251</v>
      </c>
      <c r="AM1282">
        <v>1</v>
      </c>
      <c r="AN1282">
        <v>1</v>
      </c>
      <c r="AO1282">
        <v>0</v>
      </c>
      <c r="AP1282">
        <v>0</v>
      </c>
      <c r="AQ1282">
        <v>0</v>
      </c>
      <c r="AR1282">
        <v>0</v>
      </c>
      <c r="AS1282">
        <v>0</v>
      </c>
      <c r="AT1282">
        <v>0</v>
      </c>
      <c r="AU1282">
        <v>0</v>
      </c>
      <c r="AV1282">
        <v>1</v>
      </c>
      <c r="AW1282">
        <v>0</v>
      </c>
      <c r="AX1282" s="24" t="str">
        <f t="shared" si="132"/>
        <v/>
      </c>
      <c r="AY1282" s="24">
        <f t="shared" si="132"/>
        <v>1</v>
      </c>
      <c r="AZ1282" s="24" t="str">
        <f t="shared" si="133"/>
        <v/>
      </c>
      <c r="BA1282" s="24" t="str">
        <f t="shared" si="133"/>
        <v/>
      </c>
      <c r="BB1282" s="24" t="str">
        <f t="shared" si="133"/>
        <v/>
      </c>
      <c r="BC1282" s="24" t="str">
        <f t="shared" si="133"/>
        <v/>
      </c>
      <c r="BD1282" s="24" t="str">
        <f t="shared" si="133"/>
        <v/>
      </c>
      <c r="BE1282" s="24" t="str">
        <f t="shared" si="133"/>
        <v/>
      </c>
      <c r="BF1282" s="24" t="str">
        <f t="shared" si="133"/>
        <v/>
      </c>
      <c r="BG1282" s="24" t="str">
        <f t="shared" si="133"/>
        <v/>
      </c>
      <c r="BH1282" s="24" t="str">
        <f t="shared" si="129"/>
        <v/>
      </c>
      <c r="BI1282" s="24">
        <f t="shared" si="133"/>
        <v>1</v>
      </c>
      <c r="BJ1282" s="24" t="str">
        <f t="shared" si="130"/>
        <v/>
      </c>
    </row>
    <row r="1283" spans="1:62" ht="15" customHeight="1" x14ac:dyDescent="0.25">
      <c r="A1283" t="str">
        <f>"1245386317"</f>
        <v>1245386317</v>
      </c>
      <c r="B1283" t="str">
        <f>"03018146"</f>
        <v>03018146</v>
      </c>
      <c r="C1283" t="s">
        <v>1004</v>
      </c>
      <c r="D1283" t="s">
        <v>1005</v>
      </c>
      <c r="E1283" t="s">
        <v>1006</v>
      </c>
      <c r="L1283" t="s">
        <v>120</v>
      </c>
      <c r="M1283" t="s">
        <v>139</v>
      </c>
      <c r="R1283" t="s">
        <v>1007</v>
      </c>
      <c r="W1283" t="s">
        <v>1008</v>
      </c>
      <c r="X1283" t="s">
        <v>1009</v>
      </c>
      <c r="Y1283" t="s">
        <v>110</v>
      </c>
      <c r="Z1283" t="s">
        <v>111</v>
      </c>
      <c r="AA1283" t="str">
        <f>"13903-1617"</f>
        <v>13903-1617</v>
      </c>
      <c r="AB1283" t="s">
        <v>123</v>
      </c>
      <c r="AC1283" t="s">
        <v>113</v>
      </c>
      <c r="AD1283" t="s">
        <v>108</v>
      </c>
      <c r="AE1283" t="s">
        <v>114</v>
      </c>
      <c r="AF1283" t="s">
        <v>115</v>
      </c>
      <c r="AG1283" t="s">
        <v>116</v>
      </c>
      <c r="AK1283" t="str">
        <f t="shared" si="134"/>
        <v/>
      </c>
      <c r="AL1283" t="s">
        <v>1005</v>
      </c>
      <c r="AM1283">
        <v>0</v>
      </c>
      <c r="AN1283">
        <v>0</v>
      </c>
      <c r="AO1283">
        <v>0</v>
      </c>
      <c r="AP1283">
        <v>0</v>
      </c>
      <c r="AQ1283">
        <v>0</v>
      </c>
      <c r="AR1283">
        <v>0</v>
      </c>
      <c r="AS1283">
        <v>0</v>
      </c>
      <c r="AT1283">
        <v>0</v>
      </c>
      <c r="AU1283">
        <v>0</v>
      </c>
      <c r="AV1283">
        <v>0</v>
      </c>
      <c r="AW1283">
        <v>0</v>
      </c>
      <c r="AX1283" s="24">
        <f t="shared" si="132"/>
        <v>1</v>
      </c>
      <c r="AY1283" s="24" t="str">
        <f t="shared" si="132"/>
        <v/>
      </c>
      <c r="AZ1283" s="24" t="str">
        <f t="shared" si="133"/>
        <v/>
      </c>
      <c r="BA1283" s="24" t="str">
        <f t="shared" si="133"/>
        <v/>
      </c>
      <c r="BB1283" s="24" t="str">
        <f t="shared" si="133"/>
        <v/>
      </c>
      <c r="BC1283" s="24" t="str">
        <f t="shared" si="133"/>
        <v/>
      </c>
      <c r="BD1283" s="24" t="str">
        <f t="shared" si="133"/>
        <v/>
      </c>
      <c r="BE1283" s="24" t="str">
        <f t="shared" si="133"/>
        <v/>
      </c>
      <c r="BF1283" s="24" t="str">
        <f t="shared" si="133"/>
        <v/>
      </c>
      <c r="BG1283" s="24" t="str">
        <f t="shared" si="133"/>
        <v/>
      </c>
      <c r="BH1283" s="24" t="str">
        <f t="shared" ref="BH1283:BH1346" si="135">IF(ISERROR(FIND("CBO",$L1283,1)),"",1)</f>
        <v/>
      </c>
      <c r="BI1283" s="24">
        <f t="shared" si="133"/>
        <v>1</v>
      </c>
      <c r="BJ1283" s="24" t="str">
        <f t="shared" si="130"/>
        <v/>
      </c>
    </row>
    <row r="1284" spans="1:62" ht="15" customHeight="1" x14ac:dyDescent="0.25">
      <c r="A1284" t="str">
        <f>"1982998795"</f>
        <v>1982998795</v>
      </c>
      <c r="C1284" t="s">
        <v>1104</v>
      </c>
      <c r="G1284" t="s">
        <v>1105</v>
      </c>
      <c r="H1284" t="s">
        <v>1106</v>
      </c>
      <c r="J1284" t="s">
        <v>1107</v>
      </c>
      <c r="K1284" t="s">
        <v>1108</v>
      </c>
      <c r="L1284" t="s">
        <v>133</v>
      </c>
      <c r="M1284" t="s">
        <v>108</v>
      </c>
      <c r="R1284" t="s">
        <v>1104</v>
      </c>
      <c r="S1284" t="s">
        <v>1109</v>
      </c>
      <c r="T1284" t="s">
        <v>1110</v>
      </c>
      <c r="U1284" t="s">
        <v>111</v>
      </c>
      <c r="V1284" t="str">
        <f>"12167"</f>
        <v>12167</v>
      </c>
      <c r="AC1284" t="s">
        <v>113</v>
      </c>
      <c r="AD1284" t="s">
        <v>108</v>
      </c>
      <c r="AE1284" t="s">
        <v>775</v>
      </c>
      <c r="AF1284" t="s">
        <v>124</v>
      </c>
      <c r="AG1284" t="s">
        <v>116</v>
      </c>
      <c r="AK1284" t="str">
        <f t="shared" si="134"/>
        <v>STAMFORD HEALTH CARE SOCIETY</v>
      </c>
      <c r="AM1284" t="s">
        <v>108</v>
      </c>
      <c r="AN1284" t="s">
        <v>108</v>
      </c>
      <c r="AO1284" t="s">
        <v>108</v>
      </c>
      <c r="AP1284" t="s">
        <v>108</v>
      </c>
      <c r="AQ1284" t="s">
        <v>108</v>
      </c>
      <c r="AR1284" t="s">
        <v>108</v>
      </c>
      <c r="AS1284" t="s">
        <v>108</v>
      </c>
      <c r="AT1284" t="s">
        <v>108</v>
      </c>
      <c r="AU1284" t="s">
        <v>108</v>
      </c>
      <c r="AV1284" t="s">
        <v>108</v>
      </c>
      <c r="AW1284" t="s">
        <v>108</v>
      </c>
      <c r="AX1284" s="24" t="str">
        <f t="shared" si="132"/>
        <v/>
      </c>
      <c r="AY1284" s="24" t="str">
        <f t="shared" si="132"/>
        <v/>
      </c>
      <c r="AZ1284" s="24" t="str">
        <f t="shared" si="133"/>
        <v/>
      </c>
      <c r="BA1284" s="24" t="str">
        <f t="shared" si="133"/>
        <v/>
      </c>
      <c r="BB1284" s="24" t="str">
        <f t="shared" si="133"/>
        <v/>
      </c>
      <c r="BC1284" s="24" t="str">
        <f t="shared" si="133"/>
        <v/>
      </c>
      <c r="BD1284" s="24" t="str">
        <f t="shared" si="133"/>
        <v/>
      </c>
      <c r="BE1284" s="24" t="str">
        <f t="shared" si="133"/>
        <v/>
      </c>
      <c r="BF1284" s="24" t="str">
        <f t="shared" si="133"/>
        <v/>
      </c>
      <c r="BG1284" s="24" t="str">
        <f t="shared" si="133"/>
        <v/>
      </c>
      <c r="BH1284" s="24" t="str">
        <f t="shared" si="135"/>
        <v/>
      </c>
      <c r="BI1284" s="24" t="str">
        <f t="shared" si="133"/>
        <v/>
      </c>
      <c r="BJ1284" s="24">
        <f t="shared" si="130"/>
        <v>1</v>
      </c>
    </row>
    <row r="1285" spans="1:62" ht="15" customHeight="1" x14ac:dyDescent="0.25">
      <c r="A1285" t="str">
        <f>"1336134287"</f>
        <v>1336134287</v>
      </c>
      <c r="B1285" t="str">
        <f>"00391731"</f>
        <v>00391731</v>
      </c>
      <c r="C1285" t="s">
        <v>6289</v>
      </c>
      <c r="D1285" t="s">
        <v>6290</v>
      </c>
      <c r="E1285" t="s">
        <v>6291</v>
      </c>
      <c r="G1285" t="s">
        <v>1105</v>
      </c>
      <c r="H1285" t="s">
        <v>1106</v>
      </c>
      <c r="J1285" t="s">
        <v>1107</v>
      </c>
      <c r="L1285" t="s">
        <v>1382</v>
      </c>
      <c r="M1285" t="s">
        <v>139</v>
      </c>
      <c r="R1285" t="s">
        <v>6289</v>
      </c>
      <c r="W1285" t="s">
        <v>6292</v>
      </c>
      <c r="X1285" t="s">
        <v>6293</v>
      </c>
      <c r="Y1285" t="s">
        <v>1110</v>
      </c>
      <c r="Z1285" t="s">
        <v>111</v>
      </c>
      <c r="AA1285" t="str">
        <f>"12167-1712"</f>
        <v>12167-1712</v>
      </c>
      <c r="AB1285" t="s">
        <v>303</v>
      </c>
      <c r="AC1285" t="s">
        <v>113</v>
      </c>
      <c r="AD1285" t="s">
        <v>108</v>
      </c>
      <c r="AE1285" t="s">
        <v>114</v>
      </c>
      <c r="AF1285" t="s">
        <v>124</v>
      </c>
      <c r="AG1285" t="s">
        <v>116</v>
      </c>
      <c r="AK1285" t="str">
        <f t="shared" si="134"/>
        <v>STAMFORD HEALTH CARE SOCIETY, INC.</v>
      </c>
      <c r="AL1285" t="s">
        <v>6290</v>
      </c>
      <c r="AM1285" t="s">
        <v>108</v>
      </c>
      <c r="AN1285" t="s">
        <v>108</v>
      </c>
      <c r="AO1285" t="s">
        <v>108</v>
      </c>
      <c r="AP1285" t="s">
        <v>108</v>
      </c>
      <c r="AQ1285" t="s">
        <v>108</v>
      </c>
      <c r="AR1285" t="s">
        <v>108</v>
      </c>
      <c r="AS1285" t="s">
        <v>108</v>
      </c>
      <c r="AT1285" t="s">
        <v>108</v>
      </c>
      <c r="AU1285" t="s">
        <v>108</v>
      </c>
      <c r="AV1285" t="s">
        <v>108</v>
      </c>
      <c r="AW1285" t="s">
        <v>108</v>
      </c>
      <c r="AX1285" s="24" t="str">
        <f t="shared" si="132"/>
        <v/>
      </c>
      <c r="AY1285" s="24" t="str">
        <f t="shared" si="132"/>
        <v/>
      </c>
      <c r="AZ1285" s="24" t="str">
        <f t="shared" si="133"/>
        <v/>
      </c>
      <c r="BA1285" s="24" t="str">
        <f t="shared" si="133"/>
        <v/>
      </c>
      <c r="BB1285" s="24" t="str">
        <f t="shared" si="133"/>
        <v/>
      </c>
      <c r="BC1285" s="24" t="str">
        <f t="shared" si="133"/>
        <v/>
      </c>
      <c r="BD1285" s="24" t="str">
        <f t="shared" si="133"/>
        <v/>
      </c>
      <c r="BE1285" s="24">
        <f t="shared" si="133"/>
        <v>1</v>
      </c>
      <c r="BF1285" s="24" t="str">
        <f t="shared" si="133"/>
        <v/>
      </c>
      <c r="BG1285" s="24" t="str">
        <f t="shared" si="133"/>
        <v/>
      </c>
      <c r="BH1285" s="24" t="str">
        <f t="shared" si="135"/>
        <v/>
      </c>
      <c r="BI1285" s="24">
        <f t="shared" si="133"/>
        <v>1</v>
      </c>
      <c r="BJ1285" s="24" t="str">
        <f t="shared" si="130"/>
        <v/>
      </c>
    </row>
    <row r="1286" spans="1:62" ht="15" customHeight="1" x14ac:dyDescent="0.25">
      <c r="A1286" t="str">
        <f>"1801897921"</f>
        <v>1801897921</v>
      </c>
      <c r="B1286" t="str">
        <f>"01831209"</f>
        <v>01831209</v>
      </c>
      <c r="C1286" t="s">
        <v>343</v>
      </c>
      <c r="D1286" t="s">
        <v>344</v>
      </c>
      <c r="E1286" t="s">
        <v>345</v>
      </c>
      <c r="G1286" t="s">
        <v>343</v>
      </c>
      <c r="H1286" t="s">
        <v>331</v>
      </c>
      <c r="J1286" t="s">
        <v>346</v>
      </c>
      <c r="L1286" t="s">
        <v>120</v>
      </c>
      <c r="M1286" t="s">
        <v>108</v>
      </c>
      <c r="R1286" t="s">
        <v>347</v>
      </c>
      <c r="W1286" t="s">
        <v>348</v>
      </c>
      <c r="X1286" t="s">
        <v>349</v>
      </c>
      <c r="Y1286" t="s">
        <v>335</v>
      </c>
      <c r="Z1286" t="s">
        <v>111</v>
      </c>
      <c r="AA1286" t="str">
        <f>"13820-0001"</f>
        <v>13820-0001</v>
      </c>
      <c r="AB1286" t="s">
        <v>123</v>
      </c>
      <c r="AC1286" t="s">
        <v>113</v>
      </c>
      <c r="AD1286" t="s">
        <v>108</v>
      </c>
      <c r="AE1286" t="s">
        <v>114</v>
      </c>
      <c r="AF1286" t="s">
        <v>124</v>
      </c>
      <c r="AG1286" t="s">
        <v>116</v>
      </c>
      <c r="AK1286" t="str">
        <f t="shared" si="134"/>
        <v/>
      </c>
      <c r="AL1286" t="s">
        <v>344</v>
      </c>
      <c r="AM1286">
        <v>1</v>
      </c>
      <c r="AN1286">
        <v>1</v>
      </c>
      <c r="AO1286">
        <v>0</v>
      </c>
      <c r="AP1286">
        <v>1</v>
      </c>
      <c r="AQ1286">
        <v>1</v>
      </c>
      <c r="AR1286">
        <v>0</v>
      </c>
      <c r="AS1286">
        <v>0</v>
      </c>
      <c r="AT1286">
        <v>0</v>
      </c>
      <c r="AU1286">
        <v>0</v>
      </c>
      <c r="AV1286">
        <v>0</v>
      </c>
      <c r="AW1286">
        <v>0</v>
      </c>
      <c r="AX1286" s="24">
        <f t="shared" si="132"/>
        <v>1</v>
      </c>
      <c r="AY1286" s="24" t="str">
        <f t="shared" si="132"/>
        <v/>
      </c>
      <c r="AZ1286" s="24" t="str">
        <f t="shared" si="133"/>
        <v/>
      </c>
      <c r="BA1286" s="24" t="str">
        <f t="shared" si="133"/>
        <v/>
      </c>
      <c r="BB1286" s="24" t="str">
        <f t="shared" si="133"/>
        <v/>
      </c>
      <c r="BC1286" s="24" t="str">
        <f t="shared" si="133"/>
        <v/>
      </c>
      <c r="BD1286" s="24" t="str">
        <f t="shared" si="133"/>
        <v/>
      </c>
      <c r="BE1286" s="24" t="str">
        <f t="shared" si="133"/>
        <v/>
      </c>
      <c r="BF1286" s="24" t="str">
        <f t="shared" si="133"/>
        <v/>
      </c>
      <c r="BG1286" s="24" t="str">
        <f t="shared" si="133"/>
        <v/>
      </c>
      <c r="BH1286" s="24" t="str">
        <f t="shared" si="135"/>
        <v/>
      </c>
      <c r="BI1286" s="24">
        <f t="shared" si="133"/>
        <v>1</v>
      </c>
      <c r="BJ1286" s="24" t="str">
        <f t="shared" si="130"/>
        <v/>
      </c>
    </row>
    <row r="1287" spans="1:62" ht="15" customHeight="1" x14ac:dyDescent="0.25">
      <c r="A1287" t="str">
        <f>"1629043831"</f>
        <v>1629043831</v>
      </c>
      <c r="B1287" t="str">
        <f>"02189504"</f>
        <v>02189504</v>
      </c>
      <c r="C1287" t="s">
        <v>2237</v>
      </c>
      <c r="D1287" t="s">
        <v>2238</v>
      </c>
      <c r="E1287" t="s">
        <v>2239</v>
      </c>
      <c r="G1287" t="s">
        <v>177</v>
      </c>
      <c r="H1287" t="s">
        <v>178</v>
      </c>
      <c r="J1287" t="s">
        <v>179</v>
      </c>
      <c r="L1287" t="s">
        <v>138</v>
      </c>
      <c r="M1287" t="s">
        <v>108</v>
      </c>
      <c r="R1287" t="s">
        <v>2237</v>
      </c>
      <c r="W1287" t="s">
        <v>2239</v>
      </c>
      <c r="X1287" t="s">
        <v>186</v>
      </c>
      <c r="Y1287" t="s">
        <v>181</v>
      </c>
      <c r="Z1287" t="s">
        <v>182</v>
      </c>
      <c r="AA1287" t="str">
        <f>"18840"</f>
        <v>18840</v>
      </c>
      <c r="AB1287" t="s">
        <v>123</v>
      </c>
      <c r="AC1287" t="s">
        <v>113</v>
      </c>
      <c r="AD1287" t="s">
        <v>108</v>
      </c>
      <c r="AE1287" t="s">
        <v>114</v>
      </c>
      <c r="AF1287" t="s">
        <v>115</v>
      </c>
      <c r="AG1287" t="s">
        <v>116</v>
      </c>
      <c r="AK1287" t="str">
        <f t="shared" si="134"/>
        <v/>
      </c>
      <c r="AL1287" t="s">
        <v>2238</v>
      </c>
      <c r="AM1287">
        <v>0</v>
      </c>
      <c r="AN1287">
        <v>0</v>
      </c>
      <c r="AO1287">
        <v>0</v>
      </c>
      <c r="AP1287">
        <v>0</v>
      </c>
      <c r="AQ1287">
        <v>0</v>
      </c>
      <c r="AR1287">
        <v>0</v>
      </c>
      <c r="AS1287">
        <v>0</v>
      </c>
      <c r="AT1287">
        <v>0</v>
      </c>
      <c r="AU1287">
        <v>0</v>
      </c>
      <c r="AV1287">
        <v>0</v>
      </c>
      <c r="AW1287">
        <v>0</v>
      </c>
      <c r="AX1287" s="24" t="str">
        <f t="shared" si="132"/>
        <v/>
      </c>
      <c r="AY1287" s="24">
        <f t="shared" si="132"/>
        <v>1</v>
      </c>
      <c r="AZ1287" s="24" t="str">
        <f t="shared" si="133"/>
        <v/>
      </c>
      <c r="BA1287" s="24" t="str">
        <f t="shared" si="133"/>
        <v/>
      </c>
      <c r="BB1287" s="24" t="str">
        <f t="shared" si="133"/>
        <v/>
      </c>
      <c r="BC1287" s="24" t="str">
        <f t="shared" si="133"/>
        <v/>
      </c>
      <c r="BD1287" s="24" t="str">
        <f t="shared" si="133"/>
        <v/>
      </c>
      <c r="BE1287" s="24" t="str">
        <f t="shared" si="133"/>
        <v/>
      </c>
      <c r="BF1287" s="24" t="str">
        <f t="shared" si="133"/>
        <v/>
      </c>
      <c r="BG1287" s="24" t="str">
        <f t="shared" si="133"/>
        <v/>
      </c>
      <c r="BH1287" s="24" t="str">
        <f t="shared" si="135"/>
        <v/>
      </c>
      <c r="BI1287" s="24">
        <f t="shared" si="133"/>
        <v>1</v>
      </c>
      <c r="BJ1287" s="24" t="str">
        <f t="shared" si="130"/>
        <v/>
      </c>
    </row>
    <row r="1288" spans="1:62" ht="15" customHeight="1" x14ac:dyDescent="0.25">
      <c r="A1288" t="str">
        <f>"1518904614"</f>
        <v>1518904614</v>
      </c>
      <c r="B1288" t="str">
        <f>"02328765"</f>
        <v>02328765</v>
      </c>
      <c r="C1288" t="s">
        <v>1010</v>
      </c>
      <c r="D1288" t="s">
        <v>1011</v>
      </c>
      <c r="E1288" t="s">
        <v>1012</v>
      </c>
      <c r="L1288" t="s">
        <v>6869</v>
      </c>
      <c r="M1288" t="s">
        <v>139</v>
      </c>
      <c r="R1288" t="s">
        <v>1010</v>
      </c>
      <c r="W1288" t="s">
        <v>1013</v>
      </c>
      <c r="X1288" t="s">
        <v>1009</v>
      </c>
      <c r="Y1288" t="s">
        <v>110</v>
      </c>
      <c r="Z1288" t="s">
        <v>111</v>
      </c>
      <c r="AA1288" t="str">
        <f>"13903-1617"</f>
        <v>13903-1617</v>
      </c>
      <c r="AB1288" t="s">
        <v>123</v>
      </c>
      <c r="AC1288" t="s">
        <v>113</v>
      </c>
      <c r="AD1288" t="s">
        <v>108</v>
      </c>
      <c r="AE1288" t="s">
        <v>114</v>
      </c>
      <c r="AF1288" t="s">
        <v>115</v>
      </c>
      <c r="AG1288" t="s">
        <v>116</v>
      </c>
      <c r="AK1288" t="str">
        <f t="shared" si="134"/>
        <v/>
      </c>
      <c r="AL1288" t="s">
        <v>1011</v>
      </c>
      <c r="AM1288">
        <v>0</v>
      </c>
      <c r="AN1288">
        <v>0</v>
      </c>
      <c r="AO1288">
        <v>0</v>
      </c>
      <c r="AP1288">
        <v>0</v>
      </c>
      <c r="AQ1288">
        <v>0</v>
      </c>
      <c r="AR1288">
        <v>0</v>
      </c>
      <c r="AS1288">
        <v>0</v>
      </c>
      <c r="AT1288">
        <v>0</v>
      </c>
      <c r="AU1288">
        <v>0</v>
      </c>
      <c r="AV1288">
        <v>0</v>
      </c>
      <c r="AW1288">
        <v>0</v>
      </c>
      <c r="AX1288" s="24">
        <f t="shared" si="132"/>
        <v>1</v>
      </c>
      <c r="AY1288" s="24" t="str">
        <f t="shared" si="132"/>
        <v/>
      </c>
      <c r="AZ1288" s="24" t="str">
        <f t="shared" si="133"/>
        <v/>
      </c>
      <c r="BA1288" s="24" t="str">
        <f t="shared" si="133"/>
        <v/>
      </c>
      <c r="BB1288" s="24" t="str">
        <f t="shared" si="133"/>
        <v/>
      </c>
      <c r="BC1288" s="24">
        <f t="shared" si="133"/>
        <v>1</v>
      </c>
      <c r="BD1288" s="24" t="str">
        <f t="shared" si="133"/>
        <v/>
      </c>
      <c r="BE1288" s="24" t="str">
        <f t="shared" si="133"/>
        <v/>
      </c>
      <c r="BF1288" s="24" t="str">
        <f t="shared" ref="AZ1288:BI1314" si="136">IF(ISERROR(FIND(BF$1,$L1288,1)),"",1)</f>
        <v/>
      </c>
      <c r="BG1288" s="24" t="str">
        <f t="shared" si="136"/>
        <v/>
      </c>
      <c r="BH1288" s="24" t="str">
        <f t="shared" si="135"/>
        <v/>
      </c>
      <c r="BI1288" s="24">
        <f t="shared" si="136"/>
        <v>1</v>
      </c>
      <c r="BJ1288" s="24" t="str">
        <f t="shared" si="130"/>
        <v/>
      </c>
    </row>
    <row r="1289" spans="1:62" ht="15" customHeight="1" x14ac:dyDescent="0.25">
      <c r="A1289" t="str">
        <f>"1841337201"</f>
        <v>1841337201</v>
      </c>
      <c r="B1289" t="str">
        <f>"01270906"</f>
        <v>01270906</v>
      </c>
      <c r="C1289" t="s">
        <v>1014</v>
      </c>
      <c r="D1289" t="s">
        <v>1015</v>
      </c>
      <c r="E1289" t="s">
        <v>1014</v>
      </c>
      <c r="L1289" t="s">
        <v>6868</v>
      </c>
      <c r="M1289" t="s">
        <v>108</v>
      </c>
      <c r="R1289" t="s">
        <v>1014</v>
      </c>
      <c r="W1289" t="s">
        <v>1016</v>
      </c>
      <c r="X1289" t="s">
        <v>1017</v>
      </c>
      <c r="Y1289" t="s">
        <v>122</v>
      </c>
      <c r="Z1289" t="s">
        <v>111</v>
      </c>
      <c r="AA1289" t="str">
        <f>"13815-1019"</f>
        <v>13815-1019</v>
      </c>
      <c r="AB1289" t="s">
        <v>123</v>
      </c>
      <c r="AC1289" t="s">
        <v>113</v>
      </c>
      <c r="AD1289" t="s">
        <v>108</v>
      </c>
      <c r="AE1289" t="s">
        <v>114</v>
      </c>
      <c r="AF1289" t="s">
        <v>124</v>
      </c>
      <c r="AG1289" t="s">
        <v>116</v>
      </c>
      <c r="AK1289" t="str">
        <f t="shared" si="134"/>
        <v/>
      </c>
      <c r="AL1289" t="s">
        <v>1015</v>
      </c>
      <c r="AM1289">
        <v>0</v>
      </c>
      <c r="AN1289">
        <v>0</v>
      </c>
      <c r="AO1289">
        <v>0</v>
      </c>
      <c r="AP1289">
        <v>0</v>
      </c>
      <c r="AQ1289">
        <v>0</v>
      </c>
      <c r="AR1289">
        <v>0</v>
      </c>
      <c r="AS1289">
        <v>0</v>
      </c>
      <c r="AT1289">
        <v>0</v>
      </c>
      <c r="AU1289">
        <v>0</v>
      </c>
      <c r="AV1289">
        <v>0</v>
      </c>
      <c r="AW1289">
        <v>0</v>
      </c>
      <c r="AX1289" s="24">
        <f t="shared" si="132"/>
        <v>1</v>
      </c>
      <c r="AY1289" s="24">
        <f t="shared" si="132"/>
        <v>1</v>
      </c>
      <c r="AZ1289" s="24" t="str">
        <f t="shared" si="136"/>
        <v/>
      </c>
      <c r="BA1289" s="24" t="str">
        <f t="shared" si="136"/>
        <v/>
      </c>
      <c r="BB1289" s="24" t="str">
        <f t="shared" si="136"/>
        <v/>
      </c>
      <c r="BC1289" s="24" t="str">
        <f t="shared" si="136"/>
        <v/>
      </c>
      <c r="BD1289" s="24" t="str">
        <f t="shared" si="136"/>
        <v/>
      </c>
      <c r="BE1289" s="24" t="str">
        <f t="shared" si="136"/>
        <v/>
      </c>
      <c r="BF1289" s="24" t="str">
        <f t="shared" si="136"/>
        <v/>
      </c>
      <c r="BG1289" s="24" t="str">
        <f t="shared" si="136"/>
        <v/>
      </c>
      <c r="BH1289" s="24" t="str">
        <f t="shared" si="135"/>
        <v/>
      </c>
      <c r="BI1289" s="24" t="str">
        <f t="shared" si="136"/>
        <v/>
      </c>
      <c r="BJ1289" s="24" t="str">
        <f t="shared" si="130"/>
        <v/>
      </c>
    </row>
    <row r="1290" spans="1:62" ht="15" customHeight="1" x14ac:dyDescent="0.25">
      <c r="A1290" t="str">
        <f>"1831273911"</f>
        <v>1831273911</v>
      </c>
      <c r="B1290" t="str">
        <f>"01862064"</f>
        <v>01862064</v>
      </c>
      <c r="C1290" t="s">
        <v>1018</v>
      </c>
      <c r="D1290" t="s">
        <v>1019</v>
      </c>
      <c r="E1290" t="s">
        <v>1020</v>
      </c>
      <c r="G1290" t="s">
        <v>6330</v>
      </c>
      <c r="H1290" t="s">
        <v>6331</v>
      </c>
      <c r="J1290" t="s">
        <v>6332</v>
      </c>
      <c r="L1290" t="s">
        <v>120</v>
      </c>
      <c r="M1290" t="s">
        <v>139</v>
      </c>
      <c r="R1290" t="s">
        <v>1018</v>
      </c>
      <c r="W1290" t="s">
        <v>1020</v>
      </c>
      <c r="X1290" t="s">
        <v>1021</v>
      </c>
      <c r="Y1290" t="s">
        <v>141</v>
      </c>
      <c r="Z1290" t="s">
        <v>111</v>
      </c>
      <c r="AA1290" t="str">
        <f>"13210-1756"</f>
        <v>13210-1756</v>
      </c>
      <c r="AB1290" t="s">
        <v>123</v>
      </c>
      <c r="AC1290" t="s">
        <v>113</v>
      </c>
      <c r="AD1290" t="s">
        <v>108</v>
      </c>
      <c r="AE1290" t="s">
        <v>114</v>
      </c>
      <c r="AF1290" t="s">
        <v>115</v>
      </c>
      <c r="AG1290" t="s">
        <v>116</v>
      </c>
      <c r="AK1290" t="str">
        <f t="shared" si="134"/>
        <v/>
      </c>
      <c r="AL1290" t="s">
        <v>1019</v>
      </c>
      <c r="AM1290">
        <v>1</v>
      </c>
      <c r="AN1290">
        <v>1</v>
      </c>
      <c r="AO1290">
        <v>0</v>
      </c>
      <c r="AP1290">
        <v>1</v>
      </c>
      <c r="AQ1290">
        <v>1</v>
      </c>
      <c r="AR1290">
        <v>1</v>
      </c>
      <c r="AS1290">
        <v>0</v>
      </c>
      <c r="AT1290">
        <v>0</v>
      </c>
      <c r="AU1290">
        <v>0</v>
      </c>
      <c r="AV1290">
        <v>0</v>
      </c>
      <c r="AW1290">
        <v>0</v>
      </c>
      <c r="AX1290" s="24">
        <f t="shared" si="132"/>
        <v>1</v>
      </c>
      <c r="AY1290" s="24" t="str">
        <f t="shared" si="132"/>
        <v/>
      </c>
      <c r="AZ1290" s="24" t="str">
        <f t="shared" si="136"/>
        <v/>
      </c>
      <c r="BA1290" s="24" t="str">
        <f t="shared" si="136"/>
        <v/>
      </c>
      <c r="BB1290" s="24" t="str">
        <f t="shared" si="136"/>
        <v/>
      </c>
      <c r="BC1290" s="24" t="str">
        <f t="shared" si="136"/>
        <v/>
      </c>
      <c r="BD1290" s="24" t="str">
        <f t="shared" si="136"/>
        <v/>
      </c>
      <c r="BE1290" s="24" t="str">
        <f t="shared" si="136"/>
        <v/>
      </c>
      <c r="BF1290" s="24" t="str">
        <f t="shared" si="136"/>
        <v/>
      </c>
      <c r="BG1290" s="24" t="str">
        <f t="shared" si="136"/>
        <v/>
      </c>
      <c r="BH1290" s="24" t="str">
        <f t="shared" si="135"/>
        <v/>
      </c>
      <c r="BI1290" s="24">
        <f t="shared" si="136"/>
        <v>1</v>
      </c>
      <c r="BJ1290" s="24" t="str">
        <f t="shared" si="130"/>
        <v/>
      </c>
    </row>
    <row r="1291" spans="1:62" ht="15" customHeight="1" x14ac:dyDescent="0.25">
      <c r="A1291" t="str">
        <f>"1003903568"</f>
        <v>1003903568</v>
      </c>
      <c r="B1291" t="str">
        <f>"02162807"</f>
        <v>02162807</v>
      </c>
      <c r="C1291" t="s">
        <v>1808</v>
      </c>
      <c r="D1291" t="s">
        <v>1809</v>
      </c>
      <c r="E1291" t="s">
        <v>1810</v>
      </c>
      <c r="G1291" t="s">
        <v>815</v>
      </c>
      <c r="H1291" t="s">
        <v>816</v>
      </c>
      <c r="J1291" t="s">
        <v>817</v>
      </c>
      <c r="L1291" t="s">
        <v>138</v>
      </c>
      <c r="M1291" t="s">
        <v>108</v>
      </c>
      <c r="R1291" t="s">
        <v>1808</v>
      </c>
      <c r="W1291" t="s">
        <v>1810</v>
      </c>
      <c r="X1291" t="s">
        <v>1811</v>
      </c>
      <c r="Y1291" t="s">
        <v>110</v>
      </c>
      <c r="Z1291" t="s">
        <v>111</v>
      </c>
      <c r="AA1291" t="str">
        <f>"13905-4176"</f>
        <v>13905-4176</v>
      </c>
      <c r="AB1291" t="s">
        <v>123</v>
      </c>
      <c r="AC1291" t="s">
        <v>113</v>
      </c>
      <c r="AD1291" t="s">
        <v>108</v>
      </c>
      <c r="AE1291" t="s">
        <v>114</v>
      </c>
      <c r="AF1291" t="s">
        <v>115</v>
      </c>
      <c r="AG1291" t="s">
        <v>116</v>
      </c>
      <c r="AK1291" t="str">
        <f t="shared" si="134"/>
        <v/>
      </c>
      <c r="AL1291" t="s">
        <v>1809</v>
      </c>
      <c r="AM1291">
        <v>1</v>
      </c>
      <c r="AN1291">
        <v>1</v>
      </c>
      <c r="AO1291">
        <v>0</v>
      </c>
      <c r="AP1291">
        <v>1</v>
      </c>
      <c r="AQ1291">
        <v>1</v>
      </c>
      <c r="AR1291">
        <v>0</v>
      </c>
      <c r="AS1291">
        <v>0</v>
      </c>
      <c r="AT1291">
        <v>0</v>
      </c>
      <c r="AU1291">
        <v>0</v>
      </c>
      <c r="AV1291">
        <v>0</v>
      </c>
      <c r="AW1291">
        <v>0</v>
      </c>
      <c r="AX1291" s="24" t="str">
        <f t="shared" si="132"/>
        <v/>
      </c>
      <c r="AY1291" s="24">
        <f t="shared" si="132"/>
        <v>1</v>
      </c>
      <c r="AZ1291" s="24" t="str">
        <f t="shared" si="136"/>
        <v/>
      </c>
      <c r="BA1291" s="24" t="str">
        <f t="shared" si="136"/>
        <v/>
      </c>
      <c r="BB1291" s="24" t="str">
        <f t="shared" si="136"/>
        <v/>
      </c>
      <c r="BC1291" s="24" t="str">
        <f t="shared" si="136"/>
        <v/>
      </c>
      <c r="BD1291" s="24" t="str">
        <f t="shared" si="136"/>
        <v/>
      </c>
      <c r="BE1291" s="24" t="str">
        <f t="shared" si="136"/>
        <v/>
      </c>
      <c r="BF1291" s="24" t="str">
        <f t="shared" si="136"/>
        <v/>
      </c>
      <c r="BG1291" s="24" t="str">
        <f t="shared" si="136"/>
        <v/>
      </c>
      <c r="BH1291" s="24" t="str">
        <f t="shared" si="135"/>
        <v/>
      </c>
      <c r="BI1291" s="24">
        <f t="shared" si="136"/>
        <v>1</v>
      </c>
      <c r="BJ1291" s="24" t="str">
        <f t="shared" si="130"/>
        <v/>
      </c>
    </row>
    <row r="1292" spans="1:62" ht="15" customHeight="1" x14ac:dyDescent="0.25">
      <c r="A1292" t="str">
        <f>"1740408731"</f>
        <v>1740408731</v>
      </c>
      <c r="B1292" t="str">
        <f>"02873307"</f>
        <v>02873307</v>
      </c>
      <c r="C1292" t="s">
        <v>3034</v>
      </c>
      <c r="D1292" t="s">
        <v>3035</v>
      </c>
      <c r="E1292" t="s">
        <v>3036</v>
      </c>
      <c r="G1292" t="s">
        <v>3037</v>
      </c>
      <c r="H1292" t="s">
        <v>3038</v>
      </c>
      <c r="J1292" t="s">
        <v>3039</v>
      </c>
      <c r="L1292" t="s">
        <v>138</v>
      </c>
      <c r="M1292" t="s">
        <v>108</v>
      </c>
      <c r="R1292" t="s">
        <v>3040</v>
      </c>
      <c r="W1292" t="s">
        <v>3036</v>
      </c>
      <c r="X1292" t="s">
        <v>3041</v>
      </c>
      <c r="Y1292" t="s">
        <v>293</v>
      </c>
      <c r="Z1292" t="s">
        <v>111</v>
      </c>
      <c r="AA1292" t="str">
        <f>"14850-1589"</f>
        <v>14850-1589</v>
      </c>
      <c r="AB1292" t="s">
        <v>123</v>
      </c>
      <c r="AC1292" t="s">
        <v>113</v>
      </c>
      <c r="AD1292" t="s">
        <v>108</v>
      </c>
      <c r="AE1292" t="s">
        <v>114</v>
      </c>
      <c r="AF1292" t="s">
        <v>142</v>
      </c>
      <c r="AG1292" t="s">
        <v>116</v>
      </c>
      <c r="AK1292" t="str">
        <f t="shared" si="134"/>
        <v/>
      </c>
      <c r="AL1292" t="s">
        <v>3035</v>
      </c>
      <c r="AM1292">
        <v>1</v>
      </c>
      <c r="AN1292">
        <v>1</v>
      </c>
      <c r="AO1292">
        <v>0</v>
      </c>
      <c r="AP1292">
        <v>0</v>
      </c>
      <c r="AQ1292">
        <v>0</v>
      </c>
      <c r="AR1292">
        <v>0</v>
      </c>
      <c r="AS1292">
        <v>0</v>
      </c>
      <c r="AT1292">
        <v>0</v>
      </c>
      <c r="AU1292">
        <v>0</v>
      </c>
      <c r="AV1292">
        <v>0</v>
      </c>
      <c r="AW1292">
        <v>0</v>
      </c>
      <c r="AX1292" s="24" t="str">
        <f t="shared" si="132"/>
        <v/>
      </c>
      <c r="AY1292" s="24">
        <f t="shared" si="132"/>
        <v>1</v>
      </c>
      <c r="AZ1292" s="24" t="str">
        <f t="shared" si="136"/>
        <v/>
      </c>
      <c r="BA1292" s="24" t="str">
        <f t="shared" si="136"/>
        <v/>
      </c>
      <c r="BB1292" s="24" t="str">
        <f t="shared" si="136"/>
        <v/>
      </c>
      <c r="BC1292" s="24" t="str">
        <f t="shared" si="136"/>
        <v/>
      </c>
      <c r="BD1292" s="24" t="str">
        <f t="shared" si="136"/>
        <v/>
      </c>
      <c r="BE1292" s="24" t="str">
        <f t="shared" si="136"/>
        <v/>
      </c>
      <c r="BF1292" s="24" t="str">
        <f t="shared" si="136"/>
        <v/>
      </c>
      <c r="BG1292" s="24" t="str">
        <f t="shared" si="136"/>
        <v/>
      </c>
      <c r="BH1292" s="24" t="str">
        <f t="shared" si="135"/>
        <v/>
      </c>
      <c r="BI1292" s="24">
        <f t="shared" si="136"/>
        <v>1</v>
      </c>
      <c r="BJ1292" s="24" t="str">
        <f t="shared" si="130"/>
        <v/>
      </c>
    </row>
    <row r="1293" spans="1:62" ht="15" customHeight="1" x14ac:dyDescent="0.25">
      <c r="A1293" t="str">
        <f>"1831346451"</f>
        <v>1831346451</v>
      </c>
      <c r="B1293" t="str">
        <f>"03033167"</f>
        <v>03033167</v>
      </c>
      <c r="C1293" t="s">
        <v>1022</v>
      </c>
      <c r="D1293" t="s">
        <v>1023</v>
      </c>
      <c r="E1293" t="s">
        <v>1024</v>
      </c>
      <c r="L1293" t="s">
        <v>138</v>
      </c>
      <c r="M1293" t="s">
        <v>139</v>
      </c>
      <c r="R1293" t="s">
        <v>1022</v>
      </c>
      <c r="W1293" t="s">
        <v>1024</v>
      </c>
      <c r="X1293" t="s">
        <v>128</v>
      </c>
      <c r="Y1293" t="s">
        <v>129</v>
      </c>
      <c r="Z1293" t="s">
        <v>111</v>
      </c>
      <c r="AA1293" t="str">
        <f>"13790-2544"</f>
        <v>13790-2544</v>
      </c>
      <c r="AB1293" t="s">
        <v>123</v>
      </c>
      <c r="AC1293" t="s">
        <v>113</v>
      </c>
      <c r="AD1293" t="s">
        <v>108</v>
      </c>
      <c r="AE1293" t="s">
        <v>114</v>
      </c>
      <c r="AF1293" t="s">
        <v>115</v>
      </c>
      <c r="AG1293" t="s">
        <v>116</v>
      </c>
      <c r="AK1293" t="str">
        <f t="shared" si="134"/>
        <v/>
      </c>
      <c r="AL1293" t="s">
        <v>1023</v>
      </c>
      <c r="AM1293">
        <v>1</v>
      </c>
      <c r="AN1293">
        <v>1</v>
      </c>
      <c r="AO1293">
        <v>0</v>
      </c>
      <c r="AP1293">
        <v>1</v>
      </c>
      <c r="AQ1293">
        <v>1</v>
      </c>
      <c r="AR1293">
        <v>0</v>
      </c>
      <c r="AS1293">
        <v>0</v>
      </c>
      <c r="AT1293">
        <v>0</v>
      </c>
      <c r="AU1293">
        <v>0</v>
      </c>
      <c r="AV1293">
        <v>0</v>
      </c>
      <c r="AW1293">
        <v>0</v>
      </c>
      <c r="AX1293" s="24" t="str">
        <f t="shared" si="132"/>
        <v/>
      </c>
      <c r="AY1293" s="24">
        <f t="shared" si="132"/>
        <v>1</v>
      </c>
      <c r="AZ1293" s="24" t="str">
        <f t="shared" si="136"/>
        <v/>
      </c>
      <c r="BA1293" s="24" t="str">
        <f t="shared" si="136"/>
        <v/>
      </c>
      <c r="BB1293" s="24" t="str">
        <f t="shared" si="136"/>
        <v/>
      </c>
      <c r="BC1293" s="24" t="str">
        <f t="shared" si="136"/>
        <v/>
      </c>
      <c r="BD1293" s="24" t="str">
        <f t="shared" si="136"/>
        <v/>
      </c>
      <c r="BE1293" s="24" t="str">
        <f t="shared" si="136"/>
        <v/>
      </c>
      <c r="BF1293" s="24" t="str">
        <f t="shared" si="136"/>
        <v/>
      </c>
      <c r="BG1293" s="24" t="str">
        <f t="shared" si="136"/>
        <v/>
      </c>
      <c r="BH1293" s="24" t="str">
        <f t="shared" si="135"/>
        <v/>
      </c>
      <c r="BI1293" s="24">
        <f t="shared" si="136"/>
        <v>1</v>
      </c>
      <c r="BJ1293" s="24" t="str">
        <f t="shared" si="130"/>
        <v/>
      </c>
    </row>
    <row r="1294" spans="1:62" ht="15" customHeight="1" x14ac:dyDescent="0.25">
      <c r="A1294" t="str">
        <f>"1699740738"</f>
        <v>1699740738</v>
      </c>
      <c r="B1294" t="str">
        <f>"02303455"</f>
        <v>02303455</v>
      </c>
      <c r="C1294" t="s">
        <v>3434</v>
      </c>
      <c r="D1294" t="s">
        <v>3435</v>
      </c>
      <c r="E1294" t="s">
        <v>3436</v>
      </c>
      <c r="G1294" t="s">
        <v>3437</v>
      </c>
      <c r="H1294" t="s">
        <v>3438</v>
      </c>
      <c r="J1294" t="s">
        <v>3439</v>
      </c>
      <c r="L1294" t="s">
        <v>247</v>
      </c>
      <c r="M1294" t="s">
        <v>108</v>
      </c>
      <c r="R1294" t="s">
        <v>3440</v>
      </c>
      <c r="W1294" t="s">
        <v>3441</v>
      </c>
      <c r="X1294" t="s">
        <v>3442</v>
      </c>
      <c r="Y1294" t="s">
        <v>293</v>
      </c>
      <c r="Z1294" t="s">
        <v>111</v>
      </c>
      <c r="AA1294" t="str">
        <f>"14850-3251"</f>
        <v>14850-3251</v>
      </c>
      <c r="AB1294" t="s">
        <v>123</v>
      </c>
      <c r="AC1294" t="s">
        <v>113</v>
      </c>
      <c r="AD1294" t="s">
        <v>108</v>
      </c>
      <c r="AE1294" t="s">
        <v>114</v>
      </c>
      <c r="AF1294" t="s">
        <v>142</v>
      </c>
      <c r="AG1294" t="s">
        <v>116</v>
      </c>
      <c r="AK1294" t="str">
        <f t="shared" si="134"/>
        <v/>
      </c>
      <c r="AL1294" t="s">
        <v>3435</v>
      </c>
      <c r="AM1294">
        <v>0</v>
      </c>
      <c r="AN1294">
        <v>0</v>
      </c>
      <c r="AO1294">
        <v>0</v>
      </c>
      <c r="AP1294">
        <v>0</v>
      </c>
      <c r="AQ1294">
        <v>0</v>
      </c>
      <c r="AR1294">
        <v>0</v>
      </c>
      <c r="AS1294">
        <v>0</v>
      </c>
      <c r="AT1294">
        <v>0</v>
      </c>
      <c r="AU1294">
        <v>0</v>
      </c>
      <c r="AV1294">
        <v>0</v>
      </c>
      <c r="AW1294">
        <v>0</v>
      </c>
      <c r="AX1294" s="24" t="str">
        <f t="shared" si="132"/>
        <v/>
      </c>
      <c r="AY1294" s="24">
        <f t="shared" si="132"/>
        <v>1</v>
      </c>
      <c r="AZ1294" s="24" t="str">
        <f t="shared" si="136"/>
        <v/>
      </c>
      <c r="BA1294" s="24" t="str">
        <f t="shared" si="136"/>
        <v/>
      </c>
      <c r="BB1294" s="24" t="str">
        <f t="shared" si="136"/>
        <v/>
      </c>
      <c r="BC1294" s="24" t="str">
        <f t="shared" si="136"/>
        <v/>
      </c>
      <c r="BD1294" s="24" t="str">
        <f t="shared" si="136"/>
        <v/>
      </c>
      <c r="BE1294" s="24" t="str">
        <f t="shared" si="136"/>
        <v/>
      </c>
      <c r="BF1294" s="24" t="str">
        <f t="shared" si="136"/>
        <v/>
      </c>
      <c r="BG1294" s="24" t="str">
        <f t="shared" si="136"/>
        <v/>
      </c>
      <c r="BH1294" s="24" t="str">
        <f t="shared" si="135"/>
        <v/>
      </c>
      <c r="BI1294" s="24" t="str">
        <f t="shared" si="136"/>
        <v/>
      </c>
      <c r="BJ1294" s="24" t="str">
        <f t="shared" si="130"/>
        <v/>
      </c>
    </row>
    <row r="1295" spans="1:62" ht="15" customHeight="1" x14ac:dyDescent="0.25">
      <c r="A1295" t="str">
        <f>"1285648469"</f>
        <v>1285648469</v>
      </c>
      <c r="B1295" t="str">
        <f>"01959306"</f>
        <v>01959306</v>
      </c>
      <c r="C1295" t="s">
        <v>3230</v>
      </c>
      <c r="D1295" t="s">
        <v>3231</v>
      </c>
      <c r="E1295" t="s">
        <v>3232</v>
      </c>
      <c r="G1295" t="s">
        <v>3207</v>
      </c>
      <c r="H1295" t="s">
        <v>3208</v>
      </c>
      <c r="J1295" t="s">
        <v>3233</v>
      </c>
      <c r="L1295" t="s">
        <v>138</v>
      </c>
      <c r="M1295" t="s">
        <v>108</v>
      </c>
      <c r="R1295" t="s">
        <v>3234</v>
      </c>
      <c r="W1295" t="s">
        <v>3232</v>
      </c>
      <c r="X1295" t="s">
        <v>3235</v>
      </c>
      <c r="Y1295" t="s">
        <v>293</v>
      </c>
      <c r="Z1295" t="s">
        <v>111</v>
      </c>
      <c r="AA1295" t="str">
        <f>"14850-1865"</f>
        <v>14850-1865</v>
      </c>
      <c r="AB1295" t="s">
        <v>123</v>
      </c>
      <c r="AC1295" t="s">
        <v>113</v>
      </c>
      <c r="AD1295" t="s">
        <v>108</v>
      </c>
      <c r="AE1295" t="s">
        <v>114</v>
      </c>
      <c r="AF1295" t="s">
        <v>142</v>
      </c>
      <c r="AG1295" t="s">
        <v>116</v>
      </c>
      <c r="AK1295" t="str">
        <f t="shared" si="134"/>
        <v/>
      </c>
      <c r="AL1295" t="s">
        <v>3231</v>
      </c>
      <c r="AM1295">
        <v>1</v>
      </c>
      <c r="AN1295">
        <v>1</v>
      </c>
      <c r="AO1295">
        <v>0</v>
      </c>
      <c r="AP1295">
        <v>0</v>
      </c>
      <c r="AQ1295">
        <v>0</v>
      </c>
      <c r="AR1295">
        <v>0</v>
      </c>
      <c r="AS1295">
        <v>0</v>
      </c>
      <c r="AT1295">
        <v>0</v>
      </c>
      <c r="AU1295">
        <v>0</v>
      </c>
      <c r="AV1295">
        <v>0</v>
      </c>
      <c r="AW1295">
        <v>0</v>
      </c>
      <c r="AX1295" s="24" t="str">
        <f t="shared" si="132"/>
        <v/>
      </c>
      <c r="AY1295" s="24">
        <f t="shared" si="132"/>
        <v>1</v>
      </c>
      <c r="AZ1295" s="24" t="str">
        <f t="shared" si="136"/>
        <v/>
      </c>
      <c r="BA1295" s="24" t="str">
        <f t="shared" si="136"/>
        <v/>
      </c>
      <c r="BB1295" s="24" t="str">
        <f t="shared" si="136"/>
        <v/>
      </c>
      <c r="BC1295" s="24" t="str">
        <f t="shared" si="136"/>
        <v/>
      </c>
      <c r="BD1295" s="24" t="str">
        <f t="shared" si="136"/>
        <v/>
      </c>
      <c r="BE1295" s="24" t="str">
        <f t="shared" si="136"/>
        <v/>
      </c>
      <c r="BF1295" s="24" t="str">
        <f t="shared" si="136"/>
        <v/>
      </c>
      <c r="BG1295" s="24" t="str">
        <f t="shared" si="136"/>
        <v/>
      </c>
      <c r="BH1295" s="24" t="str">
        <f t="shared" si="135"/>
        <v/>
      </c>
      <c r="BI1295" s="24">
        <f t="shared" si="136"/>
        <v>1</v>
      </c>
      <c r="BJ1295" s="24" t="str">
        <f t="shared" si="130"/>
        <v/>
      </c>
    </row>
    <row r="1296" spans="1:62" ht="15" customHeight="1" x14ac:dyDescent="0.25">
      <c r="A1296" t="str">
        <f>"1528055183"</f>
        <v>1528055183</v>
      </c>
      <c r="B1296" t="str">
        <f>"01809269"</f>
        <v>01809269</v>
      </c>
      <c r="C1296" t="s">
        <v>5471</v>
      </c>
      <c r="D1296" t="s">
        <v>5472</v>
      </c>
      <c r="E1296" t="s">
        <v>5473</v>
      </c>
      <c r="G1296" t="s">
        <v>5471</v>
      </c>
      <c r="H1296" t="s">
        <v>403</v>
      </c>
      <c r="J1296" t="s">
        <v>5474</v>
      </c>
      <c r="L1296" t="s">
        <v>247</v>
      </c>
      <c r="M1296" t="s">
        <v>108</v>
      </c>
      <c r="R1296" t="s">
        <v>5475</v>
      </c>
      <c r="W1296" t="s">
        <v>5473</v>
      </c>
      <c r="X1296" t="s">
        <v>406</v>
      </c>
      <c r="Y1296" t="s">
        <v>129</v>
      </c>
      <c r="Z1296" t="s">
        <v>111</v>
      </c>
      <c r="AA1296" t="str">
        <f>"13790-2107"</f>
        <v>13790-2107</v>
      </c>
      <c r="AB1296" t="s">
        <v>123</v>
      </c>
      <c r="AC1296" t="s">
        <v>113</v>
      </c>
      <c r="AD1296" t="s">
        <v>108</v>
      </c>
      <c r="AE1296" t="s">
        <v>114</v>
      </c>
      <c r="AF1296" t="s">
        <v>115</v>
      </c>
      <c r="AG1296" t="s">
        <v>116</v>
      </c>
      <c r="AK1296" t="str">
        <f t="shared" si="134"/>
        <v/>
      </c>
      <c r="AL1296" t="s">
        <v>5472</v>
      </c>
      <c r="AM1296">
        <v>1</v>
      </c>
      <c r="AN1296">
        <v>1</v>
      </c>
      <c r="AO1296">
        <v>0</v>
      </c>
      <c r="AP1296">
        <v>1</v>
      </c>
      <c r="AQ1296">
        <v>1</v>
      </c>
      <c r="AR1296">
        <v>0</v>
      </c>
      <c r="AS1296">
        <v>0</v>
      </c>
      <c r="AT1296">
        <v>0</v>
      </c>
      <c r="AU1296">
        <v>0</v>
      </c>
      <c r="AV1296">
        <v>0</v>
      </c>
      <c r="AW1296">
        <v>0</v>
      </c>
      <c r="AX1296" s="24" t="str">
        <f t="shared" si="132"/>
        <v/>
      </c>
      <c r="AY1296" s="24">
        <f t="shared" si="132"/>
        <v>1</v>
      </c>
      <c r="AZ1296" s="24" t="str">
        <f t="shared" si="136"/>
        <v/>
      </c>
      <c r="BA1296" s="24" t="str">
        <f t="shared" si="136"/>
        <v/>
      </c>
      <c r="BB1296" s="24" t="str">
        <f t="shared" si="136"/>
        <v/>
      </c>
      <c r="BC1296" s="24" t="str">
        <f t="shared" si="136"/>
        <v/>
      </c>
      <c r="BD1296" s="24" t="str">
        <f t="shared" si="136"/>
        <v/>
      </c>
      <c r="BE1296" s="24" t="str">
        <f t="shared" si="136"/>
        <v/>
      </c>
      <c r="BF1296" s="24" t="str">
        <f t="shared" si="136"/>
        <v/>
      </c>
      <c r="BG1296" s="24" t="str">
        <f t="shared" si="136"/>
        <v/>
      </c>
      <c r="BH1296" s="24" t="str">
        <f t="shared" si="135"/>
        <v/>
      </c>
      <c r="BI1296" s="24" t="str">
        <f t="shared" si="136"/>
        <v/>
      </c>
      <c r="BJ1296" s="24" t="str">
        <f t="shared" si="130"/>
        <v/>
      </c>
    </row>
    <row r="1297" spans="1:62" ht="15" customHeight="1" x14ac:dyDescent="0.25">
      <c r="A1297" t="str">
        <f>"1467422238"</f>
        <v>1467422238</v>
      </c>
      <c r="B1297" t="str">
        <f>"01067349"</f>
        <v>01067349</v>
      </c>
      <c r="C1297" t="s">
        <v>3392</v>
      </c>
      <c r="D1297" t="s">
        <v>3393</v>
      </c>
      <c r="E1297" t="s">
        <v>3394</v>
      </c>
      <c r="G1297" t="s">
        <v>3096</v>
      </c>
      <c r="H1297" t="s">
        <v>3097</v>
      </c>
      <c r="J1297" t="s">
        <v>3395</v>
      </c>
      <c r="L1297" t="s">
        <v>138</v>
      </c>
      <c r="M1297" t="s">
        <v>108</v>
      </c>
      <c r="R1297" t="s">
        <v>3396</v>
      </c>
      <c r="W1297" t="s">
        <v>3394</v>
      </c>
      <c r="X1297" t="s">
        <v>3397</v>
      </c>
      <c r="Y1297" t="s">
        <v>239</v>
      </c>
      <c r="Z1297" t="s">
        <v>111</v>
      </c>
      <c r="AA1297" t="str">
        <f>"13045-1643"</f>
        <v>13045-1643</v>
      </c>
      <c r="AB1297" t="s">
        <v>123</v>
      </c>
      <c r="AC1297" t="s">
        <v>113</v>
      </c>
      <c r="AD1297" t="s">
        <v>108</v>
      </c>
      <c r="AE1297" t="s">
        <v>114</v>
      </c>
      <c r="AF1297" t="s">
        <v>142</v>
      </c>
      <c r="AG1297" t="s">
        <v>116</v>
      </c>
      <c r="AK1297" t="str">
        <f t="shared" si="134"/>
        <v/>
      </c>
      <c r="AL1297" t="s">
        <v>3393</v>
      </c>
      <c r="AM1297">
        <v>1</v>
      </c>
      <c r="AN1297">
        <v>1</v>
      </c>
      <c r="AO1297">
        <v>0</v>
      </c>
      <c r="AP1297">
        <v>0</v>
      </c>
      <c r="AQ1297">
        <v>0</v>
      </c>
      <c r="AR1297">
        <v>0</v>
      </c>
      <c r="AS1297">
        <v>0</v>
      </c>
      <c r="AT1297">
        <v>0</v>
      </c>
      <c r="AU1297">
        <v>0</v>
      </c>
      <c r="AV1297">
        <v>0</v>
      </c>
      <c r="AW1297">
        <v>0</v>
      </c>
      <c r="AX1297" s="24" t="str">
        <f t="shared" si="132"/>
        <v/>
      </c>
      <c r="AY1297" s="24">
        <f t="shared" si="132"/>
        <v>1</v>
      </c>
      <c r="AZ1297" s="24" t="str">
        <f t="shared" si="136"/>
        <v/>
      </c>
      <c r="BA1297" s="24" t="str">
        <f t="shared" si="136"/>
        <v/>
      </c>
      <c r="BB1297" s="24" t="str">
        <f t="shared" si="136"/>
        <v/>
      </c>
      <c r="BC1297" s="24" t="str">
        <f t="shared" si="136"/>
        <v/>
      </c>
      <c r="BD1297" s="24" t="str">
        <f t="shared" si="136"/>
        <v/>
      </c>
      <c r="BE1297" s="24" t="str">
        <f t="shared" si="136"/>
        <v/>
      </c>
      <c r="BF1297" s="24" t="str">
        <f t="shared" si="136"/>
        <v/>
      </c>
      <c r="BG1297" s="24" t="str">
        <f t="shared" si="136"/>
        <v/>
      </c>
      <c r="BH1297" s="24" t="str">
        <f t="shared" si="135"/>
        <v/>
      </c>
      <c r="BI1297" s="24">
        <f t="shared" si="136"/>
        <v>1</v>
      </c>
      <c r="BJ1297" s="24" t="str">
        <f t="shared" si="130"/>
        <v/>
      </c>
    </row>
    <row r="1298" spans="1:62" ht="15" customHeight="1" x14ac:dyDescent="0.25">
      <c r="A1298" t="str">
        <f>"1760578330"</f>
        <v>1760578330</v>
      </c>
      <c r="B1298" t="str">
        <f>"01339528"</f>
        <v>01339528</v>
      </c>
      <c r="C1298" t="s">
        <v>3624</v>
      </c>
      <c r="D1298" t="s">
        <v>3625</v>
      </c>
      <c r="E1298" t="s">
        <v>3626</v>
      </c>
      <c r="G1298" t="s">
        <v>2412</v>
      </c>
      <c r="H1298" t="s">
        <v>2413</v>
      </c>
      <c r="I1298">
        <v>2359</v>
      </c>
      <c r="J1298" t="s">
        <v>3627</v>
      </c>
      <c r="L1298" t="s">
        <v>120</v>
      </c>
      <c r="M1298" t="s">
        <v>108</v>
      </c>
      <c r="R1298" t="s">
        <v>3628</v>
      </c>
      <c r="W1298" t="s">
        <v>3626</v>
      </c>
      <c r="X1298" t="s">
        <v>3629</v>
      </c>
      <c r="Y1298" t="s">
        <v>1655</v>
      </c>
      <c r="Z1298" t="s">
        <v>111</v>
      </c>
      <c r="AA1298" t="str">
        <f>"14865"</f>
        <v>14865</v>
      </c>
      <c r="AB1298" t="s">
        <v>123</v>
      </c>
      <c r="AC1298" t="s">
        <v>113</v>
      </c>
      <c r="AD1298" t="s">
        <v>108</v>
      </c>
      <c r="AE1298" t="s">
        <v>114</v>
      </c>
      <c r="AF1298" t="s">
        <v>142</v>
      </c>
      <c r="AG1298" t="s">
        <v>116</v>
      </c>
      <c r="AK1298" t="str">
        <f t="shared" si="134"/>
        <v/>
      </c>
      <c r="AL1298" t="s">
        <v>3625</v>
      </c>
      <c r="AM1298">
        <v>1</v>
      </c>
      <c r="AN1298">
        <v>1</v>
      </c>
      <c r="AO1298">
        <v>0</v>
      </c>
      <c r="AP1298">
        <v>0</v>
      </c>
      <c r="AQ1298">
        <v>0</v>
      </c>
      <c r="AR1298">
        <v>0</v>
      </c>
      <c r="AS1298">
        <v>0</v>
      </c>
      <c r="AT1298">
        <v>0</v>
      </c>
      <c r="AU1298">
        <v>0</v>
      </c>
      <c r="AV1298">
        <v>0</v>
      </c>
      <c r="AW1298">
        <v>0</v>
      </c>
      <c r="AX1298" s="24">
        <f t="shared" si="132"/>
        <v>1</v>
      </c>
      <c r="AY1298" s="24" t="str">
        <f t="shared" si="132"/>
        <v/>
      </c>
      <c r="AZ1298" s="24" t="str">
        <f t="shared" si="136"/>
        <v/>
      </c>
      <c r="BA1298" s="24" t="str">
        <f t="shared" si="136"/>
        <v/>
      </c>
      <c r="BB1298" s="24" t="str">
        <f t="shared" si="136"/>
        <v/>
      </c>
      <c r="BC1298" s="24" t="str">
        <f t="shared" si="136"/>
        <v/>
      </c>
      <c r="BD1298" s="24" t="str">
        <f t="shared" si="136"/>
        <v/>
      </c>
      <c r="BE1298" s="24" t="str">
        <f t="shared" si="136"/>
        <v/>
      </c>
      <c r="BF1298" s="24" t="str">
        <f t="shared" si="136"/>
        <v/>
      </c>
      <c r="BG1298" s="24" t="str">
        <f t="shared" si="136"/>
        <v/>
      </c>
      <c r="BH1298" s="24" t="str">
        <f t="shared" si="135"/>
        <v/>
      </c>
      <c r="BI1298" s="24">
        <f t="shared" si="136"/>
        <v>1</v>
      </c>
      <c r="BJ1298" s="24" t="str">
        <f t="shared" ref="BJ1298:BJ1361" si="137">IF(ISERROR(FIND(BJ$1,$L1298,1)),"",1)</f>
        <v/>
      </c>
    </row>
    <row r="1299" spans="1:62" x14ac:dyDescent="0.25">
      <c r="A1299" t="str">
        <f>"1053469346"</f>
        <v>1053469346</v>
      </c>
      <c r="B1299" t="str">
        <f>"00355404"</f>
        <v>00355404</v>
      </c>
      <c r="C1299" t="s">
        <v>2784</v>
      </c>
      <c r="D1299" t="s">
        <v>2785</v>
      </c>
      <c r="E1299" t="s">
        <v>2784</v>
      </c>
      <c r="G1299" t="s">
        <v>2786</v>
      </c>
      <c r="H1299" t="s">
        <v>2787</v>
      </c>
      <c r="J1299" t="s">
        <v>2788</v>
      </c>
      <c r="L1299" t="s">
        <v>695</v>
      </c>
      <c r="M1299" t="s">
        <v>139</v>
      </c>
      <c r="R1299" t="s">
        <v>2789</v>
      </c>
      <c r="W1299" t="s">
        <v>2784</v>
      </c>
      <c r="X1299" t="s">
        <v>2790</v>
      </c>
      <c r="Y1299" t="s">
        <v>2791</v>
      </c>
      <c r="Z1299" t="s">
        <v>111</v>
      </c>
      <c r="AA1299" t="str">
        <f>"14810-1510"</f>
        <v>14810-1510</v>
      </c>
      <c r="AB1299" t="s">
        <v>282</v>
      </c>
      <c r="AC1299" t="s">
        <v>113</v>
      </c>
      <c r="AD1299" t="s">
        <v>108</v>
      </c>
      <c r="AE1299" t="s">
        <v>114</v>
      </c>
      <c r="AF1299" t="s">
        <v>149</v>
      </c>
      <c r="AG1299" t="s">
        <v>116</v>
      </c>
      <c r="AK1299" t="str">
        <f t="shared" si="134"/>
        <v/>
      </c>
      <c r="AL1299" t="s">
        <v>2785</v>
      </c>
      <c r="AM1299">
        <v>0</v>
      </c>
      <c r="AN1299">
        <v>0</v>
      </c>
      <c r="AO1299">
        <v>0</v>
      </c>
      <c r="AP1299">
        <v>0</v>
      </c>
      <c r="AQ1299">
        <v>0</v>
      </c>
      <c r="AR1299">
        <v>0</v>
      </c>
      <c r="AS1299">
        <v>0</v>
      </c>
      <c r="AT1299">
        <v>0</v>
      </c>
      <c r="AU1299">
        <v>0</v>
      </c>
      <c r="AV1299">
        <v>0</v>
      </c>
      <c r="AW1299">
        <v>0</v>
      </c>
      <c r="AX1299" s="24" t="str">
        <f t="shared" si="132"/>
        <v/>
      </c>
      <c r="AY1299" s="24" t="str">
        <f t="shared" si="132"/>
        <v/>
      </c>
      <c r="AZ1299" s="24" t="str">
        <f t="shared" si="136"/>
        <v/>
      </c>
      <c r="BA1299" s="24">
        <f t="shared" si="136"/>
        <v>1</v>
      </c>
      <c r="BB1299" s="24" t="str">
        <f t="shared" si="136"/>
        <v/>
      </c>
      <c r="BC1299" s="24" t="str">
        <f t="shared" si="136"/>
        <v/>
      </c>
      <c r="BD1299" s="24" t="str">
        <f t="shared" si="136"/>
        <v/>
      </c>
      <c r="BE1299" s="24" t="str">
        <f t="shared" si="136"/>
        <v/>
      </c>
      <c r="BF1299" s="24" t="str">
        <f t="shared" si="136"/>
        <v/>
      </c>
      <c r="BG1299" s="24" t="str">
        <f t="shared" si="136"/>
        <v/>
      </c>
      <c r="BH1299" s="24" t="str">
        <f t="shared" si="135"/>
        <v/>
      </c>
      <c r="BI1299" s="24">
        <f t="shared" si="136"/>
        <v>1</v>
      </c>
      <c r="BJ1299" s="24" t="str">
        <f t="shared" si="137"/>
        <v/>
      </c>
    </row>
    <row r="1300" spans="1:62" ht="15" customHeight="1" x14ac:dyDescent="0.25">
      <c r="C1300" t="s">
        <v>5783</v>
      </c>
      <c r="G1300" t="s">
        <v>5784</v>
      </c>
      <c r="H1300" t="s">
        <v>5785</v>
      </c>
      <c r="J1300" t="s">
        <v>5786</v>
      </c>
      <c r="K1300" t="s">
        <v>780</v>
      </c>
      <c r="L1300" t="s">
        <v>781</v>
      </c>
      <c r="M1300" t="s">
        <v>108</v>
      </c>
      <c r="N1300" t="s">
        <v>5774</v>
      </c>
      <c r="O1300" t="s">
        <v>5775</v>
      </c>
      <c r="P1300" t="s">
        <v>111</v>
      </c>
      <c r="Q1300" t="str">
        <f>"14810"</f>
        <v>14810</v>
      </c>
      <c r="AC1300" t="s">
        <v>113</v>
      </c>
      <c r="AD1300" t="s">
        <v>108</v>
      </c>
      <c r="AE1300" t="s">
        <v>784</v>
      </c>
      <c r="AF1300" t="s">
        <v>149</v>
      </c>
      <c r="AG1300" t="s">
        <v>116</v>
      </c>
      <c r="AK1300" t="str">
        <f t="shared" si="134"/>
        <v>Steuben County Office for the Aging</v>
      </c>
      <c r="AM1300" t="s">
        <v>108</v>
      </c>
      <c r="AN1300" t="s">
        <v>108</v>
      </c>
      <c r="AO1300" t="s">
        <v>108</v>
      </c>
      <c r="AP1300" t="s">
        <v>108</v>
      </c>
      <c r="AQ1300" t="s">
        <v>108</v>
      </c>
      <c r="AR1300" t="s">
        <v>108</v>
      </c>
      <c r="AS1300" t="s">
        <v>108</v>
      </c>
      <c r="AT1300" t="s">
        <v>108</v>
      </c>
      <c r="AU1300" t="s">
        <v>108</v>
      </c>
      <c r="AV1300" t="s">
        <v>108</v>
      </c>
      <c r="AW1300" t="s">
        <v>108</v>
      </c>
      <c r="AX1300" s="24" t="str">
        <f t="shared" si="132"/>
        <v/>
      </c>
      <c r="AY1300" s="24" t="str">
        <f t="shared" si="132"/>
        <v/>
      </c>
      <c r="AZ1300" s="24" t="str">
        <f t="shared" si="136"/>
        <v/>
      </c>
      <c r="BA1300" s="24" t="str">
        <f t="shared" si="136"/>
        <v/>
      </c>
      <c r="BB1300" s="24" t="str">
        <f t="shared" si="136"/>
        <v/>
      </c>
      <c r="BC1300" s="24" t="str">
        <f t="shared" si="136"/>
        <v/>
      </c>
      <c r="BD1300" s="24" t="str">
        <f t="shared" si="136"/>
        <v/>
      </c>
      <c r="BE1300" s="24" t="str">
        <f t="shared" si="136"/>
        <v/>
      </c>
      <c r="BF1300" s="24" t="str">
        <f t="shared" si="136"/>
        <v/>
      </c>
      <c r="BG1300" s="24" t="str">
        <f t="shared" si="136"/>
        <v/>
      </c>
      <c r="BH1300" s="24">
        <f t="shared" si="135"/>
        <v>1</v>
      </c>
      <c r="BI1300" s="24" t="str">
        <f t="shared" si="136"/>
        <v/>
      </c>
      <c r="BJ1300" s="24" t="str">
        <f t="shared" si="137"/>
        <v/>
      </c>
    </row>
    <row r="1301" spans="1:62" ht="15" customHeight="1" x14ac:dyDescent="0.25">
      <c r="C1301" t="s">
        <v>5773</v>
      </c>
      <c r="G1301" t="s">
        <v>2786</v>
      </c>
      <c r="H1301" t="s">
        <v>2787</v>
      </c>
      <c r="J1301" t="s">
        <v>2788</v>
      </c>
      <c r="K1301" t="s">
        <v>4496</v>
      </c>
      <c r="L1301" t="s">
        <v>781</v>
      </c>
      <c r="M1301" t="s">
        <v>108</v>
      </c>
      <c r="N1301" t="s">
        <v>5774</v>
      </c>
      <c r="O1301" t="s">
        <v>5775</v>
      </c>
      <c r="P1301" t="s">
        <v>111</v>
      </c>
      <c r="Q1301" t="str">
        <f>"14810"</f>
        <v>14810</v>
      </c>
      <c r="AC1301" t="s">
        <v>113</v>
      </c>
      <c r="AD1301" t="s">
        <v>108</v>
      </c>
      <c r="AE1301" t="s">
        <v>784</v>
      </c>
      <c r="AF1301" t="s">
        <v>149</v>
      </c>
      <c r="AG1301" t="s">
        <v>116</v>
      </c>
      <c r="AK1301" t="str">
        <f t="shared" si="134"/>
        <v>Steuben County Public Health</v>
      </c>
      <c r="AM1301" t="s">
        <v>108</v>
      </c>
      <c r="AN1301" t="s">
        <v>108</v>
      </c>
      <c r="AO1301" t="s">
        <v>108</v>
      </c>
      <c r="AP1301" t="s">
        <v>108</v>
      </c>
      <c r="AQ1301" t="s">
        <v>108</v>
      </c>
      <c r="AR1301" t="s">
        <v>108</v>
      </c>
      <c r="AS1301" t="s">
        <v>108</v>
      </c>
      <c r="AT1301" t="s">
        <v>108</v>
      </c>
      <c r="AU1301" t="s">
        <v>108</v>
      </c>
      <c r="AV1301" t="s">
        <v>108</v>
      </c>
      <c r="AW1301" t="s">
        <v>108</v>
      </c>
      <c r="AX1301" s="24" t="str">
        <f t="shared" si="132"/>
        <v/>
      </c>
      <c r="AY1301" s="24" t="str">
        <f t="shared" si="132"/>
        <v/>
      </c>
      <c r="AZ1301" s="24" t="str">
        <f t="shared" si="136"/>
        <v/>
      </c>
      <c r="BA1301" s="24" t="str">
        <f t="shared" si="136"/>
        <v/>
      </c>
      <c r="BB1301" s="24" t="str">
        <f t="shared" si="136"/>
        <v/>
      </c>
      <c r="BC1301" s="24" t="str">
        <f t="shared" si="136"/>
        <v/>
      </c>
      <c r="BD1301" s="24" t="str">
        <f t="shared" si="136"/>
        <v/>
      </c>
      <c r="BE1301" s="24" t="str">
        <f t="shared" si="136"/>
        <v/>
      </c>
      <c r="BF1301" s="24" t="str">
        <f t="shared" si="136"/>
        <v/>
      </c>
      <c r="BG1301" s="24" t="str">
        <f t="shared" si="136"/>
        <v/>
      </c>
      <c r="BH1301" s="24">
        <f t="shared" si="135"/>
        <v>1</v>
      </c>
      <c r="BI1301" s="24" t="str">
        <f t="shared" si="136"/>
        <v/>
      </c>
      <c r="BJ1301" s="24" t="str">
        <f t="shared" si="137"/>
        <v/>
      </c>
    </row>
    <row r="1302" spans="1:62" ht="15" customHeight="1" x14ac:dyDescent="0.25">
      <c r="A1302" t="str">
        <f>"1306257837"</f>
        <v>1306257837</v>
      </c>
      <c r="B1302" t="str">
        <f>"00355679"</f>
        <v>00355679</v>
      </c>
      <c r="C1302" t="s">
        <v>6305</v>
      </c>
      <c r="D1302" t="s">
        <v>6306</v>
      </c>
      <c r="E1302" t="s">
        <v>6305</v>
      </c>
      <c r="G1302" t="s">
        <v>6307</v>
      </c>
      <c r="H1302" t="s">
        <v>6308</v>
      </c>
      <c r="J1302" t="s">
        <v>6309</v>
      </c>
      <c r="L1302" t="s">
        <v>19</v>
      </c>
      <c r="M1302" t="s">
        <v>139</v>
      </c>
      <c r="R1302" t="s">
        <v>6305</v>
      </c>
      <c r="W1302" t="s">
        <v>6305</v>
      </c>
      <c r="X1302" t="s">
        <v>6310</v>
      </c>
      <c r="Y1302" t="s">
        <v>2791</v>
      </c>
      <c r="Z1302" t="s">
        <v>111</v>
      </c>
      <c r="AA1302" t="str">
        <f>"14810-7827"</f>
        <v>14810-7827</v>
      </c>
      <c r="AB1302" t="s">
        <v>312</v>
      </c>
      <c r="AC1302" t="s">
        <v>113</v>
      </c>
      <c r="AD1302" t="s">
        <v>108</v>
      </c>
      <c r="AE1302" t="s">
        <v>114</v>
      </c>
      <c r="AF1302" t="s">
        <v>149</v>
      </c>
      <c r="AG1302" t="s">
        <v>116</v>
      </c>
      <c r="AK1302" t="str">
        <f t="shared" si="134"/>
        <v>STEUBEN OPERATIONS ASSOCIATES LLC</v>
      </c>
      <c r="AL1302" t="s">
        <v>6306</v>
      </c>
      <c r="AM1302" t="s">
        <v>108</v>
      </c>
      <c r="AN1302" t="s">
        <v>108</v>
      </c>
      <c r="AO1302" t="s">
        <v>108</v>
      </c>
      <c r="AP1302" t="s">
        <v>108</v>
      </c>
      <c r="AQ1302" t="s">
        <v>108</v>
      </c>
      <c r="AR1302" t="s">
        <v>108</v>
      </c>
      <c r="AS1302" t="s">
        <v>108</v>
      </c>
      <c r="AT1302" t="s">
        <v>108</v>
      </c>
      <c r="AU1302" t="s">
        <v>108</v>
      </c>
      <c r="AV1302" t="s">
        <v>108</v>
      </c>
      <c r="AW1302" t="s">
        <v>108</v>
      </c>
      <c r="AX1302" s="24" t="str">
        <f t="shared" si="132"/>
        <v/>
      </c>
      <c r="AY1302" s="24" t="str">
        <f t="shared" si="132"/>
        <v/>
      </c>
      <c r="AZ1302" s="24" t="str">
        <f t="shared" si="136"/>
        <v/>
      </c>
      <c r="BA1302" s="24" t="str">
        <f t="shared" si="136"/>
        <v/>
      </c>
      <c r="BB1302" s="24" t="str">
        <f t="shared" si="136"/>
        <v/>
      </c>
      <c r="BC1302" s="24" t="str">
        <f t="shared" si="136"/>
        <v/>
      </c>
      <c r="BD1302" s="24" t="str">
        <f t="shared" si="136"/>
        <v/>
      </c>
      <c r="BE1302" s="24">
        <f t="shared" si="136"/>
        <v>1</v>
      </c>
      <c r="BF1302" s="24" t="str">
        <f t="shared" si="136"/>
        <v/>
      </c>
      <c r="BG1302" s="24" t="str">
        <f t="shared" si="136"/>
        <v/>
      </c>
      <c r="BH1302" s="24" t="str">
        <f t="shared" si="135"/>
        <v/>
      </c>
      <c r="BI1302" s="24" t="str">
        <f t="shared" si="136"/>
        <v/>
      </c>
      <c r="BJ1302" s="24" t="str">
        <f t="shared" si="137"/>
        <v/>
      </c>
    </row>
    <row r="1303" spans="1:62" ht="15" customHeight="1" x14ac:dyDescent="0.25">
      <c r="A1303" t="str">
        <f>"1083861934"</f>
        <v>1083861934</v>
      </c>
      <c r="B1303" t="str">
        <f>"03487161"</f>
        <v>03487161</v>
      </c>
      <c r="C1303" t="s">
        <v>680</v>
      </c>
      <c r="D1303" t="s">
        <v>681</v>
      </c>
      <c r="E1303" t="s">
        <v>682</v>
      </c>
      <c r="G1303" t="s">
        <v>638</v>
      </c>
      <c r="H1303" t="s">
        <v>639</v>
      </c>
      <c r="J1303" t="s">
        <v>683</v>
      </c>
      <c r="L1303" t="s">
        <v>138</v>
      </c>
      <c r="M1303" t="s">
        <v>108</v>
      </c>
      <c r="R1303" t="s">
        <v>684</v>
      </c>
      <c r="W1303" t="s">
        <v>682</v>
      </c>
      <c r="X1303" t="s">
        <v>302</v>
      </c>
      <c r="Y1303" t="s">
        <v>293</v>
      </c>
      <c r="Z1303" t="s">
        <v>111</v>
      </c>
      <c r="AA1303" t="str">
        <f>"14850-1342"</f>
        <v>14850-1342</v>
      </c>
      <c r="AB1303" t="s">
        <v>123</v>
      </c>
      <c r="AC1303" t="s">
        <v>113</v>
      </c>
      <c r="AD1303" t="s">
        <v>108</v>
      </c>
      <c r="AE1303" t="s">
        <v>114</v>
      </c>
      <c r="AF1303" t="s">
        <v>142</v>
      </c>
      <c r="AG1303" t="s">
        <v>116</v>
      </c>
      <c r="AK1303" t="str">
        <f t="shared" si="134"/>
        <v/>
      </c>
      <c r="AL1303" t="s">
        <v>681</v>
      </c>
      <c r="AM1303">
        <v>1</v>
      </c>
      <c r="AN1303">
        <v>1</v>
      </c>
      <c r="AO1303">
        <v>0</v>
      </c>
      <c r="AP1303">
        <v>0</v>
      </c>
      <c r="AQ1303">
        <v>0</v>
      </c>
      <c r="AR1303">
        <v>0</v>
      </c>
      <c r="AS1303">
        <v>0</v>
      </c>
      <c r="AT1303">
        <v>0</v>
      </c>
      <c r="AU1303">
        <v>0</v>
      </c>
      <c r="AV1303">
        <v>0</v>
      </c>
      <c r="AW1303">
        <v>0</v>
      </c>
      <c r="AX1303" s="24" t="str">
        <f t="shared" si="132"/>
        <v/>
      </c>
      <c r="AY1303" s="24">
        <f t="shared" si="132"/>
        <v>1</v>
      </c>
      <c r="AZ1303" s="24" t="str">
        <f t="shared" si="136"/>
        <v/>
      </c>
      <c r="BA1303" s="24" t="str">
        <f t="shared" si="136"/>
        <v/>
      </c>
      <c r="BB1303" s="24" t="str">
        <f t="shared" si="136"/>
        <v/>
      </c>
      <c r="BC1303" s="24" t="str">
        <f t="shared" si="136"/>
        <v/>
      </c>
      <c r="BD1303" s="24" t="str">
        <f t="shared" si="136"/>
        <v/>
      </c>
      <c r="BE1303" s="24" t="str">
        <f t="shared" si="136"/>
        <v/>
      </c>
      <c r="BF1303" s="24" t="str">
        <f t="shared" si="136"/>
        <v/>
      </c>
      <c r="BG1303" s="24" t="str">
        <f t="shared" si="136"/>
        <v/>
      </c>
      <c r="BH1303" s="24" t="str">
        <f t="shared" si="135"/>
        <v/>
      </c>
      <c r="BI1303" s="24">
        <f t="shared" si="136"/>
        <v>1</v>
      </c>
      <c r="BJ1303" s="24" t="str">
        <f t="shared" si="137"/>
        <v/>
      </c>
    </row>
    <row r="1304" spans="1:62" ht="15" customHeight="1" x14ac:dyDescent="0.25">
      <c r="A1304" t="str">
        <f>"1619047180"</f>
        <v>1619047180</v>
      </c>
      <c r="B1304" t="str">
        <f>"01583348"</f>
        <v>01583348</v>
      </c>
      <c r="C1304" t="s">
        <v>3185</v>
      </c>
      <c r="D1304" t="s">
        <v>3186</v>
      </c>
      <c r="E1304" t="s">
        <v>3187</v>
      </c>
      <c r="G1304" t="s">
        <v>3174</v>
      </c>
      <c r="H1304" t="s">
        <v>3175</v>
      </c>
      <c r="J1304" t="s">
        <v>3188</v>
      </c>
      <c r="L1304" t="s">
        <v>138</v>
      </c>
      <c r="M1304" t="s">
        <v>108</v>
      </c>
      <c r="R1304" t="s">
        <v>3189</v>
      </c>
      <c r="W1304" t="s">
        <v>3190</v>
      </c>
      <c r="X1304" t="s">
        <v>3178</v>
      </c>
      <c r="Y1304" t="s">
        <v>293</v>
      </c>
      <c r="Z1304" t="s">
        <v>111</v>
      </c>
      <c r="AA1304" t="str">
        <f>"14850-1857"</f>
        <v>14850-1857</v>
      </c>
      <c r="AB1304" t="s">
        <v>123</v>
      </c>
      <c r="AC1304" t="s">
        <v>113</v>
      </c>
      <c r="AD1304" t="s">
        <v>108</v>
      </c>
      <c r="AE1304" t="s">
        <v>114</v>
      </c>
      <c r="AF1304" t="s">
        <v>142</v>
      </c>
      <c r="AG1304" t="s">
        <v>116</v>
      </c>
      <c r="AK1304" t="str">
        <f t="shared" si="134"/>
        <v/>
      </c>
      <c r="AL1304" t="s">
        <v>3186</v>
      </c>
      <c r="AM1304">
        <v>1</v>
      </c>
      <c r="AN1304">
        <v>1</v>
      </c>
      <c r="AO1304">
        <v>0</v>
      </c>
      <c r="AP1304">
        <v>0</v>
      </c>
      <c r="AQ1304">
        <v>0</v>
      </c>
      <c r="AR1304">
        <v>0</v>
      </c>
      <c r="AS1304">
        <v>0</v>
      </c>
      <c r="AT1304">
        <v>0</v>
      </c>
      <c r="AU1304">
        <v>0</v>
      </c>
      <c r="AV1304">
        <v>0</v>
      </c>
      <c r="AW1304">
        <v>0</v>
      </c>
      <c r="AX1304" s="24" t="str">
        <f t="shared" si="132"/>
        <v/>
      </c>
      <c r="AY1304" s="24">
        <f t="shared" si="132"/>
        <v>1</v>
      </c>
      <c r="AZ1304" s="24" t="str">
        <f t="shared" si="136"/>
        <v/>
      </c>
      <c r="BA1304" s="24" t="str">
        <f t="shared" si="136"/>
        <v/>
      </c>
      <c r="BB1304" s="24" t="str">
        <f t="shared" si="136"/>
        <v/>
      </c>
      <c r="BC1304" s="24" t="str">
        <f t="shared" si="136"/>
        <v/>
      </c>
      <c r="BD1304" s="24" t="str">
        <f t="shared" si="136"/>
        <v/>
      </c>
      <c r="BE1304" s="24" t="str">
        <f t="shared" si="136"/>
        <v/>
      </c>
      <c r="BF1304" s="24" t="str">
        <f t="shared" si="136"/>
        <v/>
      </c>
      <c r="BG1304" s="24" t="str">
        <f t="shared" si="136"/>
        <v/>
      </c>
      <c r="BH1304" s="24" t="str">
        <f t="shared" si="135"/>
        <v/>
      </c>
      <c r="BI1304" s="24">
        <f t="shared" si="136"/>
        <v>1</v>
      </c>
      <c r="BJ1304" s="24" t="str">
        <f t="shared" si="137"/>
        <v/>
      </c>
    </row>
    <row r="1305" spans="1:62" ht="15" customHeight="1" x14ac:dyDescent="0.25">
      <c r="A1305" t="str">
        <f>"1396736500"</f>
        <v>1396736500</v>
      </c>
      <c r="B1305" t="str">
        <f>"01340918"</f>
        <v>01340918</v>
      </c>
      <c r="C1305" t="s">
        <v>5399</v>
      </c>
      <c r="D1305" t="s">
        <v>5400</v>
      </c>
      <c r="E1305" t="s">
        <v>5401</v>
      </c>
      <c r="G1305" t="s">
        <v>5399</v>
      </c>
      <c r="H1305" t="s">
        <v>3687</v>
      </c>
      <c r="J1305" t="s">
        <v>5402</v>
      </c>
      <c r="L1305" t="s">
        <v>138</v>
      </c>
      <c r="M1305" t="s">
        <v>108</v>
      </c>
      <c r="R1305" t="s">
        <v>5403</v>
      </c>
      <c r="W1305" t="s">
        <v>5401</v>
      </c>
      <c r="Y1305" t="s">
        <v>129</v>
      </c>
      <c r="Z1305" t="s">
        <v>111</v>
      </c>
      <c r="AA1305" t="str">
        <f>"13790-2558"</f>
        <v>13790-2558</v>
      </c>
      <c r="AB1305" t="s">
        <v>123</v>
      </c>
      <c r="AC1305" t="s">
        <v>113</v>
      </c>
      <c r="AD1305" t="s">
        <v>108</v>
      </c>
      <c r="AE1305" t="s">
        <v>114</v>
      </c>
      <c r="AF1305" t="s">
        <v>115</v>
      </c>
      <c r="AG1305" t="s">
        <v>116</v>
      </c>
      <c r="AK1305" t="str">
        <f t="shared" si="134"/>
        <v/>
      </c>
      <c r="AL1305" t="s">
        <v>5400</v>
      </c>
      <c r="AM1305">
        <v>0</v>
      </c>
      <c r="AN1305">
        <v>0</v>
      </c>
      <c r="AO1305">
        <v>0</v>
      </c>
      <c r="AP1305">
        <v>0</v>
      </c>
      <c r="AQ1305">
        <v>0</v>
      </c>
      <c r="AR1305">
        <v>0</v>
      </c>
      <c r="AS1305">
        <v>0</v>
      </c>
      <c r="AT1305">
        <v>0</v>
      </c>
      <c r="AU1305">
        <v>0</v>
      </c>
      <c r="AV1305">
        <v>0</v>
      </c>
      <c r="AW1305">
        <v>0</v>
      </c>
      <c r="AX1305" s="24" t="str">
        <f t="shared" si="132"/>
        <v/>
      </c>
      <c r="AY1305" s="24">
        <f t="shared" si="132"/>
        <v>1</v>
      </c>
      <c r="AZ1305" s="24" t="str">
        <f t="shared" si="136"/>
        <v/>
      </c>
      <c r="BA1305" s="24" t="str">
        <f t="shared" si="136"/>
        <v/>
      </c>
      <c r="BB1305" s="24" t="str">
        <f t="shared" si="136"/>
        <v/>
      </c>
      <c r="BC1305" s="24" t="str">
        <f t="shared" si="136"/>
        <v/>
      </c>
      <c r="BD1305" s="24" t="str">
        <f t="shared" si="136"/>
        <v/>
      </c>
      <c r="BE1305" s="24" t="str">
        <f t="shared" si="136"/>
        <v/>
      </c>
      <c r="BF1305" s="24" t="str">
        <f t="shared" si="136"/>
        <v/>
      </c>
      <c r="BG1305" s="24" t="str">
        <f t="shared" si="136"/>
        <v/>
      </c>
      <c r="BH1305" s="24" t="str">
        <f t="shared" si="135"/>
        <v/>
      </c>
      <c r="BI1305" s="24">
        <f t="shared" si="136"/>
        <v>1</v>
      </c>
      <c r="BJ1305" s="24" t="str">
        <f t="shared" si="137"/>
        <v/>
      </c>
    </row>
    <row r="1306" spans="1:62" ht="15" customHeight="1" x14ac:dyDescent="0.25">
      <c r="A1306" t="str">
        <f>"1548231087"</f>
        <v>1548231087</v>
      </c>
      <c r="B1306" t="str">
        <f>"01670915"</f>
        <v>01670915</v>
      </c>
      <c r="C1306" t="s">
        <v>1499</v>
      </c>
      <c r="D1306" t="s">
        <v>1500</v>
      </c>
      <c r="E1306" t="s">
        <v>1501</v>
      </c>
      <c r="G1306" t="s">
        <v>1502</v>
      </c>
      <c r="H1306" t="s">
        <v>1503</v>
      </c>
      <c r="J1306" t="s">
        <v>1504</v>
      </c>
      <c r="L1306" t="s">
        <v>138</v>
      </c>
      <c r="M1306" t="s">
        <v>108</v>
      </c>
      <c r="R1306" t="s">
        <v>1505</v>
      </c>
      <c r="W1306" t="s">
        <v>1501</v>
      </c>
      <c r="X1306" t="s">
        <v>1506</v>
      </c>
      <c r="Y1306" t="s">
        <v>293</v>
      </c>
      <c r="Z1306" t="s">
        <v>111</v>
      </c>
      <c r="AA1306" t="str">
        <f>"14850-1345"</f>
        <v>14850-1345</v>
      </c>
      <c r="AB1306" t="s">
        <v>123</v>
      </c>
      <c r="AC1306" t="s">
        <v>113</v>
      </c>
      <c r="AD1306" t="s">
        <v>108</v>
      </c>
      <c r="AE1306" t="s">
        <v>114</v>
      </c>
      <c r="AF1306" t="s">
        <v>142</v>
      </c>
      <c r="AG1306" t="s">
        <v>116</v>
      </c>
      <c r="AK1306" t="str">
        <f t="shared" si="134"/>
        <v/>
      </c>
      <c r="AL1306" t="s">
        <v>1500</v>
      </c>
      <c r="AM1306">
        <v>1</v>
      </c>
      <c r="AN1306">
        <v>1</v>
      </c>
      <c r="AO1306">
        <v>0</v>
      </c>
      <c r="AP1306">
        <v>0</v>
      </c>
      <c r="AQ1306">
        <v>0</v>
      </c>
      <c r="AR1306">
        <v>0</v>
      </c>
      <c r="AS1306">
        <v>0</v>
      </c>
      <c r="AT1306">
        <v>0</v>
      </c>
      <c r="AU1306">
        <v>0</v>
      </c>
      <c r="AV1306">
        <v>0</v>
      </c>
      <c r="AW1306">
        <v>0</v>
      </c>
      <c r="AX1306" s="24" t="str">
        <f t="shared" si="132"/>
        <v/>
      </c>
      <c r="AY1306" s="24">
        <f t="shared" si="132"/>
        <v>1</v>
      </c>
      <c r="AZ1306" s="24" t="str">
        <f t="shared" si="136"/>
        <v/>
      </c>
      <c r="BA1306" s="24" t="str">
        <f t="shared" si="136"/>
        <v/>
      </c>
      <c r="BB1306" s="24" t="str">
        <f t="shared" si="136"/>
        <v/>
      </c>
      <c r="BC1306" s="24" t="str">
        <f t="shared" si="136"/>
        <v/>
      </c>
      <c r="BD1306" s="24" t="str">
        <f t="shared" si="136"/>
        <v/>
      </c>
      <c r="BE1306" s="24" t="str">
        <f t="shared" si="136"/>
        <v/>
      </c>
      <c r="BF1306" s="24" t="str">
        <f t="shared" si="136"/>
        <v/>
      </c>
      <c r="BG1306" s="24" t="str">
        <f t="shared" si="136"/>
        <v/>
      </c>
      <c r="BH1306" s="24" t="str">
        <f t="shared" si="135"/>
        <v/>
      </c>
      <c r="BI1306" s="24">
        <f t="shared" si="136"/>
        <v>1</v>
      </c>
      <c r="BJ1306" s="24" t="str">
        <f t="shared" si="137"/>
        <v/>
      </c>
    </row>
    <row r="1307" spans="1:62" ht="15" customHeight="1" x14ac:dyDescent="0.25">
      <c r="A1307" t="str">
        <f>"1881001956"</f>
        <v>1881001956</v>
      </c>
      <c r="B1307" t="str">
        <f>"03950209"</f>
        <v>03950209</v>
      </c>
      <c r="C1307" t="s">
        <v>6770</v>
      </c>
      <c r="D1307" t="s">
        <v>7042</v>
      </c>
      <c r="E1307" t="s">
        <v>6770</v>
      </c>
      <c r="G1307" t="s">
        <v>7184</v>
      </c>
      <c r="H1307" t="s">
        <v>2379</v>
      </c>
      <c r="J1307" t="s">
        <v>7185</v>
      </c>
      <c r="L1307" t="s">
        <v>138</v>
      </c>
      <c r="M1307" t="s">
        <v>108</v>
      </c>
      <c r="R1307" t="s">
        <v>6770</v>
      </c>
      <c r="W1307" t="s">
        <v>6898</v>
      </c>
      <c r="X1307" t="s">
        <v>2382</v>
      </c>
      <c r="Y1307" t="s">
        <v>979</v>
      </c>
      <c r="Z1307" t="s">
        <v>111</v>
      </c>
      <c r="AA1307" t="str">
        <f>"13760-3646"</f>
        <v>13760-3646</v>
      </c>
      <c r="AB1307" t="s">
        <v>123</v>
      </c>
      <c r="AC1307" t="s">
        <v>113</v>
      </c>
      <c r="AD1307" t="s">
        <v>108</v>
      </c>
      <c r="AE1307" t="s">
        <v>114</v>
      </c>
      <c r="AF1307" t="s">
        <v>115</v>
      </c>
      <c r="AG1307" t="s">
        <v>116</v>
      </c>
      <c r="AK1307" t="str">
        <f t="shared" si="134"/>
        <v>STEWART BETH</v>
      </c>
      <c r="AL1307" t="s">
        <v>7042</v>
      </c>
      <c r="AM1307" t="s">
        <v>108</v>
      </c>
      <c r="AN1307" t="s">
        <v>108</v>
      </c>
      <c r="AO1307" t="s">
        <v>108</v>
      </c>
      <c r="AP1307" t="s">
        <v>108</v>
      </c>
      <c r="AQ1307" t="s">
        <v>108</v>
      </c>
      <c r="AR1307" t="s">
        <v>108</v>
      </c>
      <c r="AS1307" t="s">
        <v>108</v>
      </c>
      <c r="AT1307" t="s">
        <v>108</v>
      </c>
      <c r="AU1307" t="s">
        <v>108</v>
      </c>
      <c r="AV1307" t="s">
        <v>108</v>
      </c>
      <c r="AW1307" t="s">
        <v>108</v>
      </c>
      <c r="AX1307" s="24" t="str">
        <f t="shared" si="132"/>
        <v/>
      </c>
      <c r="AY1307" s="24">
        <f t="shared" si="132"/>
        <v>1</v>
      </c>
      <c r="AZ1307" s="24" t="str">
        <f t="shared" si="136"/>
        <v/>
      </c>
      <c r="BA1307" s="24" t="str">
        <f t="shared" si="136"/>
        <v/>
      </c>
      <c r="BB1307" s="24" t="str">
        <f t="shared" si="136"/>
        <v/>
      </c>
      <c r="BC1307" s="24" t="str">
        <f t="shared" si="136"/>
        <v/>
      </c>
      <c r="BD1307" s="24" t="str">
        <f t="shared" si="136"/>
        <v/>
      </c>
      <c r="BE1307" s="24" t="str">
        <f t="shared" si="136"/>
        <v/>
      </c>
      <c r="BF1307" s="24" t="str">
        <f t="shared" si="136"/>
        <v/>
      </c>
      <c r="BG1307" s="24" t="str">
        <f t="shared" si="136"/>
        <v/>
      </c>
      <c r="BH1307" s="24" t="str">
        <f t="shared" si="135"/>
        <v/>
      </c>
      <c r="BI1307" s="24">
        <f t="shared" si="136"/>
        <v>1</v>
      </c>
      <c r="BJ1307" s="24" t="str">
        <f t="shared" si="137"/>
        <v/>
      </c>
    </row>
    <row r="1308" spans="1:62" ht="15" customHeight="1" x14ac:dyDescent="0.25">
      <c r="A1308" t="str">
        <f>"1780990143"</f>
        <v>1780990143</v>
      </c>
      <c r="B1308" t="str">
        <f>"03253789"</f>
        <v>03253789</v>
      </c>
      <c r="C1308" t="s">
        <v>1025</v>
      </c>
      <c r="D1308" t="s">
        <v>1026</v>
      </c>
      <c r="E1308" t="s">
        <v>1027</v>
      </c>
      <c r="L1308" t="s">
        <v>809</v>
      </c>
      <c r="M1308" t="s">
        <v>108</v>
      </c>
      <c r="R1308" t="s">
        <v>1028</v>
      </c>
      <c r="W1308" t="s">
        <v>1029</v>
      </c>
      <c r="X1308" t="s">
        <v>1009</v>
      </c>
      <c r="Y1308" t="s">
        <v>110</v>
      </c>
      <c r="Z1308" t="s">
        <v>111</v>
      </c>
      <c r="AA1308" t="str">
        <f>"13903-1617"</f>
        <v>13903-1617</v>
      </c>
      <c r="AB1308" t="s">
        <v>123</v>
      </c>
      <c r="AC1308" t="s">
        <v>113</v>
      </c>
      <c r="AD1308" t="s">
        <v>108</v>
      </c>
      <c r="AE1308" t="s">
        <v>114</v>
      </c>
      <c r="AF1308" t="s">
        <v>115</v>
      </c>
      <c r="AG1308" t="s">
        <v>116</v>
      </c>
      <c r="AK1308" t="str">
        <f t="shared" si="134"/>
        <v/>
      </c>
      <c r="AL1308" t="s">
        <v>1026</v>
      </c>
      <c r="AM1308">
        <v>0</v>
      </c>
      <c r="AN1308">
        <v>0</v>
      </c>
      <c r="AO1308">
        <v>0</v>
      </c>
      <c r="AP1308">
        <v>0</v>
      </c>
      <c r="AQ1308">
        <v>0</v>
      </c>
      <c r="AR1308">
        <v>0</v>
      </c>
      <c r="AS1308">
        <v>0</v>
      </c>
      <c r="AT1308">
        <v>0</v>
      </c>
      <c r="AU1308">
        <v>0</v>
      </c>
      <c r="AV1308">
        <v>0</v>
      </c>
      <c r="AW1308">
        <v>0</v>
      </c>
      <c r="AX1308" s="24" t="str">
        <f t="shared" si="132"/>
        <v/>
      </c>
      <c r="AY1308" s="24">
        <f t="shared" si="132"/>
        <v>1</v>
      </c>
      <c r="AZ1308" s="24" t="str">
        <f t="shared" si="136"/>
        <v/>
      </c>
      <c r="BA1308" s="24" t="str">
        <f t="shared" si="136"/>
        <v/>
      </c>
      <c r="BB1308" s="24" t="str">
        <f t="shared" si="136"/>
        <v/>
      </c>
      <c r="BC1308" s="24">
        <f t="shared" si="136"/>
        <v>1</v>
      </c>
      <c r="BD1308" s="24" t="str">
        <f t="shared" si="136"/>
        <v/>
      </c>
      <c r="BE1308" s="24" t="str">
        <f t="shared" si="136"/>
        <v/>
      </c>
      <c r="BF1308" s="24" t="str">
        <f t="shared" si="136"/>
        <v/>
      </c>
      <c r="BG1308" s="24" t="str">
        <f t="shared" si="136"/>
        <v/>
      </c>
      <c r="BH1308" s="24" t="str">
        <f t="shared" si="135"/>
        <v/>
      </c>
      <c r="BI1308" s="24" t="str">
        <f t="shared" si="136"/>
        <v/>
      </c>
      <c r="BJ1308" s="24" t="str">
        <f t="shared" si="137"/>
        <v/>
      </c>
    </row>
    <row r="1309" spans="1:62" ht="15" customHeight="1" x14ac:dyDescent="0.25">
      <c r="A1309" t="str">
        <f>"1275797060"</f>
        <v>1275797060</v>
      </c>
      <c r="B1309" t="str">
        <f>"03376423"</f>
        <v>03376423</v>
      </c>
      <c r="C1309" t="s">
        <v>2712</v>
      </c>
      <c r="D1309" t="s">
        <v>2713</v>
      </c>
      <c r="E1309" t="s">
        <v>2714</v>
      </c>
      <c r="G1309" t="s">
        <v>177</v>
      </c>
      <c r="H1309" t="s">
        <v>178</v>
      </c>
      <c r="J1309" t="s">
        <v>179</v>
      </c>
      <c r="L1309" t="s">
        <v>138</v>
      </c>
      <c r="M1309" t="s">
        <v>108</v>
      </c>
      <c r="R1309" t="s">
        <v>2712</v>
      </c>
      <c r="W1309" t="s">
        <v>2714</v>
      </c>
      <c r="X1309" t="s">
        <v>196</v>
      </c>
      <c r="Y1309" t="s">
        <v>181</v>
      </c>
      <c r="Z1309" t="s">
        <v>182</v>
      </c>
      <c r="AA1309" t="str">
        <f>"18840-1625"</f>
        <v>18840-1625</v>
      </c>
      <c r="AB1309" t="s">
        <v>123</v>
      </c>
      <c r="AC1309" t="s">
        <v>113</v>
      </c>
      <c r="AD1309" t="s">
        <v>108</v>
      </c>
      <c r="AE1309" t="s">
        <v>114</v>
      </c>
      <c r="AF1309" t="s">
        <v>115</v>
      </c>
      <c r="AG1309" t="s">
        <v>116</v>
      </c>
      <c r="AK1309" t="str">
        <f t="shared" si="134"/>
        <v/>
      </c>
      <c r="AL1309" t="s">
        <v>2713</v>
      </c>
      <c r="AM1309">
        <v>0</v>
      </c>
      <c r="AN1309">
        <v>0</v>
      </c>
      <c r="AO1309">
        <v>0</v>
      </c>
      <c r="AP1309">
        <v>0</v>
      </c>
      <c r="AQ1309">
        <v>0</v>
      </c>
      <c r="AR1309">
        <v>0</v>
      </c>
      <c r="AS1309">
        <v>0</v>
      </c>
      <c r="AT1309">
        <v>0</v>
      </c>
      <c r="AU1309">
        <v>0</v>
      </c>
      <c r="AV1309">
        <v>0</v>
      </c>
      <c r="AW1309">
        <v>0</v>
      </c>
      <c r="AX1309" s="24" t="str">
        <f t="shared" si="132"/>
        <v/>
      </c>
      <c r="AY1309" s="24">
        <f t="shared" si="132"/>
        <v>1</v>
      </c>
      <c r="AZ1309" s="24" t="str">
        <f t="shared" si="136"/>
        <v/>
      </c>
      <c r="BA1309" s="24" t="str">
        <f t="shared" si="136"/>
        <v/>
      </c>
      <c r="BB1309" s="24" t="str">
        <f t="shared" si="136"/>
        <v/>
      </c>
      <c r="BC1309" s="24" t="str">
        <f t="shared" si="136"/>
        <v/>
      </c>
      <c r="BD1309" s="24" t="str">
        <f t="shared" si="136"/>
        <v/>
      </c>
      <c r="BE1309" s="24" t="str">
        <f t="shared" si="136"/>
        <v/>
      </c>
      <c r="BF1309" s="24" t="str">
        <f t="shared" si="136"/>
        <v/>
      </c>
      <c r="BG1309" s="24" t="str">
        <f t="shared" si="136"/>
        <v/>
      </c>
      <c r="BH1309" s="24" t="str">
        <f t="shared" si="135"/>
        <v/>
      </c>
      <c r="BI1309" s="24">
        <f t="shared" si="136"/>
        <v>1</v>
      </c>
      <c r="BJ1309" s="24" t="str">
        <f t="shared" si="137"/>
        <v/>
      </c>
    </row>
    <row r="1310" spans="1:62" ht="15" customHeight="1" x14ac:dyDescent="0.25">
      <c r="A1310" t="str">
        <f>"1861411613"</f>
        <v>1861411613</v>
      </c>
      <c r="B1310" t="str">
        <f>"02672035"</f>
        <v>02672035</v>
      </c>
      <c r="C1310" t="s">
        <v>6487</v>
      </c>
      <c r="D1310" t="s">
        <v>6488</v>
      </c>
      <c r="E1310" t="s">
        <v>6489</v>
      </c>
      <c r="G1310" t="s">
        <v>2363</v>
      </c>
      <c r="H1310" t="s">
        <v>2364</v>
      </c>
      <c r="J1310" t="s">
        <v>5847</v>
      </c>
      <c r="L1310" t="s">
        <v>120</v>
      </c>
      <c r="M1310" t="s">
        <v>108</v>
      </c>
      <c r="R1310" t="s">
        <v>6490</v>
      </c>
      <c r="W1310" t="s">
        <v>6489</v>
      </c>
      <c r="X1310" t="s">
        <v>583</v>
      </c>
      <c r="Y1310" t="s">
        <v>293</v>
      </c>
      <c r="Z1310" t="s">
        <v>111</v>
      </c>
      <c r="AA1310" t="str">
        <f>"14850-1857"</f>
        <v>14850-1857</v>
      </c>
      <c r="AB1310" t="s">
        <v>123</v>
      </c>
      <c r="AC1310" t="s">
        <v>113</v>
      </c>
      <c r="AD1310" t="s">
        <v>108</v>
      </c>
      <c r="AE1310" t="s">
        <v>114</v>
      </c>
      <c r="AF1310" t="s">
        <v>142</v>
      </c>
      <c r="AG1310" t="s">
        <v>116</v>
      </c>
      <c r="AK1310" t="str">
        <f t="shared" si="134"/>
        <v>Storm Shawnti</v>
      </c>
      <c r="AL1310" t="s">
        <v>6488</v>
      </c>
      <c r="AM1310" t="s">
        <v>108</v>
      </c>
      <c r="AN1310" t="s">
        <v>108</v>
      </c>
      <c r="AO1310" t="s">
        <v>108</v>
      </c>
      <c r="AP1310" t="s">
        <v>108</v>
      </c>
      <c r="AQ1310" t="s">
        <v>108</v>
      </c>
      <c r="AR1310" t="s">
        <v>108</v>
      </c>
      <c r="AS1310" t="s">
        <v>108</v>
      </c>
      <c r="AT1310" t="s">
        <v>108</v>
      </c>
      <c r="AU1310" t="s">
        <v>108</v>
      </c>
      <c r="AV1310" t="s">
        <v>108</v>
      </c>
      <c r="AW1310" t="s">
        <v>108</v>
      </c>
      <c r="AX1310" s="24">
        <f t="shared" si="132"/>
        <v>1</v>
      </c>
      <c r="AY1310" s="24" t="str">
        <f t="shared" si="132"/>
        <v/>
      </c>
      <c r="AZ1310" s="24" t="str">
        <f t="shared" si="136"/>
        <v/>
      </c>
      <c r="BA1310" s="24" t="str">
        <f t="shared" si="136"/>
        <v/>
      </c>
      <c r="BB1310" s="24" t="str">
        <f t="shared" si="136"/>
        <v/>
      </c>
      <c r="BC1310" s="24" t="str">
        <f t="shared" si="136"/>
        <v/>
      </c>
      <c r="BD1310" s="24" t="str">
        <f t="shared" si="136"/>
        <v/>
      </c>
      <c r="BE1310" s="24" t="str">
        <f t="shared" si="136"/>
        <v/>
      </c>
      <c r="BF1310" s="24" t="str">
        <f t="shared" si="136"/>
        <v/>
      </c>
      <c r="BG1310" s="24" t="str">
        <f t="shared" si="136"/>
        <v/>
      </c>
      <c r="BH1310" s="24" t="str">
        <f t="shared" si="135"/>
        <v/>
      </c>
      <c r="BI1310" s="24">
        <f t="shared" si="136"/>
        <v>1</v>
      </c>
      <c r="BJ1310" s="24" t="str">
        <f t="shared" si="137"/>
        <v/>
      </c>
    </row>
    <row r="1311" spans="1:62" ht="15" customHeight="1" x14ac:dyDescent="0.25">
      <c r="A1311" t="str">
        <f>"1689652174"</f>
        <v>1689652174</v>
      </c>
      <c r="B1311" t="str">
        <f>"02503964"</f>
        <v>02503964</v>
      </c>
      <c r="C1311" t="s">
        <v>5235</v>
      </c>
      <c r="D1311" t="s">
        <v>5236</v>
      </c>
      <c r="E1311" t="s">
        <v>5235</v>
      </c>
      <c r="G1311" t="s">
        <v>1488</v>
      </c>
      <c r="H1311" t="s">
        <v>787</v>
      </c>
      <c r="J1311" t="s">
        <v>1489</v>
      </c>
      <c r="L1311" t="s">
        <v>442</v>
      </c>
      <c r="M1311" t="s">
        <v>139</v>
      </c>
      <c r="R1311" t="s">
        <v>5237</v>
      </c>
      <c r="W1311" t="s">
        <v>5235</v>
      </c>
      <c r="X1311" t="s">
        <v>5238</v>
      </c>
      <c r="Y1311" t="s">
        <v>239</v>
      </c>
      <c r="Z1311" t="s">
        <v>111</v>
      </c>
      <c r="AA1311" t="str">
        <f>"13045-6606"</f>
        <v>13045-6606</v>
      </c>
      <c r="AB1311" t="s">
        <v>123</v>
      </c>
      <c r="AC1311" t="s">
        <v>113</v>
      </c>
      <c r="AD1311" t="s">
        <v>108</v>
      </c>
      <c r="AE1311" t="s">
        <v>114</v>
      </c>
      <c r="AF1311" t="s">
        <v>142</v>
      </c>
      <c r="AG1311" t="s">
        <v>116</v>
      </c>
      <c r="AK1311" t="str">
        <f t="shared" si="134"/>
        <v/>
      </c>
      <c r="AL1311" t="s">
        <v>5236</v>
      </c>
      <c r="AM1311">
        <v>0</v>
      </c>
      <c r="AN1311">
        <v>0</v>
      </c>
      <c r="AO1311">
        <v>0</v>
      </c>
      <c r="AP1311">
        <v>0</v>
      </c>
      <c r="AQ1311">
        <v>0</v>
      </c>
      <c r="AR1311">
        <v>0</v>
      </c>
      <c r="AS1311">
        <v>0</v>
      </c>
      <c r="AT1311">
        <v>0</v>
      </c>
      <c r="AU1311">
        <v>0</v>
      </c>
      <c r="AV1311">
        <v>0</v>
      </c>
      <c r="AW1311">
        <v>0</v>
      </c>
      <c r="AX1311" s="24">
        <f t="shared" si="132"/>
        <v>1</v>
      </c>
      <c r="AY1311" s="24" t="str">
        <f t="shared" si="132"/>
        <v/>
      </c>
      <c r="AZ1311" s="24" t="str">
        <f t="shared" si="136"/>
        <v/>
      </c>
      <c r="BA1311" s="24" t="str">
        <f t="shared" si="136"/>
        <v/>
      </c>
      <c r="BB1311" s="24" t="str">
        <f t="shared" si="136"/>
        <v/>
      </c>
      <c r="BC1311" s="24" t="str">
        <f t="shared" si="136"/>
        <v/>
      </c>
      <c r="BD1311" s="24" t="str">
        <f t="shared" si="136"/>
        <v/>
      </c>
      <c r="BE1311" s="24" t="str">
        <f t="shared" si="136"/>
        <v/>
      </c>
      <c r="BF1311" s="24" t="str">
        <f t="shared" si="136"/>
        <v/>
      </c>
      <c r="BG1311" s="24" t="str">
        <f t="shared" si="136"/>
        <v/>
      </c>
      <c r="BH1311" s="24" t="str">
        <f t="shared" si="135"/>
        <v/>
      </c>
      <c r="BI1311" s="24" t="str">
        <f t="shared" si="136"/>
        <v/>
      </c>
      <c r="BJ1311" s="24" t="str">
        <f t="shared" si="137"/>
        <v/>
      </c>
    </row>
    <row r="1312" spans="1:62" ht="15" customHeight="1" x14ac:dyDescent="0.25">
      <c r="A1312" t="str">
        <f>"1568438679"</f>
        <v>1568438679</v>
      </c>
      <c r="B1312" t="str">
        <f>"02942345"</f>
        <v>02942345</v>
      </c>
      <c r="C1312" t="s">
        <v>6799</v>
      </c>
      <c r="D1312" t="s">
        <v>7075</v>
      </c>
      <c r="E1312" t="s">
        <v>7076</v>
      </c>
      <c r="G1312" t="s">
        <v>6330</v>
      </c>
      <c r="H1312" t="s">
        <v>6331</v>
      </c>
      <c r="J1312" t="s">
        <v>6332</v>
      </c>
      <c r="L1312" t="s">
        <v>138</v>
      </c>
      <c r="M1312" t="s">
        <v>108</v>
      </c>
      <c r="R1312" t="s">
        <v>6799</v>
      </c>
      <c r="W1312" t="s">
        <v>6937</v>
      </c>
      <c r="X1312" t="s">
        <v>204</v>
      </c>
      <c r="Y1312" t="s">
        <v>110</v>
      </c>
      <c r="Z1312" t="s">
        <v>111</v>
      </c>
      <c r="AA1312" t="str">
        <f>"13905-4246"</f>
        <v>13905-4246</v>
      </c>
      <c r="AB1312" t="s">
        <v>123</v>
      </c>
      <c r="AC1312" t="s">
        <v>113</v>
      </c>
      <c r="AD1312" t="s">
        <v>108</v>
      </c>
      <c r="AE1312" t="s">
        <v>114</v>
      </c>
      <c r="AF1312" t="s">
        <v>115</v>
      </c>
      <c r="AG1312" t="s">
        <v>116</v>
      </c>
      <c r="AK1312" t="str">
        <f t="shared" si="134"/>
        <v>STOUGHTON JAMES DR.</v>
      </c>
      <c r="AL1312" t="s">
        <v>7075</v>
      </c>
      <c r="AM1312" t="s">
        <v>108</v>
      </c>
      <c r="AN1312" t="s">
        <v>108</v>
      </c>
      <c r="AO1312" t="s">
        <v>108</v>
      </c>
      <c r="AP1312" t="s">
        <v>108</v>
      </c>
      <c r="AQ1312" t="s">
        <v>108</v>
      </c>
      <c r="AR1312" t="s">
        <v>108</v>
      </c>
      <c r="AS1312" t="s">
        <v>108</v>
      </c>
      <c r="AT1312" t="s">
        <v>108</v>
      </c>
      <c r="AU1312" t="s">
        <v>108</v>
      </c>
      <c r="AV1312" t="s">
        <v>108</v>
      </c>
      <c r="AW1312" t="s">
        <v>108</v>
      </c>
      <c r="AX1312" s="24" t="str">
        <f t="shared" si="132"/>
        <v/>
      </c>
      <c r="AY1312" s="24">
        <f t="shared" si="132"/>
        <v>1</v>
      </c>
      <c r="AZ1312" s="24" t="str">
        <f t="shared" si="136"/>
        <v/>
      </c>
      <c r="BA1312" s="24" t="str">
        <f t="shared" si="136"/>
        <v/>
      </c>
      <c r="BB1312" s="24" t="str">
        <f t="shared" si="136"/>
        <v/>
      </c>
      <c r="BC1312" s="24" t="str">
        <f t="shared" si="136"/>
        <v/>
      </c>
      <c r="BD1312" s="24" t="str">
        <f t="shared" si="136"/>
        <v/>
      </c>
      <c r="BE1312" s="24" t="str">
        <f t="shared" si="136"/>
        <v/>
      </c>
      <c r="BF1312" s="24" t="str">
        <f t="shared" si="136"/>
        <v/>
      </c>
      <c r="BG1312" s="24" t="str">
        <f t="shared" si="136"/>
        <v/>
      </c>
      <c r="BH1312" s="24" t="str">
        <f t="shared" si="135"/>
        <v/>
      </c>
      <c r="BI1312" s="24">
        <f t="shared" si="136"/>
        <v>1</v>
      </c>
      <c r="BJ1312" s="24" t="str">
        <f t="shared" si="137"/>
        <v/>
      </c>
    </row>
    <row r="1313" spans="1:62" ht="15" customHeight="1" x14ac:dyDescent="0.25">
      <c r="A1313" t="str">
        <f>"1952397689"</f>
        <v>1952397689</v>
      </c>
      <c r="B1313" t="str">
        <f>"02426364"</f>
        <v>02426364</v>
      </c>
      <c r="C1313" t="s">
        <v>1030</v>
      </c>
      <c r="D1313" t="s">
        <v>1031</v>
      </c>
      <c r="E1313" t="s">
        <v>1032</v>
      </c>
      <c r="L1313" t="s">
        <v>120</v>
      </c>
      <c r="M1313" t="s">
        <v>108</v>
      </c>
      <c r="R1313" t="s">
        <v>1030</v>
      </c>
      <c r="W1313" t="s">
        <v>1032</v>
      </c>
      <c r="X1313" t="s">
        <v>134</v>
      </c>
      <c r="Y1313" t="s">
        <v>129</v>
      </c>
      <c r="Z1313" t="s">
        <v>111</v>
      </c>
      <c r="AA1313" t="str">
        <f>"13790-2558"</f>
        <v>13790-2558</v>
      </c>
      <c r="AB1313" t="s">
        <v>123</v>
      </c>
      <c r="AC1313" t="s">
        <v>113</v>
      </c>
      <c r="AD1313" t="s">
        <v>108</v>
      </c>
      <c r="AE1313" t="s">
        <v>114</v>
      </c>
      <c r="AF1313" t="s">
        <v>115</v>
      </c>
      <c r="AG1313" t="s">
        <v>116</v>
      </c>
      <c r="AK1313" t="str">
        <f t="shared" si="134"/>
        <v/>
      </c>
      <c r="AL1313" t="s">
        <v>1031</v>
      </c>
      <c r="AM1313">
        <v>0</v>
      </c>
      <c r="AN1313">
        <v>0</v>
      </c>
      <c r="AO1313">
        <v>0</v>
      </c>
      <c r="AP1313">
        <v>0</v>
      </c>
      <c r="AQ1313">
        <v>0</v>
      </c>
      <c r="AR1313">
        <v>0</v>
      </c>
      <c r="AS1313">
        <v>0</v>
      </c>
      <c r="AT1313">
        <v>0</v>
      </c>
      <c r="AU1313">
        <v>0</v>
      </c>
      <c r="AV1313">
        <v>0</v>
      </c>
      <c r="AW1313">
        <v>0</v>
      </c>
      <c r="AX1313" s="24">
        <f t="shared" si="132"/>
        <v>1</v>
      </c>
      <c r="AY1313" s="24" t="str">
        <f t="shared" si="132"/>
        <v/>
      </c>
      <c r="AZ1313" s="24" t="str">
        <f t="shared" si="136"/>
        <v/>
      </c>
      <c r="BA1313" s="24" t="str">
        <f t="shared" si="136"/>
        <v/>
      </c>
      <c r="BB1313" s="24" t="str">
        <f t="shared" si="136"/>
        <v/>
      </c>
      <c r="BC1313" s="24" t="str">
        <f t="shared" si="136"/>
        <v/>
      </c>
      <c r="BD1313" s="24" t="str">
        <f t="shared" si="136"/>
        <v/>
      </c>
      <c r="BE1313" s="24" t="str">
        <f t="shared" si="136"/>
        <v/>
      </c>
      <c r="BF1313" s="24" t="str">
        <f t="shared" si="136"/>
        <v/>
      </c>
      <c r="BG1313" s="24" t="str">
        <f t="shared" si="136"/>
        <v/>
      </c>
      <c r="BH1313" s="24" t="str">
        <f t="shared" si="135"/>
        <v/>
      </c>
      <c r="BI1313" s="24">
        <f t="shared" si="136"/>
        <v>1</v>
      </c>
      <c r="BJ1313" s="24" t="str">
        <f t="shared" si="137"/>
        <v/>
      </c>
    </row>
    <row r="1314" spans="1:62" ht="15" customHeight="1" x14ac:dyDescent="0.25">
      <c r="A1314" t="str">
        <f>"1396746848"</f>
        <v>1396746848</v>
      </c>
      <c r="B1314" t="str">
        <f>"00836420"</f>
        <v>00836420</v>
      </c>
      <c r="C1314" t="s">
        <v>6851</v>
      </c>
      <c r="D1314" t="s">
        <v>7145</v>
      </c>
      <c r="E1314" t="s">
        <v>6998</v>
      </c>
      <c r="G1314" t="s">
        <v>6330</v>
      </c>
      <c r="H1314" t="s">
        <v>6331</v>
      </c>
      <c r="J1314" t="s">
        <v>6332</v>
      </c>
      <c r="L1314" t="s">
        <v>120</v>
      </c>
      <c r="M1314" t="s">
        <v>108</v>
      </c>
      <c r="R1314" t="s">
        <v>6851</v>
      </c>
      <c r="W1314" t="s">
        <v>6998</v>
      </c>
      <c r="X1314" t="s">
        <v>6999</v>
      </c>
      <c r="Y1314" t="s">
        <v>129</v>
      </c>
      <c r="Z1314" t="s">
        <v>111</v>
      </c>
      <c r="AA1314" t="str">
        <f>"13790-2544"</f>
        <v>13790-2544</v>
      </c>
      <c r="AB1314" t="s">
        <v>123</v>
      </c>
      <c r="AC1314" t="s">
        <v>113</v>
      </c>
      <c r="AD1314" t="s">
        <v>108</v>
      </c>
      <c r="AE1314" t="s">
        <v>114</v>
      </c>
      <c r="AF1314" t="s">
        <v>115</v>
      </c>
      <c r="AG1314" t="s">
        <v>116</v>
      </c>
      <c r="AK1314" t="str">
        <f t="shared" si="134"/>
        <v>STRUCK KENT</v>
      </c>
      <c r="AL1314" t="s">
        <v>7145</v>
      </c>
      <c r="AM1314" t="s">
        <v>108</v>
      </c>
      <c r="AN1314" t="s">
        <v>108</v>
      </c>
      <c r="AO1314" t="s">
        <v>108</v>
      </c>
      <c r="AP1314" t="s">
        <v>108</v>
      </c>
      <c r="AQ1314" t="s">
        <v>108</v>
      </c>
      <c r="AR1314" t="s">
        <v>108</v>
      </c>
      <c r="AS1314" t="s">
        <v>108</v>
      </c>
      <c r="AT1314" t="s">
        <v>108</v>
      </c>
      <c r="AU1314" t="s">
        <v>108</v>
      </c>
      <c r="AV1314" t="s">
        <v>108</v>
      </c>
      <c r="AW1314" t="s">
        <v>108</v>
      </c>
      <c r="AX1314" s="24">
        <f t="shared" si="132"/>
        <v>1</v>
      </c>
      <c r="AY1314" s="24" t="str">
        <f t="shared" si="132"/>
        <v/>
      </c>
      <c r="AZ1314" s="24" t="str">
        <f t="shared" si="136"/>
        <v/>
      </c>
      <c r="BA1314" s="24" t="str">
        <f t="shared" ref="AZ1314:BI1339" si="138">IF(ISERROR(FIND(BA$1,$L1314,1)),"",1)</f>
        <v/>
      </c>
      <c r="BB1314" s="24" t="str">
        <f t="shared" si="138"/>
        <v/>
      </c>
      <c r="BC1314" s="24" t="str">
        <f t="shared" si="138"/>
        <v/>
      </c>
      <c r="BD1314" s="24" t="str">
        <f t="shared" si="138"/>
        <v/>
      </c>
      <c r="BE1314" s="24" t="str">
        <f t="shared" si="138"/>
        <v/>
      </c>
      <c r="BF1314" s="24" t="str">
        <f t="shared" si="138"/>
        <v/>
      </c>
      <c r="BG1314" s="24" t="str">
        <f t="shared" si="138"/>
        <v/>
      </c>
      <c r="BH1314" s="24" t="str">
        <f t="shared" si="135"/>
        <v/>
      </c>
      <c r="BI1314" s="24">
        <f t="shared" si="138"/>
        <v>1</v>
      </c>
      <c r="BJ1314" s="24" t="str">
        <f t="shared" si="137"/>
        <v/>
      </c>
    </row>
    <row r="1315" spans="1:62" ht="15" customHeight="1" x14ac:dyDescent="0.25">
      <c r="A1315" t="str">
        <f>"1750374518"</f>
        <v>1750374518</v>
      </c>
      <c r="B1315" t="str">
        <f>"01096175"</f>
        <v>01096175</v>
      </c>
      <c r="C1315" t="s">
        <v>5483</v>
      </c>
      <c r="D1315" t="s">
        <v>5484</v>
      </c>
      <c r="E1315" t="s">
        <v>5485</v>
      </c>
      <c r="G1315" t="s">
        <v>5483</v>
      </c>
      <c r="H1315" t="s">
        <v>403</v>
      </c>
      <c r="J1315" t="s">
        <v>5486</v>
      </c>
      <c r="L1315" t="s">
        <v>247</v>
      </c>
      <c r="M1315" t="s">
        <v>108</v>
      </c>
      <c r="R1315" t="s">
        <v>5487</v>
      </c>
      <c r="W1315" t="s">
        <v>5485</v>
      </c>
      <c r="X1315" t="s">
        <v>425</v>
      </c>
      <c r="Y1315" t="s">
        <v>110</v>
      </c>
      <c r="Z1315" t="s">
        <v>111</v>
      </c>
      <c r="AA1315" t="str">
        <f>"13903"</f>
        <v>13903</v>
      </c>
      <c r="AB1315" t="s">
        <v>123</v>
      </c>
      <c r="AC1315" t="s">
        <v>113</v>
      </c>
      <c r="AD1315" t="s">
        <v>108</v>
      </c>
      <c r="AE1315" t="s">
        <v>114</v>
      </c>
      <c r="AF1315" t="s">
        <v>115</v>
      </c>
      <c r="AG1315" t="s">
        <v>116</v>
      </c>
      <c r="AK1315" t="str">
        <f t="shared" si="134"/>
        <v/>
      </c>
      <c r="AL1315" t="s">
        <v>5484</v>
      </c>
      <c r="AM1315">
        <v>1</v>
      </c>
      <c r="AN1315">
        <v>1</v>
      </c>
      <c r="AO1315">
        <v>0</v>
      </c>
      <c r="AP1315">
        <v>1</v>
      </c>
      <c r="AQ1315">
        <v>1</v>
      </c>
      <c r="AR1315">
        <v>0</v>
      </c>
      <c r="AS1315">
        <v>0</v>
      </c>
      <c r="AT1315">
        <v>0</v>
      </c>
      <c r="AU1315">
        <v>0</v>
      </c>
      <c r="AV1315">
        <v>0</v>
      </c>
      <c r="AW1315">
        <v>0</v>
      </c>
      <c r="AX1315" s="24" t="str">
        <f t="shared" si="132"/>
        <v/>
      </c>
      <c r="AY1315" s="24">
        <f t="shared" si="132"/>
        <v>1</v>
      </c>
      <c r="AZ1315" s="24" t="str">
        <f t="shared" si="138"/>
        <v/>
      </c>
      <c r="BA1315" s="24" t="str">
        <f t="shared" si="138"/>
        <v/>
      </c>
      <c r="BB1315" s="24" t="str">
        <f t="shared" si="138"/>
        <v/>
      </c>
      <c r="BC1315" s="24" t="str">
        <f t="shared" si="138"/>
        <v/>
      </c>
      <c r="BD1315" s="24" t="str">
        <f t="shared" si="138"/>
        <v/>
      </c>
      <c r="BE1315" s="24" t="str">
        <f t="shared" si="138"/>
        <v/>
      </c>
      <c r="BF1315" s="24" t="str">
        <f t="shared" si="138"/>
        <v/>
      </c>
      <c r="BG1315" s="24" t="str">
        <f t="shared" si="138"/>
        <v/>
      </c>
      <c r="BH1315" s="24" t="str">
        <f t="shared" si="135"/>
        <v/>
      </c>
      <c r="BI1315" s="24" t="str">
        <f t="shared" si="138"/>
        <v/>
      </c>
      <c r="BJ1315" s="24" t="str">
        <f t="shared" si="137"/>
        <v/>
      </c>
    </row>
    <row r="1316" spans="1:62" ht="15" customHeight="1" x14ac:dyDescent="0.25">
      <c r="A1316" t="str">
        <f>"1225389505"</f>
        <v>1225389505</v>
      </c>
      <c r="B1316" t="str">
        <f>"03797899"</f>
        <v>03797899</v>
      </c>
      <c r="C1316" t="s">
        <v>4157</v>
      </c>
      <c r="D1316" t="s">
        <v>4158</v>
      </c>
      <c r="E1316" t="s">
        <v>4159</v>
      </c>
      <c r="G1316" t="s">
        <v>786</v>
      </c>
      <c r="H1316" t="s">
        <v>787</v>
      </c>
      <c r="J1316" t="s">
        <v>788</v>
      </c>
      <c r="L1316" t="s">
        <v>138</v>
      </c>
      <c r="M1316" t="s">
        <v>108</v>
      </c>
      <c r="R1316" t="s">
        <v>4157</v>
      </c>
      <c r="W1316" t="s">
        <v>4159</v>
      </c>
      <c r="X1316" t="s">
        <v>4160</v>
      </c>
      <c r="Y1316" t="s">
        <v>141</v>
      </c>
      <c r="Z1316" t="s">
        <v>111</v>
      </c>
      <c r="AA1316" t="str">
        <f>"13224-1113"</f>
        <v>13224-1113</v>
      </c>
      <c r="AB1316" t="s">
        <v>123</v>
      </c>
      <c r="AC1316" t="s">
        <v>113</v>
      </c>
      <c r="AD1316" t="s">
        <v>108</v>
      </c>
      <c r="AE1316" t="s">
        <v>114</v>
      </c>
      <c r="AF1316" t="s">
        <v>142</v>
      </c>
      <c r="AG1316" t="s">
        <v>116</v>
      </c>
      <c r="AK1316" t="str">
        <f t="shared" si="134"/>
        <v/>
      </c>
      <c r="AL1316" t="s">
        <v>4158</v>
      </c>
      <c r="AM1316">
        <v>0</v>
      </c>
      <c r="AN1316">
        <v>0</v>
      </c>
      <c r="AO1316">
        <v>0</v>
      </c>
      <c r="AP1316">
        <v>0</v>
      </c>
      <c r="AQ1316">
        <v>0</v>
      </c>
      <c r="AR1316">
        <v>0</v>
      </c>
      <c r="AS1316">
        <v>0</v>
      </c>
      <c r="AT1316">
        <v>0</v>
      </c>
      <c r="AU1316">
        <v>0</v>
      </c>
      <c r="AV1316">
        <v>0</v>
      </c>
      <c r="AW1316">
        <v>0</v>
      </c>
      <c r="AX1316" s="24" t="str">
        <f t="shared" si="132"/>
        <v/>
      </c>
      <c r="AY1316" s="24">
        <f t="shared" si="132"/>
        <v>1</v>
      </c>
      <c r="AZ1316" s="24" t="str">
        <f t="shared" si="138"/>
        <v/>
      </c>
      <c r="BA1316" s="24" t="str">
        <f t="shared" si="138"/>
        <v/>
      </c>
      <c r="BB1316" s="24" t="str">
        <f t="shared" si="138"/>
        <v/>
      </c>
      <c r="BC1316" s="24" t="str">
        <f t="shared" si="138"/>
        <v/>
      </c>
      <c r="BD1316" s="24" t="str">
        <f t="shared" si="138"/>
        <v/>
      </c>
      <c r="BE1316" s="24" t="str">
        <f t="shared" si="138"/>
        <v/>
      </c>
      <c r="BF1316" s="24" t="str">
        <f t="shared" si="138"/>
        <v/>
      </c>
      <c r="BG1316" s="24" t="str">
        <f t="shared" si="138"/>
        <v/>
      </c>
      <c r="BH1316" s="24" t="str">
        <f t="shared" si="135"/>
        <v/>
      </c>
      <c r="BI1316" s="24">
        <f t="shared" si="138"/>
        <v>1</v>
      </c>
      <c r="BJ1316" s="24" t="str">
        <f t="shared" si="137"/>
        <v/>
      </c>
    </row>
    <row r="1317" spans="1:62" ht="15" customHeight="1" x14ac:dyDescent="0.25">
      <c r="A1317" t="str">
        <f>"1710058524"</f>
        <v>1710058524</v>
      </c>
      <c r="B1317" t="str">
        <f>"02280582"</f>
        <v>02280582</v>
      </c>
      <c r="C1317" t="s">
        <v>6796</v>
      </c>
      <c r="D1317" t="s">
        <v>7072</v>
      </c>
      <c r="E1317" t="s">
        <v>6934</v>
      </c>
      <c r="G1317" t="s">
        <v>815</v>
      </c>
      <c r="H1317" t="s">
        <v>816</v>
      </c>
      <c r="J1317" t="s">
        <v>817</v>
      </c>
      <c r="L1317" t="s">
        <v>120</v>
      </c>
      <c r="M1317" t="s">
        <v>139</v>
      </c>
      <c r="R1317" t="s">
        <v>6796</v>
      </c>
      <c r="W1317" t="s">
        <v>6934</v>
      </c>
      <c r="X1317" t="s">
        <v>3690</v>
      </c>
      <c r="Y1317" t="s">
        <v>281</v>
      </c>
      <c r="Z1317" t="s">
        <v>111</v>
      </c>
      <c r="AA1317" t="str">
        <f>"13827-1635"</f>
        <v>13827-1635</v>
      </c>
      <c r="AB1317" t="s">
        <v>123</v>
      </c>
      <c r="AC1317" t="s">
        <v>113</v>
      </c>
      <c r="AD1317" t="s">
        <v>108</v>
      </c>
      <c r="AE1317" t="s">
        <v>114</v>
      </c>
      <c r="AF1317" t="s">
        <v>115</v>
      </c>
      <c r="AG1317" t="s">
        <v>116</v>
      </c>
      <c r="AK1317" t="str">
        <f t="shared" si="134"/>
        <v>STUPPEL IAN</v>
      </c>
      <c r="AL1317" t="s">
        <v>7072</v>
      </c>
      <c r="AM1317" t="s">
        <v>108</v>
      </c>
      <c r="AN1317" t="s">
        <v>108</v>
      </c>
      <c r="AO1317" t="s">
        <v>108</v>
      </c>
      <c r="AP1317" t="s">
        <v>108</v>
      </c>
      <c r="AQ1317" t="s">
        <v>108</v>
      </c>
      <c r="AR1317" t="s">
        <v>108</v>
      </c>
      <c r="AS1317" t="s">
        <v>108</v>
      </c>
      <c r="AT1317" t="s">
        <v>108</v>
      </c>
      <c r="AU1317" t="s">
        <v>108</v>
      </c>
      <c r="AV1317" t="s">
        <v>108</v>
      </c>
      <c r="AW1317" t="s">
        <v>108</v>
      </c>
      <c r="AX1317" s="24">
        <f t="shared" si="132"/>
        <v>1</v>
      </c>
      <c r="AY1317" s="24" t="str">
        <f t="shared" si="132"/>
        <v/>
      </c>
      <c r="AZ1317" s="24" t="str">
        <f t="shared" si="138"/>
        <v/>
      </c>
      <c r="BA1317" s="24" t="str">
        <f t="shared" si="138"/>
        <v/>
      </c>
      <c r="BB1317" s="24" t="str">
        <f t="shared" si="138"/>
        <v/>
      </c>
      <c r="BC1317" s="24" t="str">
        <f t="shared" si="138"/>
        <v/>
      </c>
      <c r="BD1317" s="24" t="str">
        <f t="shared" si="138"/>
        <v/>
      </c>
      <c r="BE1317" s="24" t="str">
        <f t="shared" si="138"/>
        <v/>
      </c>
      <c r="BF1317" s="24" t="str">
        <f t="shared" si="138"/>
        <v/>
      </c>
      <c r="BG1317" s="24" t="str">
        <f t="shared" si="138"/>
        <v/>
      </c>
      <c r="BH1317" s="24" t="str">
        <f t="shared" si="135"/>
        <v/>
      </c>
      <c r="BI1317" s="24">
        <f t="shared" si="138"/>
        <v>1</v>
      </c>
      <c r="BJ1317" s="24" t="str">
        <f t="shared" si="137"/>
        <v/>
      </c>
    </row>
    <row r="1318" spans="1:62" ht="15" customHeight="1" x14ac:dyDescent="0.25">
      <c r="A1318" t="str">
        <f>"1073563615"</f>
        <v>1073563615</v>
      </c>
      <c r="B1318" t="str">
        <f>"03201681"</f>
        <v>03201681</v>
      </c>
      <c r="C1318" t="s">
        <v>1033</v>
      </c>
      <c r="D1318" t="s">
        <v>1034</v>
      </c>
      <c r="E1318" t="s">
        <v>1035</v>
      </c>
      <c r="L1318" t="s">
        <v>809</v>
      </c>
      <c r="M1318" t="s">
        <v>108</v>
      </c>
      <c r="R1318" t="s">
        <v>1033</v>
      </c>
      <c r="W1318" t="s">
        <v>1035</v>
      </c>
      <c r="X1318" t="s">
        <v>810</v>
      </c>
      <c r="Y1318" t="s">
        <v>110</v>
      </c>
      <c r="Z1318" t="s">
        <v>111</v>
      </c>
      <c r="AA1318" t="str">
        <f>"13905-2522"</f>
        <v>13905-2522</v>
      </c>
      <c r="AB1318" t="s">
        <v>811</v>
      </c>
      <c r="AC1318" t="s">
        <v>113</v>
      </c>
      <c r="AD1318" t="s">
        <v>108</v>
      </c>
      <c r="AE1318" t="s">
        <v>114</v>
      </c>
      <c r="AF1318" t="s">
        <v>115</v>
      </c>
      <c r="AG1318" t="s">
        <v>116</v>
      </c>
      <c r="AK1318" t="str">
        <f t="shared" si="134"/>
        <v/>
      </c>
      <c r="AL1318" t="s">
        <v>1034</v>
      </c>
      <c r="AM1318">
        <v>0</v>
      </c>
      <c r="AN1318">
        <v>0</v>
      </c>
      <c r="AO1318">
        <v>0</v>
      </c>
      <c r="AP1318">
        <v>0</v>
      </c>
      <c r="AQ1318">
        <v>0</v>
      </c>
      <c r="AR1318">
        <v>0</v>
      </c>
      <c r="AS1318">
        <v>0</v>
      </c>
      <c r="AT1318">
        <v>0</v>
      </c>
      <c r="AU1318">
        <v>0</v>
      </c>
      <c r="AV1318">
        <v>0</v>
      </c>
      <c r="AW1318">
        <v>0</v>
      </c>
      <c r="AX1318" s="24" t="str">
        <f t="shared" si="132"/>
        <v/>
      </c>
      <c r="AY1318" s="24">
        <f t="shared" si="132"/>
        <v>1</v>
      </c>
      <c r="AZ1318" s="24" t="str">
        <f t="shared" si="138"/>
        <v/>
      </c>
      <c r="BA1318" s="24" t="str">
        <f t="shared" si="138"/>
        <v/>
      </c>
      <c r="BB1318" s="24" t="str">
        <f t="shared" si="138"/>
        <v/>
      </c>
      <c r="BC1318" s="24">
        <f t="shared" si="138"/>
        <v>1</v>
      </c>
      <c r="BD1318" s="24" t="str">
        <f t="shared" si="138"/>
        <v/>
      </c>
      <c r="BE1318" s="24" t="str">
        <f t="shared" si="138"/>
        <v/>
      </c>
      <c r="BF1318" s="24" t="str">
        <f t="shared" si="138"/>
        <v/>
      </c>
      <c r="BG1318" s="24" t="str">
        <f t="shared" si="138"/>
        <v/>
      </c>
      <c r="BH1318" s="24" t="str">
        <f t="shared" si="135"/>
        <v/>
      </c>
      <c r="BI1318" s="24" t="str">
        <f t="shared" si="138"/>
        <v/>
      </c>
      <c r="BJ1318" s="24" t="str">
        <f t="shared" si="137"/>
        <v/>
      </c>
    </row>
    <row r="1319" spans="1:62" ht="15" customHeight="1" x14ac:dyDescent="0.25">
      <c r="A1319" t="str">
        <f>"1649245861"</f>
        <v>1649245861</v>
      </c>
      <c r="B1319" t="str">
        <f>"01662977"</f>
        <v>01662977</v>
      </c>
      <c r="C1319" t="s">
        <v>2243</v>
      </c>
      <c r="D1319" t="s">
        <v>2244</v>
      </c>
      <c r="E1319" t="s">
        <v>2245</v>
      </c>
      <c r="G1319" t="s">
        <v>177</v>
      </c>
      <c r="H1319" t="s">
        <v>178</v>
      </c>
      <c r="J1319" t="s">
        <v>179</v>
      </c>
      <c r="L1319" t="s">
        <v>247</v>
      </c>
      <c r="M1319" t="s">
        <v>108</v>
      </c>
      <c r="R1319" t="s">
        <v>2243</v>
      </c>
      <c r="W1319" t="s">
        <v>2245</v>
      </c>
      <c r="X1319" t="s">
        <v>180</v>
      </c>
      <c r="Y1319" t="s">
        <v>181</v>
      </c>
      <c r="Z1319" t="s">
        <v>182</v>
      </c>
      <c r="AA1319" t="str">
        <f>"18840"</f>
        <v>18840</v>
      </c>
      <c r="AB1319" t="s">
        <v>123</v>
      </c>
      <c r="AC1319" t="s">
        <v>113</v>
      </c>
      <c r="AD1319" t="s">
        <v>108</v>
      </c>
      <c r="AE1319" t="s">
        <v>114</v>
      </c>
      <c r="AF1319" t="s">
        <v>115</v>
      </c>
      <c r="AG1319" t="s">
        <v>116</v>
      </c>
      <c r="AK1319" t="str">
        <f t="shared" si="134"/>
        <v/>
      </c>
      <c r="AL1319" t="s">
        <v>2244</v>
      </c>
      <c r="AM1319">
        <v>1</v>
      </c>
      <c r="AN1319">
        <v>1</v>
      </c>
      <c r="AO1319">
        <v>0</v>
      </c>
      <c r="AP1319">
        <v>0</v>
      </c>
      <c r="AQ1319">
        <v>0</v>
      </c>
      <c r="AR1319">
        <v>0</v>
      </c>
      <c r="AS1319">
        <v>0</v>
      </c>
      <c r="AT1319">
        <v>0</v>
      </c>
      <c r="AU1319">
        <v>0</v>
      </c>
      <c r="AV1319">
        <v>1</v>
      </c>
      <c r="AW1319">
        <v>0</v>
      </c>
      <c r="AX1319" s="24" t="str">
        <f t="shared" si="132"/>
        <v/>
      </c>
      <c r="AY1319" s="24">
        <f t="shared" si="132"/>
        <v>1</v>
      </c>
      <c r="AZ1319" s="24" t="str">
        <f t="shared" si="138"/>
        <v/>
      </c>
      <c r="BA1319" s="24" t="str">
        <f t="shared" si="138"/>
        <v/>
      </c>
      <c r="BB1319" s="24" t="str">
        <f t="shared" si="138"/>
        <v/>
      </c>
      <c r="BC1319" s="24" t="str">
        <f t="shared" si="138"/>
        <v/>
      </c>
      <c r="BD1319" s="24" t="str">
        <f t="shared" si="138"/>
        <v/>
      </c>
      <c r="BE1319" s="24" t="str">
        <f t="shared" si="138"/>
        <v/>
      </c>
      <c r="BF1319" s="24" t="str">
        <f t="shared" si="138"/>
        <v/>
      </c>
      <c r="BG1319" s="24" t="str">
        <f t="shared" si="138"/>
        <v/>
      </c>
      <c r="BH1319" s="24" t="str">
        <f t="shared" si="135"/>
        <v/>
      </c>
      <c r="BI1319" s="24" t="str">
        <f t="shared" si="138"/>
        <v/>
      </c>
      <c r="BJ1319" s="24" t="str">
        <f t="shared" si="137"/>
        <v/>
      </c>
    </row>
    <row r="1320" spans="1:62" ht="15" customHeight="1" x14ac:dyDescent="0.25">
      <c r="C1320" t="s">
        <v>4958</v>
      </c>
      <c r="G1320" t="s">
        <v>4959</v>
      </c>
      <c r="H1320" t="s">
        <v>4960</v>
      </c>
      <c r="K1320" t="s">
        <v>1289</v>
      </c>
      <c r="L1320" t="s">
        <v>781</v>
      </c>
      <c r="M1320" t="s">
        <v>108</v>
      </c>
      <c r="N1320" t="s">
        <v>4961</v>
      </c>
      <c r="O1320" t="s">
        <v>1088</v>
      </c>
      <c r="P1320" t="s">
        <v>111</v>
      </c>
      <c r="Q1320" t="str">
        <f>"14850"</f>
        <v>14850</v>
      </c>
      <c r="AC1320" t="s">
        <v>113</v>
      </c>
      <c r="AD1320" t="s">
        <v>108</v>
      </c>
      <c r="AE1320" t="s">
        <v>784</v>
      </c>
      <c r="AF1320" t="s">
        <v>142</v>
      </c>
      <c r="AG1320" t="s">
        <v>116</v>
      </c>
      <c r="AK1320" t="str">
        <f t="shared" si="134"/>
        <v/>
      </c>
      <c r="AL1320" t="s">
        <v>4958</v>
      </c>
      <c r="AM1320">
        <v>1</v>
      </c>
      <c r="AS1320">
        <v>1</v>
      </c>
      <c r="AT1320" t="s">
        <v>108</v>
      </c>
      <c r="AU1320" t="s">
        <v>108</v>
      </c>
      <c r="AV1320" t="s">
        <v>108</v>
      </c>
      <c r="AW1320" t="s">
        <v>108</v>
      </c>
      <c r="AX1320" s="24" t="str">
        <f t="shared" ref="AX1320:AY1383" si="139">IF(ISERROR(FIND(AX$1,$L1320,1)),"",1)</f>
        <v/>
      </c>
      <c r="AY1320" s="24" t="str">
        <f t="shared" si="139"/>
        <v/>
      </c>
      <c r="AZ1320" s="24" t="str">
        <f t="shared" si="138"/>
        <v/>
      </c>
      <c r="BA1320" s="24" t="str">
        <f t="shared" si="138"/>
        <v/>
      </c>
      <c r="BB1320" s="24" t="str">
        <f t="shared" si="138"/>
        <v/>
      </c>
      <c r="BC1320" s="24" t="str">
        <f t="shared" si="138"/>
        <v/>
      </c>
      <c r="BD1320" s="24" t="str">
        <f t="shared" si="138"/>
        <v/>
      </c>
      <c r="BE1320" s="24" t="str">
        <f t="shared" si="138"/>
        <v/>
      </c>
      <c r="BF1320" s="24" t="str">
        <f t="shared" si="138"/>
        <v/>
      </c>
      <c r="BG1320" s="24" t="str">
        <f t="shared" si="138"/>
        <v/>
      </c>
      <c r="BH1320" s="24">
        <f t="shared" si="135"/>
        <v>1</v>
      </c>
      <c r="BI1320" s="24" t="str">
        <f t="shared" si="138"/>
        <v/>
      </c>
      <c r="BJ1320" s="24" t="str">
        <f t="shared" si="137"/>
        <v/>
      </c>
    </row>
    <row r="1321" spans="1:62" ht="15" customHeight="1" x14ac:dyDescent="0.25">
      <c r="A1321" t="str">
        <f>"1548283013"</f>
        <v>1548283013</v>
      </c>
      <c r="B1321" t="str">
        <f>"02923944"</f>
        <v>02923944</v>
      </c>
      <c r="C1321" t="s">
        <v>313</v>
      </c>
      <c r="D1321" t="s">
        <v>314</v>
      </c>
      <c r="E1321" t="s">
        <v>315</v>
      </c>
      <c r="G1321" t="s">
        <v>313</v>
      </c>
      <c r="H1321" t="s">
        <v>316</v>
      </c>
      <c r="J1321" t="s">
        <v>317</v>
      </c>
      <c r="L1321" t="s">
        <v>120</v>
      </c>
      <c r="M1321" t="s">
        <v>108</v>
      </c>
      <c r="R1321" t="s">
        <v>318</v>
      </c>
      <c r="W1321" t="s">
        <v>319</v>
      </c>
      <c r="X1321" t="s">
        <v>320</v>
      </c>
      <c r="Y1321" t="s">
        <v>321</v>
      </c>
      <c r="Z1321" t="s">
        <v>111</v>
      </c>
      <c r="AA1321" t="str">
        <f>"13760-0000"</f>
        <v>13760-0000</v>
      </c>
      <c r="AB1321" t="s">
        <v>123</v>
      </c>
      <c r="AC1321" t="s">
        <v>113</v>
      </c>
      <c r="AD1321" t="s">
        <v>108</v>
      </c>
      <c r="AE1321" t="s">
        <v>114</v>
      </c>
      <c r="AF1321" t="s">
        <v>115</v>
      </c>
      <c r="AG1321" t="s">
        <v>116</v>
      </c>
      <c r="AK1321" t="str">
        <f t="shared" si="134"/>
        <v/>
      </c>
      <c r="AL1321" t="s">
        <v>314</v>
      </c>
      <c r="AM1321">
        <v>1</v>
      </c>
      <c r="AN1321">
        <v>1</v>
      </c>
      <c r="AO1321">
        <v>0</v>
      </c>
      <c r="AP1321">
        <v>1</v>
      </c>
      <c r="AQ1321">
        <v>1</v>
      </c>
      <c r="AR1321">
        <v>0</v>
      </c>
      <c r="AS1321">
        <v>0</v>
      </c>
      <c r="AT1321">
        <v>0</v>
      </c>
      <c r="AU1321">
        <v>0</v>
      </c>
      <c r="AV1321">
        <v>0</v>
      </c>
      <c r="AW1321">
        <v>0</v>
      </c>
      <c r="AX1321" s="24">
        <f t="shared" si="139"/>
        <v>1</v>
      </c>
      <c r="AY1321" s="24" t="str">
        <f t="shared" si="139"/>
        <v/>
      </c>
      <c r="AZ1321" s="24" t="str">
        <f t="shared" si="138"/>
        <v/>
      </c>
      <c r="BA1321" s="24" t="str">
        <f t="shared" si="138"/>
        <v/>
      </c>
      <c r="BB1321" s="24" t="str">
        <f t="shared" si="138"/>
        <v/>
      </c>
      <c r="BC1321" s="24" t="str">
        <f t="shared" si="138"/>
        <v/>
      </c>
      <c r="BD1321" s="24" t="str">
        <f t="shared" si="138"/>
        <v/>
      </c>
      <c r="BE1321" s="24" t="str">
        <f t="shared" si="138"/>
        <v/>
      </c>
      <c r="BF1321" s="24" t="str">
        <f t="shared" si="138"/>
        <v/>
      </c>
      <c r="BG1321" s="24" t="str">
        <f t="shared" si="138"/>
        <v/>
      </c>
      <c r="BH1321" s="24" t="str">
        <f t="shared" si="135"/>
        <v/>
      </c>
      <c r="BI1321" s="24">
        <f t="shared" si="138"/>
        <v>1</v>
      </c>
      <c r="BJ1321" s="24" t="str">
        <f t="shared" si="137"/>
        <v/>
      </c>
    </row>
    <row r="1322" spans="1:62" ht="15" customHeight="1" x14ac:dyDescent="0.25">
      <c r="A1322" t="str">
        <f>"1114929312"</f>
        <v>1114929312</v>
      </c>
      <c r="B1322" t="str">
        <f>"02068793"</f>
        <v>02068793</v>
      </c>
      <c r="C1322" t="s">
        <v>2602</v>
      </c>
      <c r="D1322" t="s">
        <v>2603</v>
      </c>
      <c r="E1322" t="s">
        <v>2604</v>
      </c>
      <c r="G1322" t="s">
        <v>2420</v>
      </c>
      <c r="H1322" t="s">
        <v>2421</v>
      </c>
      <c r="J1322" t="s">
        <v>2605</v>
      </c>
      <c r="L1322" t="s">
        <v>247</v>
      </c>
      <c r="M1322" t="s">
        <v>108</v>
      </c>
      <c r="R1322" t="s">
        <v>2606</v>
      </c>
      <c r="W1322" t="s">
        <v>2604</v>
      </c>
      <c r="X1322" t="s">
        <v>2431</v>
      </c>
      <c r="Y1322" t="s">
        <v>293</v>
      </c>
      <c r="Z1322" t="s">
        <v>111</v>
      </c>
      <c r="AA1322" t="str">
        <f>"14850-4131"</f>
        <v>14850-4131</v>
      </c>
      <c r="AB1322" t="s">
        <v>123</v>
      </c>
      <c r="AC1322" t="s">
        <v>113</v>
      </c>
      <c r="AD1322" t="s">
        <v>108</v>
      </c>
      <c r="AE1322" t="s">
        <v>114</v>
      </c>
      <c r="AF1322" t="s">
        <v>142</v>
      </c>
      <c r="AG1322" t="s">
        <v>116</v>
      </c>
      <c r="AK1322" t="str">
        <f t="shared" si="134"/>
        <v/>
      </c>
      <c r="AL1322" t="s">
        <v>2603</v>
      </c>
      <c r="AM1322">
        <v>1</v>
      </c>
      <c r="AN1322">
        <v>1</v>
      </c>
      <c r="AO1322">
        <v>0</v>
      </c>
      <c r="AP1322">
        <v>0</v>
      </c>
      <c r="AQ1322">
        <v>0</v>
      </c>
      <c r="AR1322">
        <v>0</v>
      </c>
      <c r="AS1322">
        <v>0</v>
      </c>
      <c r="AT1322">
        <v>0</v>
      </c>
      <c r="AU1322">
        <v>0</v>
      </c>
      <c r="AV1322">
        <v>0</v>
      </c>
      <c r="AW1322">
        <v>0</v>
      </c>
      <c r="AX1322" s="24" t="str">
        <f t="shared" si="139"/>
        <v/>
      </c>
      <c r="AY1322" s="24">
        <f t="shared" si="139"/>
        <v>1</v>
      </c>
      <c r="AZ1322" s="24" t="str">
        <f t="shared" si="138"/>
        <v/>
      </c>
      <c r="BA1322" s="24" t="str">
        <f t="shared" si="138"/>
        <v/>
      </c>
      <c r="BB1322" s="24" t="str">
        <f t="shared" si="138"/>
        <v/>
      </c>
      <c r="BC1322" s="24" t="str">
        <f t="shared" si="138"/>
        <v/>
      </c>
      <c r="BD1322" s="24" t="str">
        <f t="shared" si="138"/>
        <v/>
      </c>
      <c r="BE1322" s="24" t="str">
        <f t="shared" si="138"/>
        <v/>
      </c>
      <c r="BF1322" s="24" t="str">
        <f t="shared" si="138"/>
        <v/>
      </c>
      <c r="BG1322" s="24" t="str">
        <f t="shared" si="138"/>
        <v/>
      </c>
      <c r="BH1322" s="24" t="str">
        <f t="shared" si="135"/>
        <v/>
      </c>
      <c r="BI1322" s="24" t="str">
        <f t="shared" si="138"/>
        <v/>
      </c>
      <c r="BJ1322" s="24" t="str">
        <f t="shared" si="137"/>
        <v/>
      </c>
    </row>
    <row r="1323" spans="1:62" ht="15" customHeight="1" x14ac:dyDescent="0.25">
      <c r="A1323" t="str">
        <f>"1215341128"</f>
        <v>1215341128</v>
      </c>
      <c r="B1323" t="str">
        <f>"03922694"</f>
        <v>03922694</v>
      </c>
      <c r="C1323" t="s">
        <v>4379</v>
      </c>
      <c r="D1323" t="s">
        <v>4380</v>
      </c>
      <c r="E1323" t="s">
        <v>4381</v>
      </c>
      <c r="G1323" t="s">
        <v>786</v>
      </c>
      <c r="H1323" t="s">
        <v>787</v>
      </c>
      <c r="I1323">
        <v>5027</v>
      </c>
      <c r="J1323" t="s">
        <v>788</v>
      </c>
      <c r="L1323" t="s">
        <v>120</v>
      </c>
      <c r="M1323" t="s">
        <v>108</v>
      </c>
      <c r="R1323" t="s">
        <v>4381</v>
      </c>
      <c r="W1323" t="s">
        <v>4382</v>
      </c>
      <c r="X1323" t="s">
        <v>4383</v>
      </c>
      <c r="Y1323" t="s">
        <v>794</v>
      </c>
      <c r="Z1323" t="s">
        <v>111</v>
      </c>
      <c r="AA1323" t="str">
        <f>"13040-9685"</f>
        <v>13040-9685</v>
      </c>
      <c r="AB1323" t="s">
        <v>123</v>
      </c>
      <c r="AC1323" t="s">
        <v>113</v>
      </c>
      <c r="AD1323" t="s">
        <v>108</v>
      </c>
      <c r="AE1323" t="s">
        <v>114</v>
      </c>
      <c r="AF1323" t="s">
        <v>142</v>
      </c>
      <c r="AG1323" t="s">
        <v>116</v>
      </c>
      <c r="AK1323" t="str">
        <f t="shared" si="134"/>
        <v/>
      </c>
      <c r="AL1323" t="s">
        <v>4380</v>
      </c>
      <c r="AM1323">
        <v>0</v>
      </c>
      <c r="AN1323">
        <v>0</v>
      </c>
      <c r="AO1323">
        <v>0</v>
      </c>
      <c r="AP1323">
        <v>0</v>
      </c>
      <c r="AQ1323">
        <v>0</v>
      </c>
      <c r="AR1323">
        <v>0</v>
      </c>
      <c r="AS1323">
        <v>0</v>
      </c>
      <c r="AT1323">
        <v>0</v>
      </c>
      <c r="AU1323">
        <v>0</v>
      </c>
      <c r="AV1323">
        <v>0</v>
      </c>
      <c r="AW1323">
        <v>0</v>
      </c>
      <c r="AX1323" s="24">
        <f t="shared" si="139"/>
        <v>1</v>
      </c>
      <c r="AY1323" s="24" t="str">
        <f t="shared" si="139"/>
        <v/>
      </c>
      <c r="AZ1323" s="24" t="str">
        <f t="shared" si="138"/>
        <v/>
      </c>
      <c r="BA1323" s="24" t="str">
        <f t="shared" si="138"/>
        <v/>
      </c>
      <c r="BB1323" s="24" t="str">
        <f t="shared" si="138"/>
        <v/>
      </c>
      <c r="BC1323" s="24" t="str">
        <f t="shared" si="138"/>
        <v/>
      </c>
      <c r="BD1323" s="24" t="str">
        <f t="shared" si="138"/>
        <v/>
      </c>
      <c r="BE1323" s="24" t="str">
        <f t="shared" si="138"/>
        <v/>
      </c>
      <c r="BF1323" s="24" t="str">
        <f t="shared" si="138"/>
        <v/>
      </c>
      <c r="BG1323" s="24" t="str">
        <f t="shared" si="138"/>
        <v/>
      </c>
      <c r="BH1323" s="24" t="str">
        <f t="shared" si="135"/>
        <v/>
      </c>
      <c r="BI1323" s="24">
        <f t="shared" si="138"/>
        <v>1</v>
      </c>
      <c r="BJ1323" s="24" t="str">
        <f t="shared" si="137"/>
        <v/>
      </c>
    </row>
    <row r="1324" spans="1:62" ht="15" customHeight="1" x14ac:dyDescent="0.25">
      <c r="A1324" t="str">
        <f>"1447251566"</f>
        <v>1447251566</v>
      </c>
      <c r="B1324" t="str">
        <f>"02262655"</f>
        <v>02262655</v>
      </c>
      <c r="C1324" t="s">
        <v>362</v>
      </c>
      <c r="D1324" t="s">
        <v>363</v>
      </c>
      <c r="E1324" t="s">
        <v>364</v>
      </c>
      <c r="G1324" t="s">
        <v>362</v>
      </c>
      <c r="H1324" t="s">
        <v>331</v>
      </c>
      <c r="J1324" t="s">
        <v>365</v>
      </c>
      <c r="L1324" t="s">
        <v>120</v>
      </c>
      <c r="M1324" t="s">
        <v>108</v>
      </c>
      <c r="R1324" t="s">
        <v>364</v>
      </c>
      <c r="W1324" t="s">
        <v>364</v>
      </c>
      <c r="X1324" t="s">
        <v>366</v>
      </c>
      <c r="Y1324" t="s">
        <v>367</v>
      </c>
      <c r="Z1324" t="s">
        <v>111</v>
      </c>
      <c r="AA1324" t="str">
        <f>"13753-7407"</f>
        <v>13753-7407</v>
      </c>
      <c r="AB1324" t="s">
        <v>123</v>
      </c>
      <c r="AC1324" t="s">
        <v>113</v>
      </c>
      <c r="AD1324" t="s">
        <v>108</v>
      </c>
      <c r="AE1324" t="s">
        <v>114</v>
      </c>
      <c r="AF1324" t="s">
        <v>124</v>
      </c>
      <c r="AG1324" t="s">
        <v>116</v>
      </c>
      <c r="AK1324" t="str">
        <f t="shared" si="134"/>
        <v/>
      </c>
      <c r="AL1324" t="s">
        <v>363</v>
      </c>
      <c r="AM1324">
        <v>0</v>
      </c>
      <c r="AN1324">
        <v>0</v>
      </c>
      <c r="AO1324">
        <v>0</v>
      </c>
      <c r="AP1324">
        <v>0</v>
      </c>
      <c r="AQ1324">
        <v>0</v>
      </c>
      <c r="AR1324">
        <v>0</v>
      </c>
      <c r="AS1324">
        <v>0</v>
      </c>
      <c r="AT1324">
        <v>0</v>
      </c>
      <c r="AU1324">
        <v>0</v>
      </c>
      <c r="AV1324">
        <v>0</v>
      </c>
      <c r="AW1324">
        <v>0</v>
      </c>
      <c r="AX1324" s="24">
        <f t="shared" si="139"/>
        <v>1</v>
      </c>
      <c r="AY1324" s="24" t="str">
        <f t="shared" si="139"/>
        <v/>
      </c>
      <c r="AZ1324" s="24" t="str">
        <f t="shared" si="138"/>
        <v/>
      </c>
      <c r="BA1324" s="24" t="str">
        <f t="shared" si="138"/>
        <v/>
      </c>
      <c r="BB1324" s="24" t="str">
        <f t="shared" si="138"/>
        <v/>
      </c>
      <c r="BC1324" s="24" t="str">
        <f t="shared" si="138"/>
        <v/>
      </c>
      <c r="BD1324" s="24" t="str">
        <f t="shared" si="138"/>
        <v/>
      </c>
      <c r="BE1324" s="24" t="str">
        <f t="shared" si="138"/>
        <v/>
      </c>
      <c r="BF1324" s="24" t="str">
        <f t="shared" si="138"/>
        <v/>
      </c>
      <c r="BG1324" s="24" t="str">
        <f t="shared" si="138"/>
        <v/>
      </c>
      <c r="BH1324" s="24" t="str">
        <f t="shared" si="135"/>
        <v/>
      </c>
      <c r="BI1324" s="24">
        <f t="shared" si="138"/>
        <v>1</v>
      </c>
      <c r="BJ1324" s="24" t="str">
        <f t="shared" si="137"/>
        <v/>
      </c>
    </row>
    <row r="1325" spans="1:62" ht="15" customHeight="1" x14ac:dyDescent="0.25">
      <c r="A1325" t="str">
        <f>"1619960911"</f>
        <v>1619960911</v>
      </c>
      <c r="B1325" t="str">
        <f>"00731099"</f>
        <v>00731099</v>
      </c>
      <c r="C1325" t="s">
        <v>1036</v>
      </c>
      <c r="D1325" t="s">
        <v>1037</v>
      </c>
      <c r="E1325" t="s">
        <v>1038</v>
      </c>
      <c r="G1325" t="s">
        <v>6330</v>
      </c>
      <c r="H1325" t="s">
        <v>6331</v>
      </c>
      <c r="J1325" t="s">
        <v>6332</v>
      </c>
      <c r="L1325" t="s">
        <v>120</v>
      </c>
      <c r="M1325" t="s">
        <v>108</v>
      </c>
      <c r="R1325" t="s">
        <v>1036</v>
      </c>
      <c r="W1325" t="s">
        <v>1038</v>
      </c>
      <c r="X1325" t="s">
        <v>1039</v>
      </c>
      <c r="Y1325" t="s">
        <v>110</v>
      </c>
      <c r="Z1325" t="s">
        <v>111</v>
      </c>
      <c r="AA1325" t="str">
        <f>"13901-1293"</f>
        <v>13901-1293</v>
      </c>
      <c r="AB1325" t="s">
        <v>123</v>
      </c>
      <c r="AC1325" t="s">
        <v>113</v>
      </c>
      <c r="AD1325" t="s">
        <v>108</v>
      </c>
      <c r="AE1325" t="s">
        <v>114</v>
      </c>
      <c r="AF1325" t="s">
        <v>115</v>
      </c>
      <c r="AG1325" t="s">
        <v>116</v>
      </c>
      <c r="AK1325" t="str">
        <f t="shared" si="134"/>
        <v/>
      </c>
      <c r="AL1325" t="s">
        <v>1037</v>
      </c>
      <c r="AM1325">
        <v>1</v>
      </c>
      <c r="AN1325">
        <v>1</v>
      </c>
      <c r="AO1325">
        <v>0</v>
      </c>
      <c r="AP1325">
        <v>1</v>
      </c>
      <c r="AQ1325">
        <v>1</v>
      </c>
      <c r="AR1325">
        <v>0</v>
      </c>
      <c r="AS1325">
        <v>0</v>
      </c>
      <c r="AT1325">
        <v>0</v>
      </c>
      <c r="AU1325">
        <v>0</v>
      </c>
      <c r="AV1325">
        <v>0</v>
      </c>
      <c r="AW1325">
        <v>0</v>
      </c>
      <c r="AX1325" s="24">
        <f t="shared" si="139"/>
        <v>1</v>
      </c>
      <c r="AY1325" s="24" t="str">
        <f t="shared" si="139"/>
        <v/>
      </c>
      <c r="AZ1325" s="24" t="str">
        <f t="shared" si="138"/>
        <v/>
      </c>
      <c r="BA1325" s="24" t="str">
        <f t="shared" si="138"/>
        <v/>
      </c>
      <c r="BB1325" s="24" t="str">
        <f t="shared" si="138"/>
        <v/>
      </c>
      <c r="BC1325" s="24" t="str">
        <f t="shared" si="138"/>
        <v/>
      </c>
      <c r="BD1325" s="24" t="str">
        <f t="shared" si="138"/>
        <v/>
      </c>
      <c r="BE1325" s="24" t="str">
        <f t="shared" si="138"/>
        <v/>
      </c>
      <c r="BF1325" s="24" t="str">
        <f t="shared" si="138"/>
        <v/>
      </c>
      <c r="BG1325" s="24" t="str">
        <f t="shared" si="138"/>
        <v/>
      </c>
      <c r="BH1325" s="24" t="str">
        <f t="shared" si="135"/>
        <v/>
      </c>
      <c r="BI1325" s="24">
        <f t="shared" si="138"/>
        <v>1</v>
      </c>
      <c r="BJ1325" s="24" t="str">
        <f t="shared" si="137"/>
        <v/>
      </c>
    </row>
    <row r="1326" spans="1:62" ht="15" customHeight="1" x14ac:dyDescent="0.25">
      <c r="A1326" t="str">
        <f>"1285615682"</f>
        <v>1285615682</v>
      </c>
      <c r="B1326" t="str">
        <f>"02995004"</f>
        <v>02995004</v>
      </c>
      <c r="C1326" t="s">
        <v>1424</v>
      </c>
      <c r="D1326" t="s">
        <v>1425</v>
      </c>
      <c r="E1326" t="s">
        <v>1426</v>
      </c>
      <c r="G1326" t="s">
        <v>1427</v>
      </c>
      <c r="H1326" t="s">
        <v>1428</v>
      </c>
      <c r="J1326" t="s">
        <v>1429</v>
      </c>
      <c r="L1326" t="s">
        <v>6872</v>
      </c>
      <c r="M1326" t="s">
        <v>139</v>
      </c>
      <c r="R1326" t="s">
        <v>1430</v>
      </c>
      <c r="W1326" t="s">
        <v>1431</v>
      </c>
      <c r="X1326" t="s">
        <v>1432</v>
      </c>
      <c r="Y1326" t="s">
        <v>129</v>
      </c>
      <c r="Z1326" t="s">
        <v>111</v>
      </c>
      <c r="AA1326" t="str">
        <f>"13790-2727"</f>
        <v>13790-2727</v>
      </c>
      <c r="AB1326" t="s">
        <v>312</v>
      </c>
      <c r="AC1326" t="s">
        <v>113</v>
      </c>
      <c r="AD1326" t="s">
        <v>108</v>
      </c>
      <c r="AE1326" t="s">
        <v>114</v>
      </c>
      <c r="AF1326" t="s">
        <v>115</v>
      </c>
      <c r="AG1326" t="s">
        <v>116</v>
      </c>
      <c r="AK1326" t="str">
        <f t="shared" si="134"/>
        <v/>
      </c>
      <c r="AL1326" t="s">
        <v>1425</v>
      </c>
      <c r="AM1326">
        <v>0</v>
      </c>
      <c r="AN1326">
        <v>0</v>
      </c>
      <c r="AO1326">
        <v>0</v>
      </c>
      <c r="AP1326">
        <v>0</v>
      </c>
      <c r="AQ1326">
        <v>0</v>
      </c>
      <c r="AR1326">
        <v>0</v>
      </c>
      <c r="AS1326">
        <v>0</v>
      </c>
      <c r="AT1326">
        <v>0</v>
      </c>
      <c r="AU1326">
        <v>0</v>
      </c>
      <c r="AV1326">
        <v>0</v>
      </c>
      <c r="AW1326">
        <v>0</v>
      </c>
      <c r="AX1326" s="24" t="str">
        <f t="shared" si="139"/>
        <v/>
      </c>
      <c r="AY1326" s="24" t="str">
        <f t="shared" si="139"/>
        <v/>
      </c>
      <c r="AZ1326" s="24" t="str">
        <f t="shared" si="138"/>
        <v/>
      </c>
      <c r="BA1326" s="24" t="str">
        <f t="shared" si="138"/>
        <v/>
      </c>
      <c r="BB1326" s="24" t="str">
        <f t="shared" si="138"/>
        <v/>
      </c>
      <c r="BC1326" s="24">
        <f t="shared" si="138"/>
        <v>1</v>
      </c>
      <c r="BD1326" s="24" t="str">
        <f t="shared" si="138"/>
        <v/>
      </c>
      <c r="BE1326" s="24">
        <f t="shared" si="138"/>
        <v>1</v>
      </c>
      <c r="BF1326" s="24" t="str">
        <f t="shared" si="138"/>
        <v/>
      </c>
      <c r="BG1326" s="24" t="str">
        <f t="shared" si="138"/>
        <v/>
      </c>
      <c r="BH1326" s="24" t="str">
        <f t="shared" si="135"/>
        <v/>
      </c>
      <c r="BI1326" s="24">
        <f t="shared" si="138"/>
        <v>1</v>
      </c>
      <c r="BJ1326" s="24" t="str">
        <f t="shared" si="137"/>
        <v/>
      </c>
    </row>
    <row r="1327" spans="1:62" ht="15" customHeight="1" x14ac:dyDescent="0.25">
      <c r="A1327" t="str">
        <f>"1851366686"</f>
        <v>1851366686</v>
      </c>
      <c r="B1327" t="str">
        <f>"00467616"</f>
        <v>00467616</v>
      </c>
      <c r="C1327" t="s">
        <v>729</v>
      </c>
      <c r="D1327" t="s">
        <v>730</v>
      </c>
      <c r="E1327" t="s">
        <v>729</v>
      </c>
      <c r="G1327" t="s">
        <v>699</v>
      </c>
      <c r="H1327" t="s">
        <v>700</v>
      </c>
      <c r="J1327" t="s">
        <v>701</v>
      </c>
      <c r="L1327" t="s">
        <v>120</v>
      </c>
      <c r="M1327" t="s">
        <v>108</v>
      </c>
      <c r="R1327" t="s">
        <v>731</v>
      </c>
      <c r="W1327" t="s">
        <v>729</v>
      </c>
      <c r="X1327" t="s">
        <v>732</v>
      </c>
      <c r="Y1327" t="s">
        <v>157</v>
      </c>
      <c r="Z1327" t="s">
        <v>111</v>
      </c>
      <c r="AA1327" t="str">
        <f>"14830"</f>
        <v>14830</v>
      </c>
      <c r="AB1327" t="s">
        <v>123</v>
      </c>
      <c r="AC1327" t="s">
        <v>113</v>
      </c>
      <c r="AD1327" t="s">
        <v>108</v>
      </c>
      <c r="AE1327" t="s">
        <v>114</v>
      </c>
      <c r="AF1327" t="s">
        <v>149</v>
      </c>
      <c r="AG1327" t="s">
        <v>116</v>
      </c>
      <c r="AK1327" t="str">
        <f t="shared" si="134"/>
        <v/>
      </c>
      <c r="AL1327" t="s">
        <v>730</v>
      </c>
      <c r="AM1327">
        <v>1</v>
      </c>
      <c r="AN1327">
        <v>1</v>
      </c>
      <c r="AO1327">
        <v>0</v>
      </c>
      <c r="AP1327">
        <v>0</v>
      </c>
      <c r="AQ1327">
        <v>0</v>
      </c>
      <c r="AR1327">
        <v>0</v>
      </c>
      <c r="AS1327">
        <v>0</v>
      </c>
      <c r="AT1327">
        <v>1</v>
      </c>
      <c r="AU1327">
        <v>1</v>
      </c>
      <c r="AV1327">
        <v>1</v>
      </c>
      <c r="AW1327">
        <v>0</v>
      </c>
      <c r="AX1327" s="24">
        <f t="shared" si="139"/>
        <v>1</v>
      </c>
      <c r="AY1327" s="24" t="str">
        <f t="shared" si="139"/>
        <v/>
      </c>
      <c r="AZ1327" s="24" t="str">
        <f t="shared" si="138"/>
        <v/>
      </c>
      <c r="BA1327" s="24" t="str">
        <f t="shared" si="138"/>
        <v/>
      </c>
      <c r="BB1327" s="24" t="str">
        <f t="shared" si="138"/>
        <v/>
      </c>
      <c r="BC1327" s="24" t="str">
        <f t="shared" si="138"/>
        <v/>
      </c>
      <c r="BD1327" s="24" t="str">
        <f t="shared" si="138"/>
        <v/>
      </c>
      <c r="BE1327" s="24" t="str">
        <f t="shared" si="138"/>
        <v/>
      </c>
      <c r="BF1327" s="24" t="str">
        <f t="shared" si="138"/>
        <v/>
      </c>
      <c r="BG1327" s="24" t="str">
        <f t="shared" si="138"/>
        <v/>
      </c>
      <c r="BH1327" s="24" t="str">
        <f t="shared" si="135"/>
        <v/>
      </c>
      <c r="BI1327" s="24">
        <f t="shared" si="138"/>
        <v>1</v>
      </c>
      <c r="BJ1327" s="24" t="str">
        <f t="shared" si="137"/>
        <v/>
      </c>
    </row>
    <row r="1328" spans="1:62" ht="15" customHeight="1" x14ac:dyDescent="0.25">
      <c r="A1328" t="str">
        <f>"1770571101"</f>
        <v>1770571101</v>
      </c>
      <c r="B1328" t="str">
        <f>"00917208"</f>
        <v>00917208</v>
      </c>
      <c r="C1328" t="s">
        <v>3797</v>
      </c>
      <c r="D1328" t="s">
        <v>3798</v>
      </c>
      <c r="E1328" t="s">
        <v>3799</v>
      </c>
      <c r="G1328" t="s">
        <v>2363</v>
      </c>
      <c r="H1328" t="s">
        <v>2364</v>
      </c>
      <c r="J1328" t="s">
        <v>3800</v>
      </c>
      <c r="L1328" t="s">
        <v>120</v>
      </c>
      <c r="M1328" t="s">
        <v>108</v>
      </c>
      <c r="R1328" t="s">
        <v>3801</v>
      </c>
      <c r="W1328" t="s">
        <v>3799</v>
      </c>
      <c r="X1328" t="s">
        <v>3802</v>
      </c>
      <c r="Y1328" t="s">
        <v>2368</v>
      </c>
      <c r="Z1328" t="s">
        <v>111</v>
      </c>
      <c r="AA1328" t="str">
        <f>"14886-9201"</f>
        <v>14886-9201</v>
      </c>
      <c r="AB1328" t="s">
        <v>123</v>
      </c>
      <c r="AC1328" t="s">
        <v>113</v>
      </c>
      <c r="AD1328" t="s">
        <v>108</v>
      </c>
      <c r="AE1328" t="s">
        <v>114</v>
      </c>
      <c r="AF1328" t="s">
        <v>142</v>
      </c>
      <c r="AG1328" t="s">
        <v>116</v>
      </c>
      <c r="AK1328" t="str">
        <f t="shared" si="134"/>
        <v/>
      </c>
      <c r="AL1328" t="s">
        <v>3798</v>
      </c>
      <c r="AM1328">
        <v>1</v>
      </c>
      <c r="AN1328">
        <v>1</v>
      </c>
      <c r="AO1328">
        <v>0</v>
      </c>
      <c r="AP1328">
        <v>0</v>
      </c>
      <c r="AQ1328">
        <v>0</v>
      </c>
      <c r="AR1328">
        <v>0</v>
      </c>
      <c r="AS1328">
        <v>0</v>
      </c>
      <c r="AT1328">
        <v>0</v>
      </c>
      <c r="AU1328">
        <v>0</v>
      </c>
      <c r="AV1328">
        <v>0</v>
      </c>
      <c r="AW1328">
        <v>0</v>
      </c>
      <c r="AX1328" s="24">
        <f t="shared" si="139"/>
        <v>1</v>
      </c>
      <c r="AY1328" s="24" t="str">
        <f t="shared" si="139"/>
        <v/>
      </c>
      <c r="AZ1328" s="24" t="str">
        <f t="shared" si="138"/>
        <v/>
      </c>
      <c r="BA1328" s="24" t="str">
        <f t="shared" si="138"/>
        <v/>
      </c>
      <c r="BB1328" s="24" t="str">
        <f t="shared" si="138"/>
        <v/>
      </c>
      <c r="BC1328" s="24" t="str">
        <f t="shared" si="138"/>
        <v/>
      </c>
      <c r="BD1328" s="24" t="str">
        <f t="shared" si="138"/>
        <v/>
      </c>
      <c r="BE1328" s="24" t="str">
        <f t="shared" si="138"/>
        <v/>
      </c>
      <c r="BF1328" s="24" t="str">
        <f t="shared" si="138"/>
        <v/>
      </c>
      <c r="BG1328" s="24" t="str">
        <f t="shared" si="138"/>
        <v/>
      </c>
      <c r="BH1328" s="24" t="str">
        <f t="shared" si="135"/>
        <v/>
      </c>
      <c r="BI1328" s="24">
        <f t="shared" si="138"/>
        <v>1</v>
      </c>
      <c r="BJ1328" s="24" t="str">
        <f t="shared" si="137"/>
        <v/>
      </c>
    </row>
    <row r="1329" spans="1:62" ht="15" customHeight="1" x14ac:dyDescent="0.25">
      <c r="A1329" t="str">
        <f>"1710944640"</f>
        <v>1710944640</v>
      </c>
      <c r="B1329" t="str">
        <f>"02239696"</f>
        <v>02239696</v>
      </c>
      <c r="C1329" t="s">
        <v>4706</v>
      </c>
      <c r="D1329" t="s">
        <v>4707</v>
      </c>
      <c r="E1329" t="s">
        <v>4708</v>
      </c>
      <c r="G1329" t="s">
        <v>3154</v>
      </c>
      <c r="H1329" t="s">
        <v>3155</v>
      </c>
      <c r="J1329" t="s">
        <v>4709</v>
      </c>
      <c r="L1329" t="s">
        <v>120</v>
      </c>
      <c r="M1329" t="s">
        <v>108</v>
      </c>
      <c r="R1329" t="s">
        <v>4710</v>
      </c>
      <c r="W1329" t="s">
        <v>4708</v>
      </c>
      <c r="X1329" t="s">
        <v>4711</v>
      </c>
      <c r="Y1329" t="s">
        <v>927</v>
      </c>
      <c r="Z1329" t="s">
        <v>111</v>
      </c>
      <c r="AA1329" t="str">
        <f>"14905-2263"</f>
        <v>14905-2263</v>
      </c>
      <c r="AB1329" t="s">
        <v>123</v>
      </c>
      <c r="AC1329" t="s">
        <v>113</v>
      </c>
      <c r="AD1329" t="s">
        <v>108</v>
      </c>
      <c r="AE1329" t="s">
        <v>114</v>
      </c>
      <c r="AF1329" t="s">
        <v>149</v>
      </c>
      <c r="AG1329" t="s">
        <v>116</v>
      </c>
      <c r="AK1329" t="str">
        <f t="shared" si="134"/>
        <v/>
      </c>
      <c r="AL1329" t="s">
        <v>4707</v>
      </c>
      <c r="AM1329">
        <v>0</v>
      </c>
      <c r="AN1329">
        <v>0</v>
      </c>
      <c r="AO1329">
        <v>0</v>
      </c>
      <c r="AP1329">
        <v>0</v>
      </c>
      <c r="AQ1329">
        <v>0</v>
      </c>
      <c r="AR1329">
        <v>0</v>
      </c>
      <c r="AS1329">
        <v>0</v>
      </c>
      <c r="AT1329">
        <v>0</v>
      </c>
      <c r="AU1329">
        <v>0</v>
      </c>
      <c r="AV1329">
        <v>0</v>
      </c>
      <c r="AW1329">
        <v>0</v>
      </c>
      <c r="AX1329" s="24">
        <f t="shared" si="139"/>
        <v>1</v>
      </c>
      <c r="AY1329" s="24" t="str">
        <f t="shared" si="139"/>
        <v/>
      </c>
      <c r="AZ1329" s="24" t="str">
        <f t="shared" si="138"/>
        <v/>
      </c>
      <c r="BA1329" s="24" t="str">
        <f t="shared" si="138"/>
        <v/>
      </c>
      <c r="BB1329" s="24" t="str">
        <f t="shared" si="138"/>
        <v/>
      </c>
      <c r="BC1329" s="24" t="str">
        <f t="shared" si="138"/>
        <v/>
      </c>
      <c r="BD1329" s="24" t="str">
        <f t="shared" si="138"/>
        <v/>
      </c>
      <c r="BE1329" s="24" t="str">
        <f t="shared" si="138"/>
        <v/>
      </c>
      <c r="BF1329" s="24" t="str">
        <f t="shared" si="138"/>
        <v/>
      </c>
      <c r="BG1329" s="24" t="str">
        <f t="shared" si="138"/>
        <v/>
      </c>
      <c r="BH1329" s="24" t="str">
        <f t="shared" si="135"/>
        <v/>
      </c>
      <c r="BI1329" s="24">
        <f t="shared" si="138"/>
        <v>1</v>
      </c>
      <c r="BJ1329" s="24" t="str">
        <f t="shared" si="137"/>
        <v/>
      </c>
    </row>
    <row r="1330" spans="1:62" ht="15" customHeight="1" x14ac:dyDescent="0.25">
      <c r="A1330" t="str">
        <f>"1780751156"</f>
        <v>1780751156</v>
      </c>
      <c r="B1330" t="str">
        <f>"00786489"</f>
        <v>00786489</v>
      </c>
      <c r="C1330" t="s">
        <v>2012</v>
      </c>
      <c r="D1330" t="s">
        <v>2013</v>
      </c>
      <c r="E1330" t="s">
        <v>2014</v>
      </c>
      <c r="L1330" t="s">
        <v>138</v>
      </c>
      <c r="M1330" t="s">
        <v>108</v>
      </c>
      <c r="R1330" t="s">
        <v>2012</v>
      </c>
      <c r="W1330" t="s">
        <v>2015</v>
      </c>
      <c r="X1330" t="s">
        <v>2016</v>
      </c>
      <c r="Y1330" t="s">
        <v>335</v>
      </c>
      <c r="Z1330" t="s">
        <v>111</v>
      </c>
      <c r="AA1330" t="str">
        <f>"13820-1855"</f>
        <v>13820-1855</v>
      </c>
      <c r="AB1330" t="s">
        <v>123</v>
      </c>
      <c r="AC1330" t="s">
        <v>113</v>
      </c>
      <c r="AD1330" t="s">
        <v>108</v>
      </c>
      <c r="AE1330" t="s">
        <v>114</v>
      </c>
      <c r="AF1330" t="s">
        <v>124</v>
      </c>
      <c r="AG1330" t="s">
        <v>116</v>
      </c>
      <c r="AK1330" t="str">
        <f t="shared" si="134"/>
        <v/>
      </c>
      <c r="AL1330" t="s">
        <v>2013</v>
      </c>
      <c r="AM1330">
        <v>1</v>
      </c>
      <c r="AN1330">
        <v>1</v>
      </c>
      <c r="AO1330">
        <v>0</v>
      </c>
      <c r="AP1330">
        <v>1</v>
      </c>
      <c r="AQ1330">
        <v>1</v>
      </c>
      <c r="AR1330">
        <v>0</v>
      </c>
      <c r="AS1330">
        <v>0</v>
      </c>
      <c r="AT1330">
        <v>0</v>
      </c>
      <c r="AU1330">
        <v>0</v>
      </c>
      <c r="AV1330">
        <v>0</v>
      </c>
      <c r="AW1330">
        <v>0</v>
      </c>
      <c r="AX1330" s="24" t="str">
        <f t="shared" si="139"/>
        <v/>
      </c>
      <c r="AY1330" s="24">
        <f t="shared" si="139"/>
        <v>1</v>
      </c>
      <c r="AZ1330" s="24" t="str">
        <f t="shared" si="138"/>
        <v/>
      </c>
      <c r="BA1330" s="24" t="str">
        <f t="shared" si="138"/>
        <v/>
      </c>
      <c r="BB1330" s="24" t="str">
        <f t="shared" si="138"/>
        <v/>
      </c>
      <c r="BC1330" s="24" t="str">
        <f t="shared" si="138"/>
        <v/>
      </c>
      <c r="BD1330" s="24" t="str">
        <f t="shared" si="138"/>
        <v/>
      </c>
      <c r="BE1330" s="24" t="str">
        <f t="shared" si="138"/>
        <v/>
      </c>
      <c r="BF1330" s="24" t="str">
        <f t="shared" si="138"/>
        <v/>
      </c>
      <c r="BG1330" s="24" t="str">
        <f t="shared" si="138"/>
        <v/>
      </c>
      <c r="BH1330" s="24" t="str">
        <f t="shared" si="135"/>
        <v/>
      </c>
      <c r="BI1330" s="24">
        <f t="shared" si="138"/>
        <v>1</v>
      </c>
      <c r="BJ1330" s="24" t="str">
        <f t="shared" si="137"/>
        <v/>
      </c>
    </row>
    <row r="1331" spans="1:62" ht="15" customHeight="1" x14ac:dyDescent="0.25">
      <c r="A1331" t="str">
        <f>"1659304913"</f>
        <v>1659304913</v>
      </c>
      <c r="B1331" t="str">
        <f>"03884466"</f>
        <v>03884466</v>
      </c>
      <c r="C1331" t="s">
        <v>6798</v>
      </c>
      <c r="D1331" t="s">
        <v>7074</v>
      </c>
      <c r="E1331" t="s">
        <v>6936</v>
      </c>
      <c r="G1331" t="s">
        <v>6330</v>
      </c>
      <c r="H1331" t="s">
        <v>6331</v>
      </c>
      <c r="J1331" t="s">
        <v>6332</v>
      </c>
      <c r="L1331" t="s">
        <v>247</v>
      </c>
      <c r="M1331" t="s">
        <v>108</v>
      </c>
      <c r="R1331" t="s">
        <v>6798</v>
      </c>
      <c r="W1331" t="s">
        <v>6936</v>
      </c>
      <c r="X1331" t="s">
        <v>406</v>
      </c>
      <c r="Y1331" t="s">
        <v>129</v>
      </c>
      <c r="Z1331" t="s">
        <v>111</v>
      </c>
      <c r="AA1331" t="str">
        <f>"13790-2107"</f>
        <v>13790-2107</v>
      </c>
      <c r="AB1331" t="s">
        <v>123</v>
      </c>
      <c r="AC1331" t="s">
        <v>113</v>
      </c>
      <c r="AD1331" t="s">
        <v>108</v>
      </c>
      <c r="AE1331" t="s">
        <v>114</v>
      </c>
      <c r="AF1331" t="s">
        <v>115</v>
      </c>
      <c r="AG1331" t="s">
        <v>116</v>
      </c>
      <c r="AK1331" t="str">
        <f t="shared" si="134"/>
        <v>SWOBODA THOMAS DR.</v>
      </c>
      <c r="AL1331" t="s">
        <v>7074</v>
      </c>
      <c r="AM1331" t="s">
        <v>108</v>
      </c>
      <c r="AN1331" t="s">
        <v>108</v>
      </c>
      <c r="AO1331" t="s">
        <v>108</v>
      </c>
      <c r="AP1331" t="s">
        <v>108</v>
      </c>
      <c r="AQ1331" t="s">
        <v>108</v>
      </c>
      <c r="AR1331" t="s">
        <v>108</v>
      </c>
      <c r="AS1331" t="s">
        <v>108</v>
      </c>
      <c r="AT1331" t="s">
        <v>108</v>
      </c>
      <c r="AU1331" t="s">
        <v>108</v>
      </c>
      <c r="AV1331" t="s">
        <v>108</v>
      </c>
      <c r="AW1331" t="s">
        <v>108</v>
      </c>
      <c r="AX1331" s="24" t="str">
        <f t="shared" si="139"/>
        <v/>
      </c>
      <c r="AY1331" s="24">
        <f t="shared" si="139"/>
        <v>1</v>
      </c>
      <c r="AZ1331" s="24" t="str">
        <f t="shared" si="138"/>
        <v/>
      </c>
      <c r="BA1331" s="24" t="str">
        <f t="shared" si="138"/>
        <v/>
      </c>
      <c r="BB1331" s="24" t="str">
        <f t="shared" si="138"/>
        <v/>
      </c>
      <c r="BC1331" s="24" t="str">
        <f t="shared" si="138"/>
        <v/>
      </c>
      <c r="BD1331" s="24" t="str">
        <f t="shared" si="138"/>
        <v/>
      </c>
      <c r="BE1331" s="24" t="str">
        <f t="shared" si="138"/>
        <v/>
      </c>
      <c r="BF1331" s="24" t="str">
        <f t="shared" si="138"/>
        <v/>
      </c>
      <c r="BG1331" s="24" t="str">
        <f t="shared" si="138"/>
        <v/>
      </c>
      <c r="BH1331" s="24" t="str">
        <f t="shared" si="135"/>
        <v/>
      </c>
      <c r="BI1331" s="24" t="str">
        <f t="shared" si="138"/>
        <v/>
      </c>
      <c r="BJ1331" s="24" t="str">
        <f t="shared" si="137"/>
        <v/>
      </c>
    </row>
    <row r="1332" spans="1:62" ht="15" customHeight="1" x14ac:dyDescent="0.25">
      <c r="A1332" t="str">
        <f>"1184795981"</f>
        <v>1184795981</v>
      </c>
      <c r="B1332" t="str">
        <f>"01449572"</f>
        <v>01449572</v>
      </c>
      <c r="C1332" t="s">
        <v>6761</v>
      </c>
      <c r="D1332" t="s">
        <v>7030</v>
      </c>
      <c r="E1332" t="s">
        <v>6885</v>
      </c>
      <c r="G1332" t="s">
        <v>815</v>
      </c>
      <c r="H1332" t="s">
        <v>816</v>
      </c>
      <c r="J1332" t="s">
        <v>817</v>
      </c>
      <c r="L1332" t="s">
        <v>120</v>
      </c>
      <c r="M1332" t="s">
        <v>108</v>
      </c>
      <c r="R1332" t="s">
        <v>6761</v>
      </c>
      <c r="W1332" t="s">
        <v>6885</v>
      </c>
      <c r="X1332" t="s">
        <v>6886</v>
      </c>
      <c r="Y1332" t="s">
        <v>110</v>
      </c>
      <c r="Z1332" t="s">
        <v>111</v>
      </c>
      <c r="AA1332" t="str">
        <f>"13905-4176"</f>
        <v>13905-4176</v>
      </c>
      <c r="AB1332" t="s">
        <v>123</v>
      </c>
      <c r="AC1332" t="s">
        <v>113</v>
      </c>
      <c r="AD1332" t="s">
        <v>108</v>
      </c>
      <c r="AE1332" t="s">
        <v>114</v>
      </c>
      <c r="AF1332" t="s">
        <v>115</v>
      </c>
      <c r="AG1332" t="s">
        <v>116</v>
      </c>
      <c r="AK1332" t="str">
        <f t="shared" si="134"/>
        <v>SYVINLUAN MARIA</v>
      </c>
      <c r="AL1332" t="s">
        <v>7030</v>
      </c>
      <c r="AM1332" t="s">
        <v>108</v>
      </c>
      <c r="AN1332" t="s">
        <v>108</v>
      </c>
      <c r="AO1332" t="s">
        <v>108</v>
      </c>
      <c r="AP1332" t="s">
        <v>108</v>
      </c>
      <c r="AQ1332" t="s">
        <v>108</v>
      </c>
      <c r="AR1332" t="s">
        <v>108</v>
      </c>
      <c r="AS1332" t="s">
        <v>108</v>
      </c>
      <c r="AT1332" t="s">
        <v>108</v>
      </c>
      <c r="AU1332" t="s">
        <v>108</v>
      </c>
      <c r="AV1332" t="s">
        <v>108</v>
      </c>
      <c r="AW1332" t="s">
        <v>108</v>
      </c>
      <c r="AX1332" s="24">
        <f t="shared" si="139"/>
        <v>1</v>
      </c>
      <c r="AY1332" s="24" t="str">
        <f t="shared" si="139"/>
        <v/>
      </c>
      <c r="AZ1332" s="24" t="str">
        <f t="shared" si="138"/>
        <v/>
      </c>
      <c r="BA1332" s="24" t="str">
        <f t="shared" si="138"/>
        <v/>
      </c>
      <c r="BB1332" s="24" t="str">
        <f t="shared" si="138"/>
        <v/>
      </c>
      <c r="BC1332" s="24" t="str">
        <f t="shared" si="138"/>
        <v/>
      </c>
      <c r="BD1332" s="24" t="str">
        <f t="shared" si="138"/>
        <v/>
      </c>
      <c r="BE1332" s="24" t="str">
        <f t="shared" si="138"/>
        <v/>
      </c>
      <c r="BF1332" s="24" t="str">
        <f t="shared" si="138"/>
        <v/>
      </c>
      <c r="BG1332" s="24" t="str">
        <f t="shared" si="138"/>
        <v/>
      </c>
      <c r="BH1332" s="24" t="str">
        <f t="shared" si="135"/>
        <v/>
      </c>
      <c r="BI1332" s="24">
        <f t="shared" si="138"/>
        <v>1</v>
      </c>
      <c r="BJ1332" s="24" t="str">
        <f t="shared" si="137"/>
        <v/>
      </c>
    </row>
    <row r="1333" spans="1:62" ht="15" customHeight="1" x14ac:dyDescent="0.25">
      <c r="A1333" t="str">
        <f>"1861563660"</f>
        <v>1861563660</v>
      </c>
      <c r="B1333" t="str">
        <f>"02389926"</f>
        <v>02389926</v>
      </c>
      <c r="C1333" t="s">
        <v>1040</v>
      </c>
      <c r="D1333" t="s">
        <v>1041</v>
      </c>
      <c r="E1333" t="s">
        <v>1042</v>
      </c>
      <c r="L1333" t="s">
        <v>120</v>
      </c>
      <c r="M1333" t="s">
        <v>108</v>
      </c>
      <c r="R1333" t="s">
        <v>1040</v>
      </c>
      <c r="W1333" t="s">
        <v>1042</v>
      </c>
      <c r="X1333" t="s">
        <v>1043</v>
      </c>
      <c r="Y1333" t="s">
        <v>110</v>
      </c>
      <c r="Z1333" t="s">
        <v>111</v>
      </c>
      <c r="AA1333" t="str">
        <f>"13905-4198"</f>
        <v>13905-4198</v>
      </c>
      <c r="AB1333" t="s">
        <v>123</v>
      </c>
      <c r="AC1333" t="s">
        <v>113</v>
      </c>
      <c r="AD1333" t="s">
        <v>108</v>
      </c>
      <c r="AE1333" t="s">
        <v>114</v>
      </c>
      <c r="AF1333" t="s">
        <v>115</v>
      </c>
      <c r="AG1333" t="s">
        <v>116</v>
      </c>
      <c r="AK1333" t="str">
        <f t="shared" si="134"/>
        <v/>
      </c>
      <c r="AL1333" t="s">
        <v>1041</v>
      </c>
      <c r="AM1333">
        <v>1</v>
      </c>
      <c r="AN1333">
        <v>1</v>
      </c>
      <c r="AO1333">
        <v>0</v>
      </c>
      <c r="AP1333">
        <v>0</v>
      </c>
      <c r="AQ1333">
        <v>1</v>
      </c>
      <c r="AR1333">
        <v>0</v>
      </c>
      <c r="AS1333">
        <v>0</v>
      </c>
      <c r="AT1333">
        <v>0</v>
      </c>
      <c r="AU1333">
        <v>0</v>
      </c>
      <c r="AV1333">
        <v>0</v>
      </c>
      <c r="AW1333">
        <v>0</v>
      </c>
      <c r="AX1333" s="24">
        <f t="shared" si="139"/>
        <v>1</v>
      </c>
      <c r="AY1333" s="24" t="str">
        <f t="shared" si="139"/>
        <v/>
      </c>
      <c r="AZ1333" s="24" t="str">
        <f t="shared" si="138"/>
        <v/>
      </c>
      <c r="BA1333" s="24" t="str">
        <f t="shared" si="138"/>
        <v/>
      </c>
      <c r="BB1333" s="24" t="str">
        <f t="shared" si="138"/>
        <v/>
      </c>
      <c r="BC1333" s="24" t="str">
        <f t="shared" si="138"/>
        <v/>
      </c>
      <c r="BD1333" s="24" t="str">
        <f t="shared" si="138"/>
        <v/>
      </c>
      <c r="BE1333" s="24" t="str">
        <f t="shared" si="138"/>
        <v/>
      </c>
      <c r="BF1333" s="24" t="str">
        <f t="shared" si="138"/>
        <v/>
      </c>
      <c r="BG1333" s="24" t="str">
        <f t="shared" si="138"/>
        <v/>
      </c>
      <c r="BH1333" s="24" t="str">
        <f t="shared" si="135"/>
        <v/>
      </c>
      <c r="BI1333" s="24">
        <f t="shared" si="138"/>
        <v>1</v>
      </c>
      <c r="BJ1333" s="24" t="str">
        <f t="shared" si="137"/>
        <v/>
      </c>
    </row>
    <row r="1334" spans="1:62" ht="15" customHeight="1" x14ac:dyDescent="0.25">
      <c r="A1334" t="str">
        <f>"1467472647"</f>
        <v>1467472647</v>
      </c>
      <c r="B1334" t="str">
        <f>"00755211"</f>
        <v>00755211</v>
      </c>
      <c r="C1334" t="s">
        <v>6776</v>
      </c>
      <c r="D1334" t="s">
        <v>7048</v>
      </c>
      <c r="E1334" t="s">
        <v>6776</v>
      </c>
      <c r="G1334" t="s">
        <v>7184</v>
      </c>
      <c r="H1334" t="s">
        <v>2379</v>
      </c>
      <c r="J1334" t="s">
        <v>7185</v>
      </c>
      <c r="L1334" t="s">
        <v>120</v>
      </c>
      <c r="M1334" t="s">
        <v>108</v>
      </c>
      <c r="R1334" t="s">
        <v>6776</v>
      </c>
      <c r="W1334" t="s">
        <v>6776</v>
      </c>
      <c r="X1334" t="s">
        <v>6904</v>
      </c>
      <c r="Y1334" t="s">
        <v>979</v>
      </c>
      <c r="Z1334" t="s">
        <v>111</v>
      </c>
      <c r="AA1334" t="str">
        <f>"13760-3698"</f>
        <v>13760-3698</v>
      </c>
      <c r="AB1334" t="s">
        <v>123</v>
      </c>
      <c r="AC1334" t="s">
        <v>113</v>
      </c>
      <c r="AD1334" t="s">
        <v>108</v>
      </c>
      <c r="AE1334" t="s">
        <v>114</v>
      </c>
      <c r="AF1334" t="s">
        <v>115</v>
      </c>
      <c r="AG1334" t="s">
        <v>116</v>
      </c>
      <c r="AK1334" t="str">
        <f t="shared" si="134"/>
        <v>SZE-TU DUNCAN</v>
      </c>
      <c r="AL1334" t="s">
        <v>7048</v>
      </c>
      <c r="AM1334" t="s">
        <v>108</v>
      </c>
      <c r="AN1334" t="s">
        <v>108</v>
      </c>
      <c r="AO1334" t="s">
        <v>108</v>
      </c>
      <c r="AP1334" t="s">
        <v>108</v>
      </c>
      <c r="AQ1334" t="s">
        <v>108</v>
      </c>
      <c r="AR1334" t="s">
        <v>108</v>
      </c>
      <c r="AS1334" t="s">
        <v>108</v>
      </c>
      <c r="AT1334" t="s">
        <v>108</v>
      </c>
      <c r="AU1334" t="s">
        <v>108</v>
      </c>
      <c r="AV1334" t="s">
        <v>108</v>
      </c>
      <c r="AW1334" t="s">
        <v>108</v>
      </c>
      <c r="AX1334" s="24">
        <f t="shared" si="139"/>
        <v>1</v>
      </c>
      <c r="AY1334" s="24" t="str">
        <f t="shared" si="139"/>
        <v/>
      </c>
      <c r="AZ1334" s="24" t="str">
        <f t="shared" si="138"/>
        <v/>
      </c>
      <c r="BA1334" s="24" t="str">
        <f t="shared" si="138"/>
        <v/>
      </c>
      <c r="BB1334" s="24" t="str">
        <f t="shared" si="138"/>
        <v/>
      </c>
      <c r="BC1334" s="24" t="str">
        <f t="shared" si="138"/>
        <v/>
      </c>
      <c r="BD1334" s="24" t="str">
        <f t="shared" si="138"/>
        <v/>
      </c>
      <c r="BE1334" s="24" t="str">
        <f t="shared" si="138"/>
        <v/>
      </c>
      <c r="BF1334" s="24" t="str">
        <f t="shared" si="138"/>
        <v/>
      </c>
      <c r="BG1334" s="24" t="str">
        <f t="shared" si="138"/>
        <v/>
      </c>
      <c r="BH1334" s="24" t="str">
        <f t="shared" si="135"/>
        <v/>
      </c>
      <c r="BI1334" s="24">
        <f t="shared" si="138"/>
        <v>1</v>
      </c>
      <c r="BJ1334" s="24" t="str">
        <f t="shared" si="137"/>
        <v/>
      </c>
    </row>
    <row r="1335" spans="1:62" ht="15" customHeight="1" x14ac:dyDescent="0.25">
      <c r="A1335" t="str">
        <f>"1548241680"</f>
        <v>1548241680</v>
      </c>
      <c r="B1335" t="str">
        <f>"02409438"</f>
        <v>02409438</v>
      </c>
      <c r="C1335" t="s">
        <v>1044</v>
      </c>
      <c r="D1335" t="s">
        <v>1045</v>
      </c>
      <c r="E1335" t="s">
        <v>1046</v>
      </c>
      <c r="L1335" t="s">
        <v>247</v>
      </c>
      <c r="M1335" t="s">
        <v>108</v>
      </c>
      <c r="R1335" t="s">
        <v>1044</v>
      </c>
      <c r="W1335" t="s">
        <v>1047</v>
      </c>
      <c r="X1335" t="s">
        <v>1048</v>
      </c>
      <c r="Y1335" t="s">
        <v>966</v>
      </c>
      <c r="Z1335" t="s">
        <v>111</v>
      </c>
      <c r="AA1335" t="str">
        <f>"13850-3514"</f>
        <v>13850-3514</v>
      </c>
      <c r="AB1335" t="s">
        <v>1000</v>
      </c>
      <c r="AC1335" t="s">
        <v>113</v>
      </c>
      <c r="AD1335" t="s">
        <v>108</v>
      </c>
      <c r="AE1335" t="s">
        <v>114</v>
      </c>
      <c r="AF1335" t="s">
        <v>115</v>
      </c>
      <c r="AG1335" t="s">
        <v>116</v>
      </c>
      <c r="AK1335" t="str">
        <f t="shared" si="134"/>
        <v/>
      </c>
      <c r="AL1335" t="s">
        <v>1045</v>
      </c>
      <c r="AM1335">
        <v>0</v>
      </c>
      <c r="AN1335">
        <v>0</v>
      </c>
      <c r="AO1335">
        <v>0</v>
      </c>
      <c r="AP1335">
        <v>0</v>
      </c>
      <c r="AQ1335">
        <v>0</v>
      </c>
      <c r="AR1335">
        <v>0</v>
      </c>
      <c r="AS1335">
        <v>0</v>
      </c>
      <c r="AT1335">
        <v>0</v>
      </c>
      <c r="AU1335">
        <v>0</v>
      </c>
      <c r="AV1335">
        <v>0</v>
      </c>
      <c r="AW1335">
        <v>0</v>
      </c>
      <c r="AX1335" s="24" t="str">
        <f t="shared" si="139"/>
        <v/>
      </c>
      <c r="AY1335" s="24">
        <f t="shared" si="139"/>
        <v>1</v>
      </c>
      <c r="AZ1335" s="24" t="str">
        <f t="shared" si="138"/>
        <v/>
      </c>
      <c r="BA1335" s="24" t="str">
        <f t="shared" si="138"/>
        <v/>
      </c>
      <c r="BB1335" s="24" t="str">
        <f t="shared" si="138"/>
        <v/>
      </c>
      <c r="BC1335" s="24" t="str">
        <f t="shared" si="138"/>
        <v/>
      </c>
      <c r="BD1335" s="24" t="str">
        <f t="shared" si="138"/>
        <v/>
      </c>
      <c r="BE1335" s="24" t="str">
        <f t="shared" si="138"/>
        <v/>
      </c>
      <c r="BF1335" s="24" t="str">
        <f t="shared" si="138"/>
        <v/>
      </c>
      <c r="BG1335" s="24" t="str">
        <f t="shared" si="138"/>
        <v/>
      </c>
      <c r="BH1335" s="24" t="str">
        <f t="shared" si="135"/>
        <v/>
      </c>
      <c r="BI1335" s="24" t="str">
        <f t="shared" si="138"/>
        <v/>
      </c>
      <c r="BJ1335" s="24" t="str">
        <f t="shared" si="137"/>
        <v/>
      </c>
    </row>
    <row r="1336" spans="1:62" ht="15" customHeight="1" x14ac:dyDescent="0.25">
      <c r="A1336" t="str">
        <f>"1114098902"</f>
        <v>1114098902</v>
      </c>
      <c r="B1336" t="str">
        <f>"01766912"</f>
        <v>01766912</v>
      </c>
      <c r="C1336" t="s">
        <v>1827</v>
      </c>
      <c r="D1336" t="s">
        <v>1828</v>
      </c>
      <c r="E1336" t="s">
        <v>1829</v>
      </c>
      <c r="G1336" t="s">
        <v>815</v>
      </c>
      <c r="H1336" t="s">
        <v>816</v>
      </c>
      <c r="J1336" t="s">
        <v>817</v>
      </c>
      <c r="L1336" t="s">
        <v>120</v>
      </c>
      <c r="M1336" t="s">
        <v>108</v>
      </c>
      <c r="R1336" t="s">
        <v>1827</v>
      </c>
      <c r="W1336" t="s">
        <v>1829</v>
      </c>
      <c r="X1336" t="s">
        <v>1830</v>
      </c>
      <c r="Y1336" t="s">
        <v>110</v>
      </c>
      <c r="Z1336" t="s">
        <v>111</v>
      </c>
      <c r="AA1336" t="str">
        <f>"13905-2524"</f>
        <v>13905-2524</v>
      </c>
      <c r="AB1336" t="s">
        <v>123</v>
      </c>
      <c r="AC1336" t="s">
        <v>113</v>
      </c>
      <c r="AD1336" t="s">
        <v>108</v>
      </c>
      <c r="AE1336" t="s">
        <v>114</v>
      </c>
      <c r="AF1336" t="s">
        <v>115</v>
      </c>
      <c r="AG1336" t="s">
        <v>116</v>
      </c>
      <c r="AK1336" t="str">
        <f t="shared" si="134"/>
        <v/>
      </c>
      <c r="AL1336" t="s">
        <v>1828</v>
      </c>
      <c r="AM1336">
        <v>1</v>
      </c>
      <c r="AN1336">
        <v>1</v>
      </c>
      <c r="AO1336">
        <v>0</v>
      </c>
      <c r="AP1336">
        <v>1</v>
      </c>
      <c r="AQ1336">
        <v>1</v>
      </c>
      <c r="AR1336">
        <v>0</v>
      </c>
      <c r="AS1336">
        <v>0</v>
      </c>
      <c r="AT1336">
        <v>1</v>
      </c>
      <c r="AU1336">
        <v>0</v>
      </c>
      <c r="AV1336">
        <v>0</v>
      </c>
      <c r="AW1336">
        <v>1</v>
      </c>
      <c r="AX1336" s="24">
        <f t="shared" si="139"/>
        <v>1</v>
      </c>
      <c r="AY1336" s="24" t="str">
        <f t="shared" si="139"/>
        <v/>
      </c>
      <c r="AZ1336" s="24" t="str">
        <f t="shared" si="138"/>
        <v/>
      </c>
      <c r="BA1336" s="24" t="str">
        <f t="shared" si="138"/>
        <v/>
      </c>
      <c r="BB1336" s="24" t="str">
        <f t="shared" si="138"/>
        <v/>
      </c>
      <c r="BC1336" s="24" t="str">
        <f t="shared" si="138"/>
        <v/>
      </c>
      <c r="BD1336" s="24" t="str">
        <f t="shared" si="138"/>
        <v/>
      </c>
      <c r="BE1336" s="24" t="str">
        <f t="shared" si="138"/>
        <v/>
      </c>
      <c r="BF1336" s="24" t="str">
        <f t="shared" si="138"/>
        <v/>
      </c>
      <c r="BG1336" s="24" t="str">
        <f t="shared" si="138"/>
        <v/>
      </c>
      <c r="BH1336" s="24" t="str">
        <f t="shared" si="135"/>
        <v/>
      </c>
      <c r="BI1336" s="24">
        <f t="shared" si="138"/>
        <v>1</v>
      </c>
      <c r="BJ1336" s="24" t="str">
        <f t="shared" si="137"/>
        <v/>
      </c>
    </row>
    <row r="1337" spans="1:62" ht="15" customHeight="1" x14ac:dyDescent="0.25">
      <c r="A1337" t="str">
        <f>"1851366082"</f>
        <v>1851366082</v>
      </c>
      <c r="B1337" t="str">
        <f>"01411687"</f>
        <v>01411687</v>
      </c>
      <c r="C1337" t="s">
        <v>2296</v>
      </c>
      <c r="D1337" t="s">
        <v>2297</v>
      </c>
      <c r="E1337" t="s">
        <v>2298</v>
      </c>
      <c r="G1337" t="s">
        <v>177</v>
      </c>
      <c r="H1337" t="s">
        <v>178</v>
      </c>
      <c r="J1337" t="s">
        <v>179</v>
      </c>
      <c r="L1337" t="s">
        <v>138</v>
      </c>
      <c r="M1337" t="s">
        <v>108</v>
      </c>
      <c r="R1337" t="s">
        <v>2296</v>
      </c>
      <c r="W1337" t="s">
        <v>2298</v>
      </c>
      <c r="X1337" t="s">
        <v>740</v>
      </c>
      <c r="Y1337" t="s">
        <v>181</v>
      </c>
      <c r="Z1337" t="s">
        <v>182</v>
      </c>
      <c r="AA1337" t="str">
        <f>"18840"</f>
        <v>18840</v>
      </c>
      <c r="AB1337" t="s">
        <v>123</v>
      </c>
      <c r="AC1337" t="s">
        <v>113</v>
      </c>
      <c r="AD1337" t="s">
        <v>108</v>
      </c>
      <c r="AE1337" t="s">
        <v>114</v>
      </c>
      <c r="AF1337" t="s">
        <v>115</v>
      </c>
      <c r="AG1337" t="s">
        <v>116</v>
      </c>
      <c r="AK1337" t="str">
        <f t="shared" si="134"/>
        <v/>
      </c>
      <c r="AL1337" t="s">
        <v>2297</v>
      </c>
      <c r="AM1337">
        <v>0</v>
      </c>
      <c r="AN1337">
        <v>0</v>
      </c>
      <c r="AO1337">
        <v>0</v>
      </c>
      <c r="AP1337">
        <v>0</v>
      </c>
      <c r="AQ1337">
        <v>0</v>
      </c>
      <c r="AR1337">
        <v>0</v>
      </c>
      <c r="AS1337">
        <v>0</v>
      </c>
      <c r="AT1337">
        <v>0</v>
      </c>
      <c r="AU1337">
        <v>0</v>
      </c>
      <c r="AV1337">
        <v>0</v>
      </c>
      <c r="AW1337">
        <v>0</v>
      </c>
      <c r="AX1337" s="24" t="str">
        <f t="shared" si="139"/>
        <v/>
      </c>
      <c r="AY1337" s="24">
        <f t="shared" si="139"/>
        <v>1</v>
      </c>
      <c r="AZ1337" s="24" t="str">
        <f t="shared" si="138"/>
        <v/>
      </c>
      <c r="BA1337" s="24" t="str">
        <f t="shared" si="138"/>
        <v/>
      </c>
      <c r="BB1337" s="24" t="str">
        <f t="shared" si="138"/>
        <v/>
      </c>
      <c r="BC1337" s="24" t="str">
        <f t="shared" si="138"/>
        <v/>
      </c>
      <c r="BD1337" s="24" t="str">
        <f t="shared" si="138"/>
        <v/>
      </c>
      <c r="BE1337" s="24" t="str">
        <f t="shared" si="138"/>
        <v/>
      </c>
      <c r="BF1337" s="24" t="str">
        <f t="shared" si="138"/>
        <v/>
      </c>
      <c r="BG1337" s="24" t="str">
        <f t="shared" si="138"/>
        <v/>
      </c>
      <c r="BH1337" s="24" t="str">
        <f t="shared" si="135"/>
        <v/>
      </c>
      <c r="BI1337" s="24">
        <f t="shared" si="138"/>
        <v>1</v>
      </c>
      <c r="BJ1337" s="24" t="str">
        <f t="shared" si="137"/>
        <v/>
      </c>
    </row>
    <row r="1338" spans="1:62" ht="15" customHeight="1" x14ac:dyDescent="0.25">
      <c r="A1338" t="str">
        <f>"1922096627"</f>
        <v>1922096627</v>
      </c>
      <c r="B1338" t="str">
        <f>"02678971"</f>
        <v>02678971</v>
      </c>
      <c r="C1338" t="s">
        <v>1049</v>
      </c>
      <c r="D1338" t="s">
        <v>1050</v>
      </c>
      <c r="E1338" t="s">
        <v>1051</v>
      </c>
      <c r="L1338" t="s">
        <v>138</v>
      </c>
      <c r="M1338" t="s">
        <v>108</v>
      </c>
      <c r="R1338" t="s">
        <v>1049</v>
      </c>
      <c r="W1338" t="s">
        <v>1051</v>
      </c>
      <c r="X1338" t="s">
        <v>1052</v>
      </c>
      <c r="Y1338" t="s">
        <v>1053</v>
      </c>
      <c r="Z1338" t="s">
        <v>111</v>
      </c>
      <c r="AA1338" t="str">
        <f>"14618-2779"</f>
        <v>14618-2779</v>
      </c>
      <c r="AB1338" t="s">
        <v>123</v>
      </c>
      <c r="AC1338" t="s">
        <v>113</v>
      </c>
      <c r="AD1338" t="s">
        <v>108</v>
      </c>
      <c r="AE1338" t="s">
        <v>114</v>
      </c>
      <c r="AF1338" t="s">
        <v>115</v>
      </c>
      <c r="AG1338" t="s">
        <v>116</v>
      </c>
      <c r="AK1338" t="str">
        <f t="shared" si="134"/>
        <v/>
      </c>
      <c r="AL1338" t="s">
        <v>1050</v>
      </c>
      <c r="AM1338">
        <v>0</v>
      </c>
      <c r="AN1338">
        <v>0</v>
      </c>
      <c r="AO1338">
        <v>0</v>
      </c>
      <c r="AP1338">
        <v>0</v>
      </c>
      <c r="AQ1338">
        <v>0</v>
      </c>
      <c r="AR1338">
        <v>0</v>
      </c>
      <c r="AS1338">
        <v>0</v>
      </c>
      <c r="AT1338">
        <v>0</v>
      </c>
      <c r="AU1338">
        <v>0</v>
      </c>
      <c r="AV1338">
        <v>0</v>
      </c>
      <c r="AW1338">
        <v>0</v>
      </c>
      <c r="AX1338" s="24" t="str">
        <f t="shared" si="139"/>
        <v/>
      </c>
      <c r="AY1338" s="24">
        <f t="shared" si="139"/>
        <v>1</v>
      </c>
      <c r="AZ1338" s="24" t="str">
        <f t="shared" si="138"/>
        <v/>
      </c>
      <c r="BA1338" s="24" t="str">
        <f t="shared" si="138"/>
        <v/>
      </c>
      <c r="BB1338" s="24" t="str">
        <f t="shared" si="138"/>
        <v/>
      </c>
      <c r="BC1338" s="24" t="str">
        <f t="shared" si="138"/>
        <v/>
      </c>
      <c r="BD1338" s="24" t="str">
        <f t="shared" si="138"/>
        <v/>
      </c>
      <c r="BE1338" s="24" t="str">
        <f t="shared" si="138"/>
        <v/>
      </c>
      <c r="BF1338" s="24" t="str">
        <f t="shared" si="138"/>
        <v/>
      </c>
      <c r="BG1338" s="24" t="str">
        <f t="shared" si="138"/>
        <v/>
      </c>
      <c r="BH1338" s="24" t="str">
        <f t="shared" si="135"/>
        <v/>
      </c>
      <c r="BI1338" s="24">
        <f t="shared" si="138"/>
        <v>1</v>
      </c>
      <c r="BJ1338" s="24" t="str">
        <f t="shared" si="137"/>
        <v/>
      </c>
    </row>
    <row r="1339" spans="1:62" ht="15" customHeight="1" x14ac:dyDescent="0.25">
      <c r="A1339" t="str">
        <f>"1588639314"</f>
        <v>1588639314</v>
      </c>
      <c r="B1339" t="str">
        <f>"02407312"</f>
        <v>02407312</v>
      </c>
      <c r="C1339" t="s">
        <v>733</v>
      </c>
      <c r="D1339" t="s">
        <v>734</v>
      </c>
      <c r="E1339" t="s">
        <v>733</v>
      </c>
      <c r="G1339" t="s">
        <v>699</v>
      </c>
      <c r="H1339" t="s">
        <v>700</v>
      </c>
      <c r="J1339" t="s">
        <v>701</v>
      </c>
      <c r="L1339" t="s">
        <v>120</v>
      </c>
      <c r="M1339" t="s">
        <v>108</v>
      </c>
      <c r="R1339" t="s">
        <v>735</v>
      </c>
      <c r="W1339" t="s">
        <v>733</v>
      </c>
      <c r="Y1339" t="s">
        <v>157</v>
      </c>
      <c r="Z1339" t="s">
        <v>111</v>
      </c>
      <c r="AA1339" t="str">
        <f>"14830-2287"</f>
        <v>14830-2287</v>
      </c>
      <c r="AB1339" t="s">
        <v>123</v>
      </c>
      <c r="AC1339" t="s">
        <v>113</v>
      </c>
      <c r="AD1339" t="s">
        <v>108</v>
      </c>
      <c r="AE1339" t="s">
        <v>114</v>
      </c>
      <c r="AF1339" t="s">
        <v>149</v>
      </c>
      <c r="AG1339" t="s">
        <v>116</v>
      </c>
      <c r="AK1339" t="str">
        <f t="shared" si="134"/>
        <v/>
      </c>
      <c r="AL1339" t="s">
        <v>734</v>
      </c>
      <c r="AM1339">
        <v>1</v>
      </c>
      <c r="AN1339">
        <v>1</v>
      </c>
      <c r="AO1339">
        <v>0</v>
      </c>
      <c r="AP1339">
        <v>0</v>
      </c>
      <c r="AQ1339">
        <v>0</v>
      </c>
      <c r="AR1339">
        <v>0</v>
      </c>
      <c r="AS1339">
        <v>0</v>
      </c>
      <c r="AT1339">
        <v>1</v>
      </c>
      <c r="AU1339">
        <v>1</v>
      </c>
      <c r="AV1339">
        <v>1</v>
      </c>
      <c r="AW1339">
        <v>0</v>
      </c>
      <c r="AX1339" s="24">
        <f t="shared" si="139"/>
        <v>1</v>
      </c>
      <c r="AY1339" s="24" t="str">
        <f t="shared" si="139"/>
        <v/>
      </c>
      <c r="AZ1339" s="24" t="str">
        <f t="shared" si="138"/>
        <v/>
      </c>
      <c r="BA1339" s="24" t="str">
        <f t="shared" si="138"/>
        <v/>
      </c>
      <c r="BB1339" s="24" t="str">
        <f t="shared" si="138"/>
        <v/>
      </c>
      <c r="BC1339" s="24" t="str">
        <f t="shared" si="138"/>
        <v/>
      </c>
      <c r="BD1339" s="24" t="str">
        <f t="shared" si="138"/>
        <v/>
      </c>
      <c r="BE1339" s="24" t="str">
        <f t="shared" si="138"/>
        <v/>
      </c>
      <c r="BF1339" s="24" t="str">
        <f t="shared" ref="AZ1339:BI1365" si="140">IF(ISERROR(FIND(BF$1,$L1339,1)),"",1)</f>
        <v/>
      </c>
      <c r="BG1339" s="24" t="str">
        <f t="shared" si="140"/>
        <v/>
      </c>
      <c r="BH1339" s="24" t="str">
        <f t="shared" si="135"/>
        <v/>
      </c>
      <c r="BI1339" s="24">
        <f t="shared" si="140"/>
        <v>1</v>
      </c>
      <c r="BJ1339" s="24" t="str">
        <f t="shared" si="137"/>
        <v/>
      </c>
    </row>
    <row r="1340" spans="1:62" ht="15" customHeight="1" x14ac:dyDescent="0.25">
      <c r="A1340" t="str">
        <f>"1093160749"</f>
        <v>1093160749</v>
      </c>
      <c r="B1340" t="str">
        <f>"04617314"</f>
        <v>04617314</v>
      </c>
      <c r="C1340" t="s">
        <v>6433</v>
      </c>
      <c r="D1340" t="s">
        <v>6434</v>
      </c>
      <c r="E1340" t="s">
        <v>6435</v>
      </c>
      <c r="G1340" t="s">
        <v>6330</v>
      </c>
      <c r="H1340" t="s">
        <v>6331</v>
      </c>
      <c r="J1340" t="s">
        <v>6332</v>
      </c>
      <c r="L1340" t="s">
        <v>247</v>
      </c>
      <c r="M1340" t="s">
        <v>108</v>
      </c>
      <c r="R1340" t="s">
        <v>6436</v>
      </c>
      <c r="W1340" t="s">
        <v>6435</v>
      </c>
      <c r="AB1340" t="s">
        <v>123</v>
      </c>
      <c r="AC1340" t="s">
        <v>113</v>
      </c>
      <c r="AD1340" t="s">
        <v>108</v>
      </c>
      <c r="AE1340" t="s">
        <v>114</v>
      </c>
      <c r="AF1340" t="s">
        <v>115</v>
      </c>
      <c r="AG1340" t="s">
        <v>116</v>
      </c>
      <c r="AK1340" t="str">
        <f t="shared" si="134"/>
        <v>Tara Marie Wander</v>
      </c>
      <c r="AL1340" t="s">
        <v>6434</v>
      </c>
      <c r="AM1340" t="s">
        <v>108</v>
      </c>
      <c r="AN1340" t="s">
        <v>108</v>
      </c>
      <c r="AO1340" t="s">
        <v>108</v>
      </c>
      <c r="AP1340" t="s">
        <v>108</v>
      </c>
      <c r="AQ1340" t="s">
        <v>108</v>
      </c>
      <c r="AR1340" t="s">
        <v>108</v>
      </c>
      <c r="AS1340" t="s">
        <v>108</v>
      </c>
      <c r="AT1340" t="s">
        <v>108</v>
      </c>
      <c r="AU1340" t="s">
        <v>108</v>
      </c>
      <c r="AV1340" t="s">
        <v>108</v>
      </c>
      <c r="AW1340" t="s">
        <v>108</v>
      </c>
      <c r="AX1340" s="24" t="str">
        <f t="shared" si="139"/>
        <v/>
      </c>
      <c r="AY1340" s="24">
        <f t="shared" si="139"/>
        <v>1</v>
      </c>
      <c r="AZ1340" s="24" t="str">
        <f t="shared" si="140"/>
        <v/>
      </c>
      <c r="BA1340" s="24" t="str">
        <f t="shared" si="140"/>
        <v/>
      </c>
      <c r="BB1340" s="24" t="str">
        <f t="shared" si="140"/>
        <v/>
      </c>
      <c r="BC1340" s="24" t="str">
        <f t="shared" si="140"/>
        <v/>
      </c>
      <c r="BD1340" s="24" t="str">
        <f t="shared" si="140"/>
        <v/>
      </c>
      <c r="BE1340" s="24" t="str">
        <f t="shared" si="140"/>
        <v/>
      </c>
      <c r="BF1340" s="24" t="str">
        <f t="shared" si="140"/>
        <v/>
      </c>
      <c r="BG1340" s="24" t="str">
        <f t="shared" si="140"/>
        <v/>
      </c>
      <c r="BH1340" s="24" t="str">
        <f t="shared" si="135"/>
        <v/>
      </c>
      <c r="BI1340" s="24" t="str">
        <f t="shared" si="140"/>
        <v/>
      </c>
      <c r="BJ1340" s="24" t="str">
        <f t="shared" si="137"/>
        <v/>
      </c>
    </row>
    <row r="1341" spans="1:62" ht="15" customHeight="1" x14ac:dyDescent="0.25">
      <c r="A1341" t="str">
        <f>"1386713535"</f>
        <v>1386713535</v>
      </c>
      <c r="B1341" t="str">
        <f>"02840384"</f>
        <v>02840384</v>
      </c>
      <c r="C1341" t="s">
        <v>2093</v>
      </c>
      <c r="D1341" t="s">
        <v>2094</v>
      </c>
      <c r="E1341" t="s">
        <v>2095</v>
      </c>
      <c r="G1341" t="s">
        <v>229</v>
      </c>
      <c r="H1341" t="s">
        <v>230</v>
      </c>
      <c r="J1341" t="s">
        <v>231</v>
      </c>
      <c r="L1341" t="s">
        <v>6868</v>
      </c>
      <c r="M1341" t="s">
        <v>108</v>
      </c>
      <c r="R1341" t="s">
        <v>2096</v>
      </c>
      <c r="W1341" t="s">
        <v>2095</v>
      </c>
      <c r="X1341" t="s">
        <v>2097</v>
      </c>
      <c r="Y1341" t="s">
        <v>927</v>
      </c>
      <c r="Z1341" t="s">
        <v>111</v>
      </c>
      <c r="AA1341" t="str">
        <f>"14905-1629"</f>
        <v>14905-1629</v>
      </c>
      <c r="AB1341" t="s">
        <v>123</v>
      </c>
      <c r="AC1341" t="s">
        <v>113</v>
      </c>
      <c r="AD1341" t="s">
        <v>108</v>
      </c>
      <c r="AE1341" t="s">
        <v>114</v>
      </c>
      <c r="AF1341" t="s">
        <v>149</v>
      </c>
      <c r="AG1341" t="s">
        <v>116</v>
      </c>
      <c r="AK1341" t="str">
        <f t="shared" si="134"/>
        <v/>
      </c>
      <c r="AL1341" t="s">
        <v>2094</v>
      </c>
      <c r="AM1341">
        <v>1</v>
      </c>
      <c r="AN1341">
        <v>1</v>
      </c>
      <c r="AO1341">
        <v>0</v>
      </c>
      <c r="AP1341">
        <v>0</v>
      </c>
      <c r="AQ1341">
        <v>1</v>
      </c>
      <c r="AR1341">
        <v>0</v>
      </c>
      <c r="AS1341">
        <v>0</v>
      </c>
      <c r="AT1341">
        <v>0</v>
      </c>
      <c r="AU1341">
        <v>0</v>
      </c>
      <c r="AV1341">
        <v>0</v>
      </c>
      <c r="AW1341">
        <v>0</v>
      </c>
      <c r="AX1341" s="24">
        <f t="shared" si="139"/>
        <v>1</v>
      </c>
      <c r="AY1341" s="24">
        <f t="shared" si="139"/>
        <v>1</v>
      </c>
      <c r="AZ1341" s="24" t="str">
        <f t="shared" si="140"/>
        <v/>
      </c>
      <c r="BA1341" s="24" t="str">
        <f t="shared" si="140"/>
        <v/>
      </c>
      <c r="BB1341" s="24" t="str">
        <f t="shared" si="140"/>
        <v/>
      </c>
      <c r="BC1341" s="24" t="str">
        <f t="shared" si="140"/>
        <v/>
      </c>
      <c r="BD1341" s="24" t="str">
        <f t="shared" si="140"/>
        <v/>
      </c>
      <c r="BE1341" s="24" t="str">
        <f t="shared" si="140"/>
        <v/>
      </c>
      <c r="BF1341" s="24" t="str">
        <f t="shared" si="140"/>
        <v/>
      </c>
      <c r="BG1341" s="24" t="str">
        <f t="shared" si="140"/>
        <v/>
      </c>
      <c r="BH1341" s="24" t="str">
        <f t="shared" si="135"/>
        <v/>
      </c>
      <c r="BI1341" s="24" t="str">
        <f t="shared" si="140"/>
        <v/>
      </c>
      <c r="BJ1341" s="24" t="str">
        <f t="shared" si="137"/>
        <v/>
      </c>
    </row>
    <row r="1342" spans="1:62" ht="15" customHeight="1" x14ac:dyDescent="0.25">
      <c r="A1342" t="str">
        <f>"1710327796"</f>
        <v>1710327796</v>
      </c>
      <c r="B1342" t="str">
        <f>"04556130"</f>
        <v>04556130</v>
      </c>
      <c r="C1342" t="s">
        <v>6626</v>
      </c>
      <c r="D1342" t="s">
        <v>6627</v>
      </c>
      <c r="E1342" t="s">
        <v>6628</v>
      </c>
      <c r="G1342" t="s">
        <v>6507</v>
      </c>
      <c r="H1342" t="s">
        <v>6508</v>
      </c>
      <c r="J1342" t="s">
        <v>6509</v>
      </c>
      <c r="L1342" t="s">
        <v>120</v>
      </c>
      <c r="M1342" t="s">
        <v>108</v>
      </c>
      <c r="R1342" t="s">
        <v>6628</v>
      </c>
      <c r="W1342" t="s">
        <v>6628</v>
      </c>
      <c r="AB1342" t="s">
        <v>123</v>
      </c>
      <c r="AC1342" t="s">
        <v>113</v>
      </c>
      <c r="AD1342" t="s">
        <v>108</v>
      </c>
      <c r="AE1342" t="s">
        <v>114</v>
      </c>
      <c r="AF1342" t="s">
        <v>149</v>
      </c>
      <c r="AG1342" t="s">
        <v>116</v>
      </c>
      <c r="AK1342" t="str">
        <f t="shared" si="134"/>
        <v>Taufik Mireille</v>
      </c>
      <c r="AL1342" t="s">
        <v>6627</v>
      </c>
      <c r="AM1342" t="s">
        <v>108</v>
      </c>
      <c r="AN1342" t="s">
        <v>108</v>
      </c>
      <c r="AO1342" t="s">
        <v>108</v>
      </c>
      <c r="AP1342" t="s">
        <v>108</v>
      </c>
      <c r="AQ1342" t="s">
        <v>108</v>
      </c>
      <c r="AR1342" t="s">
        <v>108</v>
      </c>
      <c r="AS1342" t="s">
        <v>108</v>
      </c>
      <c r="AT1342" t="s">
        <v>108</v>
      </c>
      <c r="AU1342" t="s">
        <v>108</v>
      </c>
      <c r="AV1342" t="s">
        <v>108</v>
      </c>
      <c r="AW1342" t="s">
        <v>108</v>
      </c>
      <c r="AX1342" s="24">
        <f t="shared" si="139"/>
        <v>1</v>
      </c>
      <c r="AY1342" s="24" t="str">
        <f t="shared" si="139"/>
        <v/>
      </c>
      <c r="AZ1342" s="24" t="str">
        <f t="shared" si="140"/>
        <v/>
      </c>
      <c r="BA1342" s="24" t="str">
        <f t="shared" si="140"/>
        <v/>
      </c>
      <c r="BB1342" s="24" t="str">
        <f t="shared" si="140"/>
        <v/>
      </c>
      <c r="BC1342" s="24" t="str">
        <f t="shared" si="140"/>
        <v/>
      </c>
      <c r="BD1342" s="24" t="str">
        <f t="shared" si="140"/>
        <v/>
      </c>
      <c r="BE1342" s="24" t="str">
        <f t="shared" si="140"/>
        <v/>
      </c>
      <c r="BF1342" s="24" t="str">
        <f t="shared" si="140"/>
        <v/>
      </c>
      <c r="BG1342" s="24" t="str">
        <f t="shared" si="140"/>
        <v/>
      </c>
      <c r="BH1342" s="24" t="str">
        <f t="shared" si="135"/>
        <v/>
      </c>
      <c r="BI1342" s="24">
        <f t="shared" si="140"/>
        <v>1</v>
      </c>
      <c r="BJ1342" s="24" t="str">
        <f t="shared" si="137"/>
        <v/>
      </c>
    </row>
    <row r="1343" spans="1:62" ht="15" customHeight="1" x14ac:dyDescent="0.25">
      <c r="A1343" t="str">
        <f>"1720375637"</f>
        <v>1720375637</v>
      </c>
      <c r="B1343" t="str">
        <f>"03924063"</f>
        <v>03924063</v>
      </c>
      <c r="C1343" t="s">
        <v>4375</v>
      </c>
      <c r="D1343" t="s">
        <v>4376</v>
      </c>
      <c r="E1343" t="s">
        <v>4377</v>
      </c>
      <c r="G1343" t="s">
        <v>786</v>
      </c>
      <c r="H1343" t="s">
        <v>787</v>
      </c>
      <c r="I1343">
        <v>5027</v>
      </c>
      <c r="J1343" t="s">
        <v>788</v>
      </c>
      <c r="L1343" t="s">
        <v>120</v>
      </c>
      <c r="M1343" t="s">
        <v>108</v>
      </c>
      <c r="R1343" t="s">
        <v>4378</v>
      </c>
      <c r="W1343" t="s">
        <v>4377</v>
      </c>
      <c r="X1343" t="s">
        <v>3338</v>
      </c>
      <c r="Y1343" t="s">
        <v>239</v>
      </c>
      <c r="Z1343" t="s">
        <v>111</v>
      </c>
      <c r="AA1343" t="str">
        <f>"13045-1842"</f>
        <v>13045-1842</v>
      </c>
      <c r="AB1343" t="s">
        <v>123</v>
      </c>
      <c r="AC1343" t="s">
        <v>113</v>
      </c>
      <c r="AD1343" t="s">
        <v>108</v>
      </c>
      <c r="AE1343" t="s">
        <v>114</v>
      </c>
      <c r="AF1343" t="s">
        <v>142</v>
      </c>
      <c r="AG1343" t="s">
        <v>116</v>
      </c>
      <c r="AK1343" t="str">
        <f t="shared" si="134"/>
        <v/>
      </c>
      <c r="AL1343" t="s">
        <v>4376</v>
      </c>
      <c r="AM1343">
        <v>1</v>
      </c>
      <c r="AN1343">
        <v>1</v>
      </c>
      <c r="AO1343">
        <v>0</v>
      </c>
      <c r="AP1343">
        <v>0</v>
      </c>
      <c r="AQ1343">
        <v>1</v>
      </c>
      <c r="AR1343">
        <v>1</v>
      </c>
      <c r="AS1343">
        <v>0</v>
      </c>
      <c r="AT1343">
        <v>0</v>
      </c>
      <c r="AU1343">
        <v>0</v>
      </c>
      <c r="AV1343">
        <v>0</v>
      </c>
      <c r="AW1343">
        <v>0</v>
      </c>
      <c r="AX1343" s="24">
        <f t="shared" si="139"/>
        <v>1</v>
      </c>
      <c r="AY1343" s="24" t="str">
        <f t="shared" si="139"/>
        <v/>
      </c>
      <c r="AZ1343" s="24" t="str">
        <f t="shared" si="140"/>
        <v/>
      </c>
      <c r="BA1343" s="24" t="str">
        <f t="shared" si="140"/>
        <v/>
      </c>
      <c r="BB1343" s="24" t="str">
        <f t="shared" si="140"/>
        <v/>
      </c>
      <c r="BC1343" s="24" t="str">
        <f t="shared" si="140"/>
        <v/>
      </c>
      <c r="BD1343" s="24" t="str">
        <f t="shared" si="140"/>
        <v/>
      </c>
      <c r="BE1343" s="24" t="str">
        <f t="shared" si="140"/>
        <v/>
      </c>
      <c r="BF1343" s="24" t="str">
        <f t="shared" si="140"/>
        <v/>
      </c>
      <c r="BG1343" s="24" t="str">
        <f t="shared" si="140"/>
        <v/>
      </c>
      <c r="BH1343" s="24" t="str">
        <f t="shared" si="135"/>
        <v/>
      </c>
      <c r="BI1343" s="24">
        <f t="shared" si="140"/>
        <v>1</v>
      </c>
      <c r="BJ1343" s="24" t="str">
        <f t="shared" si="137"/>
        <v/>
      </c>
    </row>
    <row r="1344" spans="1:62" ht="15" customHeight="1" x14ac:dyDescent="0.25">
      <c r="A1344" t="str">
        <f>"1437308145"</f>
        <v>1437308145</v>
      </c>
      <c r="B1344" t="str">
        <f>"03588121"</f>
        <v>03588121</v>
      </c>
      <c r="C1344" t="s">
        <v>1234</v>
      </c>
      <c r="D1344" t="s">
        <v>1235</v>
      </c>
      <c r="E1344" t="s">
        <v>1236</v>
      </c>
      <c r="L1344" t="s">
        <v>120</v>
      </c>
      <c r="M1344" t="s">
        <v>108</v>
      </c>
      <c r="R1344" t="s">
        <v>1234</v>
      </c>
      <c r="W1344" t="s">
        <v>1236</v>
      </c>
      <c r="X1344" t="s">
        <v>1237</v>
      </c>
      <c r="Y1344" t="s">
        <v>129</v>
      </c>
      <c r="Z1344" t="s">
        <v>111</v>
      </c>
      <c r="AA1344" t="str">
        <f>"13790-2102"</f>
        <v>13790-2102</v>
      </c>
      <c r="AB1344" t="s">
        <v>123</v>
      </c>
      <c r="AC1344" t="s">
        <v>113</v>
      </c>
      <c r="AD1344" t="s">
        <v>108</v>
      </c>
      <c r="AE1344" t="s">
        <v>114</v>
      </c>
      <c r="AF1344" t="s">
        <v>115</v>
      </c>
      <c r="AG1344" t="s">
        <v>116</v>
      </c>
      <c r="AK1344" t="str">
        <f t="shared" si="134"/>
        <v/>
      </c>
      <c r="AL1344" t="s">
        <v>1235</v>
      </c>
      <c r="AM1344">
        <v>1</v>
      </c>
      <c r="AN1344">
        <v>1</v>
      </c>
      <c r="AO1344">
        <v>0</v>
      </c>
      <c r="AP1344">
        <v>1</v>
      </c>
      <c r="AQ1344">
        <v>1</v>
      </c>
      <c r="AR1344">
        <v>0</v>
      </c>
      <c r="AS1344">
        <v>0</v>
      </c>
      <c r="AT1344">
        <v>0</v>
      </c>
      <c r="AU1344">
        <v>0</v>
      </c>
      <c r="AV1344">
        <v>0</v>
      </c>
      <c r="AW1344">
        <v>0</v>
      </c>
      <c r="AX1344" s="24">
        <f t="shared" si="139"/>
        <v>1</v>
      </c>
      <c r="AY1344" s="24" t="str">
        <f t="shared" si="139"/>
        <v/>
      </c>
      <c r="AZ1344" s="24" t="str">
        <f t="shared" si="140"/>
        <v/>
      </c>
      <c r="BA1344" s="24" t="str">
        <f t="shared" si="140"/>
        <v/>
      </c>
      <c r="BB1344" s="24" t="str">
        <f t="shared" si="140"/>
        <v/>
      </c>
      <c r="BC1344" s="24" t="str">
        <f t="shared" si="140"/>
        <v/>
      </c>
      <c r="BD1344" s="24" t="str">
        <f t="shared" si="140"/>
        <v/>
      </c>
      <c r="BE1344" s="24" t="str">
        <f t="shared" si="140"/>
        <v/>
      </c>
      <c r="BF1344" s="24" t="str">
        <f t="shared" si="140"/>
        <v/>
      </c>
      <c r="BG1344" s="24" t="str">
        <f t="shared" si="140"/>
        <v/>
      </c>
      <c r="BH1344" s="24" t="str">
        <f t="shared" si="135"/>
        <v/>
      </c>
      <c r="BI1344" s="24">
        <f t="shared" si="140"/>
        <v>1</v>
      </c>
      <c r="BJ1344" s="24" t="str">
        <f t="shared" si="137"/>
        <v/>
      </c>
    </row>
    <row r="1345" spans="1:62" ht="15" customHeight="1" x14ac:dyDescent="0.25">
      <c r="A1345" t="str">
        <f>"1457790370"</f>
        <v>1457790370</v>
      </c>
      <c r="B1345" t="str">
        <f>"03746614"</f>
        <v>03746614</v>
      </c>
      <c r="C1345" t="s">
        <v>6255</v>
      </c>
      <c r="D1345" t="s">
        <v>6256</v>
      </c>
      <c r="E1345" t="s">
        <v>6257</v>
      </c>
      <c r="G1345" t="s">
        <v>815</v>
      </c>
      <c r="H1345" t="s">
        <v>816</v>
      </c>
      <c r="J1345" t="s">
        <v>817</v>
      </c>
      <c r="L1345" t="s">
        <v>138</v>
      </c>
      <c r="M1345" t="s">
        <v>108</v>
      </c>
      <c r="R1345" t="s">
        <v>6258</v>
      </c>
      <c r="W1345" t="s">
        <v>6257</v>
      </c>
      <c r="X1345" t="s">
        <v>204</v>
      </c>
      <c r="Y1345" t="s">
        <v>110</v>
      </c>
      <c r="Z1345" t="s">
        <v>111</v>
      </c>
      <c r="AA1345" t="str">
        <f>"13905-4246"</f>
        <v>13905-4246</v>
      </c>
      <c r="AB1345" t="s">
        <v>123</v>
      </c>
      <c r="AC1345" t="s">
        <v>113</v>
      </c>
      <c r="AD1345" t="s">
        <v>108</v>
      </c>
      <c r="AE1345" t="s">
        <v>114</v>
      </c>
      <c r="AF1345" t="s">
        <v>115</v>
      </c>
      <c r="AG1345" t="s">
        <v>116</v>
      </c>
      <c r="AK1345" t="str">
        <f t="shared" si="134"/>
        <v>Teresa A. Antalek, FNP</v>
      </c>
      <c r="AL1345" t="s">
        <v>6256</v>
      </c>
      <c r="AM1345" t="s">
        <v>108</v>
      </c>
      <c r="AN1345" t="s">
        <v>108</v>
      </c>
      <c r="AO1345" t="s">
        <v>108</v>
      </c>
      <c r="AP1345" t="s">
        <v>108</v>
      </c>
      <c r="AQ1345" t="s">
        <v>108</v>
      </c>
      <c r="AR1345" t="s">
        <v>108</v>
      </c>
      <c r="AS1345" t="s">
        <v>108</v>
      </c>
      <c r="AT1345" t="s">
        <v>108</v>
      </c>
      <c r="AU1345" t="s">
        <v>108</v>
      </c>
      <c r="AV1345" t="s">
        <v>108</v>
      </c>
      <c r="AW1345" t="s">
        <v>108</v>
      </c>
      <c r="AX1345" s="24" t="str">
        <f t="shared" si="139"/>
        <v/>
      </c>
      <c r="AY1345" s="24">
        <f t="shared" si="139"/>
        <v>1</v>
      </c>
      <c r="AZ1345" s="24" t="str">
        <f t="shared" si="140"/>
        <v/>
      </c>
      <c r="BA1345" s="24" t="str">
        <f t="shared" si="140"/>
        <v/>
      </c>
      <c r="BB1345" s="24" t="str">
        <f t="shared" si="140"/>
        <v/>
      </c>
      <c r="BC1345" s="24" t="str">
        <f t="shared" si="140"/>
        <v/>
      </c>
      <c r="BD1345" s="24" t="str">
        <f t="shared" si="140"/>
        <v/>
      </c>
      <c r="BE1345" s="24" t="str">
        <f t="shared" si="140"/>
        <v/>
      </c>
      <c r="BF1345" s="24" t="str">
        <f t="shared" si="140"/>
        <v/>
      </c>
      <c r="BG1345" s="24" t="str">
        <f t="shared" si="140"/>
        <v/>
      </c>
      <c r="BH1345" s="24" t="str">
        <f t="shared" si="135"/>
        <v/>
      </c>
      <c r="BI1345" s="24">
        <f t="shared" si="140"/>
        <v>1</v>
      </c>
      <c r="BJ1345" s="24" t="str">
        <f t="shared" si="137"/>
        <v/>
      </c>
    </row>
    <row r="1346" spans="1:62" ht="15" customHeight="1" x14ac:dyDescent="0.25">
      <c r="A1346" t="str">
        <f>"1396738472"</f>
        <v>1396738472</v>
      </c>
      <c r="B1346" t="str">
        <f>"01642626"</f>
        <v>01642626</v>
      </c>
      <c r="C1346" t="s">
        <v>5435</v>
      </c>
      <c r="D1346" t="s">
        <v>5436</v>
      </c>
      <c r="E1346" t="s">
        <v>5437</v>
      </c>
      <c r="G1346" t="s">
        <v>5435</v>
      </c>
      <c r="H1346" t="s">
        <v>403</v>
      </c>
      <c r="J1346" t="s">
        <v>5438</v>
      </c>
      <c r="L1346" t="s">
        <v>138</v>
      </c>
      <c r="M1346" t="s">
        <v>108</v>
      </c>
      <c r="R1346" t="s">
        <v>5439</v>
      </c>
      <c r="W1346" t="s">
        <v>5437</v>
      </c>
      <c r="X1346" t="s">
        <v>5440</v>
      </c>
      <c r="Y1346" t="s">
        <v>110</v>
      </c>
      <c r="Z1346" t="s">
        <v>111</v>
      </c>
      <c r="AA1346" t="str">
        <f>"13903"</f>
        <v>13903</v>
      </c>
      <c r="AB1346" t="s">
        <v>123</v>
      </c>
      <c r="AC1346" t="s">
        <v>113</v>
      </c>
      <c r="AD1346" t="s">
        <v>108</v>
      </c>
      <c r="AE1346" t="s">
        <v>114</v>
      </c>
      <c r="AF1346" t="s">
        <v>115</v>
      </c>
      <c r="AG1346" t="s">
        <v>116</v>
      </c>
      <c r="AK1346" t="str">
        <f t="shared" ref="AK1346:AK1409" si="141">IF(AM1346="No",C1346,"")</f>
        <v/>
      </c>
      <c r="AL1346" t="s">
        <v>5436</v>
      </c>
      <c r="AM1346">
        <v>1</v>
      </c>
      <c r="AN1346">
        <v>1</v>
      </c>
      <c r="AO1346">
        <v>0</v>
      </c>
      <c r="AP1346">
        <v>1</v>
      </c>
      <c r="AQ1346">
        <v>1</v>
      </c>
      <c r="AR1346">
        <v>0</v>
      </c>
      <c r="AS1346">
        <v>0</v>
      </c>
      <c r="AT1346">
        <v>0</v>
      </c>
      <c r="AU1346">
        <v>0</v>
      </c>
      <c r="AV1346">
        <v>0</v>
      </c>
      <c r="AW1346">
        <v>0</v>
      </c>
      <c r="AX1346" s="24" t="str">
        <f t="shared" si="139"/>
        <v/>
      </c>
      <c r="AY1346" s="24">
        <f t="shared" si="139"/>
        <v>1</v>
      </c>
      <c r="AZ1346" s="24" t="str">
        <f t="shared" si="140"/>
        <v/>
      </c>
      <c r="BA1346" s="24" t="str">
        <f t="shared" si="140"/>
        <v/>
      </c>
      <c r="BB1346" s="24" t="str">
        <f t="shared" si="140"/>
        <v/>
      </c>
      <c r="BC1346" s="24" t="str">
        <f t="shared" si="140"/>
        <v/>
      </c>
      <c r="BD1346" s="24" t="str">
        <f t="shared" si="140"/>
        <v/>
      </c>
      <c r="BE1346" s="24" t="str">
        <f t="shared" si="140"/>
        <v/>
      </c>
      <c r="BF1346" s="24" t="str">
        <f t="shared" si="140"/>
        <v/>
      </c>
      <c r="BG1346" s="24" t="str">
        <f t="shared" si="140"/>
        <v/>
      </c>
      <c r="BH1346" s="24" t="str">
        <f t="shared" si="135"/>
        <v/>
      </c>
      <c r="BI1346" s="24">
        <f t="shared" si="140"/>
        <v>1</v>
      </c>
      <c r="BJ1346" s="24" t="str">
        <f t="shared" si="137"/>
        <v/>
      </c>
    </row>
    <row r="1347" spans="1:62" ht="15" customHeight="1" x14ac:dyDescent="0.25">
      <c r="A1347" t="str">
        <f>"1689733826"</f>
        <v>1689733826</v>
      </c>
      <c r="B1347" t="str">
        <f>"02962150"</f>
        <v>02962150</v>
      </c>
      <c r="C1347" t="s">
        <v>5447</v>
      </c>
      <c r="D1347" t="s">
        <v>5448</v>
      </c>
      <c r="E1347" t="s">
        <v>5449</v>
      </c>
      <c r="G1347" t="s">
        <v>5447</v>
      </c>
      <c r="H1347" t="s">
        <v>403</v>
      </c>
      <c r="J1347" t="s">
        <v>5450</v>
      </c>
      <c r="L1347" t="s">
        <v>247</v>
      </c>
      <c r="M1347" t="s">
        <v>108</v>
      </c>
      <c r="R1347" t="s">
        <v>5451</v>
      </c>
      <c r="W1347" t="s">
        <v>5452</v>
      </c>
      <c r="X1347" t="s">
        <v>655</v>
      </c>
      <c r="Y1347" t="s">
        <v>239</v>
      </c>
      <c r="Z1347" t="s">
        <v>111</v>
      </c>
      <c r="AA1347" t="str">
        <f>"13045-1651"</f>
        <v>13045-1651</v>
      </c>
      <c r="AB1347" t="s">
        <v>123</v>
      </c>
      <c r="AC1347" t="s">
        <v>113</v>
      </c>
      <c r="AD1347" t="s">
        <v>108</v>
      </c>
      <c r="AE1347" t="s">
        <v>114</v>
      </c>
      <c r="AF1347" t="s">
        <v>142</v>
      </c>
      <c r="AG1347" t="s">
        <v>116</v>
      </c>
      <c r="AK1347" t="str">
        <f t="shared" si="141"/>
        <v/>
      </c>
      <c r="AL1347" t="s">
        <v>5448</v>
      </c>
      <c r="AM1347">
        <v>1</v>
      </c>
      <c r="AN1347">
        <v>1</v>
      </c>
      <c r="AO1347">
        <v>0</v>
      </c>
      <c r="AP1347">
        <v>1</v>
      </c>
      <c r="AQ1347">
        <v>1</v>
      </c>
      <c r="AR1347">
        <v>0</v>
      </c>
      <c r="AS1347">
        <v>0</v>
      </c>
      <c r="AT1347">
        <v>0</v>
      </c>
      <c r="AU1347">
        <v>0</v>
      </c>
      <c r="AV1347">
        <v>0</v>
      </c>
      <c r="AW1347">
        <v>0</v>
      </c>
      <c r="AX1347" s="24" t="str">
        <f t="shared" si="139"/>
        <v/>
      </c>
      <c r="AY1347" s="24">
        <f t="shared" si="139"/>
        <v>1</v>
      </c>
      <c r="AZ1347" s="24" t="str">
        <f t="shared" si="140"/>
        <v/>
      </c>
      <c r="BA1347" s="24" t="str">
        <f t="shared" si="140"/>
        <v/>
      </c>
      <c r="BB1347" s="24" t="str">
        <f t="shared" si="140"/>
        <v/>
      </c>
      <c r="BC1347" s="24" t="str">
        <f t="shared" si="140"/>
        <v/>
      </c>
      <c r="BD1347" s="24" t="str">
        <f t="shared" si="140"/>
        <v/>
      </c>
      <c r="BE1347" s="24" t="str">
        <f t="shared" si="140"/>
        <v/>
      </c>
      <c r="BF1347" s="24" t="str">
        <f t="shared" si="140"/>
        <v/>
      </c>
      <c r="BG1347" s="24" t="str">
        <f t="shared" si="140"/>
        <v/>
      </c>
      <c r="BH1347" s="24" t="str">
        <f t="shared" ref="BH1347:BH1410" si="142">IF(ISERROR(FIND("CBO",$L1347,1)),"",1)</f>
        <v/>
      </c>
      <c r="BI1347" s="24" t="str">
        <f t="shared" si="140"/>
        <v/>
      </c>
      <c r="BJ1347" s="24" t="str">
        <f t="shared" si="137"/>
        <v/>
      </c>
    </row>
    <row r="1348" spans="1:62" ht="15" customHeight="1" x14ac:dyDescent="0.25">
      <c r="A1348" t="str">
        <f>"1598730376"</f>
        <v>1598730376</v>
      </c>
      <c r="B1348" t="str">
        <f>"00702667"</f>
        <v>00702667</v>
      </c>
      <c r="C1348" t="s">
        <v>736</v>
      </c>
      <c r="D1348" t="s">
        <v>737</v>
      </c>
      <c r="E1348" t="s">
        <v>738</v>
      </c>
      <c r="G1348" t="s">
        <v>699</v>
      </c>
      <c r="H1348" t="s">
        <v>700</v>
      </c>
      <c r="J1348" t="s">
        <v>701</v>
      </c>
      <c r="L1348" t="s">
        <v>120</v>
      </c>
      <c r="M1348" t="s">
        <v>108</v>
      </c>
      <c r="R1348" t="s">
        <v>739</v>
      </c>
      <c r="W1348" t="s">
        <v>738</v>
      </c>
      <c r="X1348" t="s">
        <v>740</v>
      </c>
      <c r="Y1348" t="s">
        <v>181</v>
      </c>
      <c r="Z1348" t="s">
        <v>182</v>
      </c>
      <c r="AA1348" t="str">
        <f>"18840"</f>
        <v>18840</v>
      </c>
      <c r="AB1348" t="s">
        <v>123</v>
      </c>
      <c r="AC1348" t="s">
        <v>113</v>
      </c>
      <c r="AD1348" t="s">
        <v>108</v>
      </c>
      <c r="AE1348" t="s">
        <v>114</v>
      </c>
      <c r="AF1348" t="s">
        <v>115</v>
      </c>
      <c r="AG1348" t="s">
        <v>116</v>
      </c>
      <c r="AK1348" t="str">
        <f t="shared" si="141"/>
        <v/>
      </c>
      <c r="AL1348" t="s">
        <v>737</v>
      </c>
      <c r="AM1348">
        <v>1</v>
      </c>
      <c r="AN1348">
        <v>1</v>
      </c>
      <c r="AO1348">
        <v>0</v>
      </c>
      <c r="AP1348">
        <v>0</v>
      </c>
      <c r="AQ1348">
        <v>0</v>
      </c>
      <c r="AR1348">
        <v>0</v>
      </c>
      <c r="AS1348">
        <v>0</v>
      </c>
      <c r="AT1348">
        <v>1</v>
      </c>
      <c r="AU1348">
        <v>1</v>
      </c>
      <c r="AV1348">
        <v>1</v>
      </c>
      <c r="AW1348">
        <v>0</v>
      </c>
      <c r="AX1348" s="24">
        <f t="shared" si="139"/>
        <v>1</v>
      </c>
      <c r="AY1348" s="24" t="str">
        <f t="shared" si="139"/>
        <v/>
      </c>
      <c r="AZ1348" s="24" t="str">
        <f t="shared" si="140"/>
        <v/>
      </c>
      <c r="BA1348" s="24" t="str">
        <f t="shared" si="140"/>
        <v/>
      </c>
      <c r="BB1348" s="24" t="str">
        <f t="shared" si="140"/>
        <v/>
      </c>
      <c r="BC1348" s="24" t="str">
        <f t="shared" si="140"/>
        <v/>
      </c>
      <c r="BD1348" s="24" t="str">
        <f t="shared" si="140"/>
        <v/>
      </c>
      <c r="BE1348" s="24" t="str">
        <f t="shared" si="140"/>
        <v/>
      </c>
      <c r="BF1348" s="24" t="str">
        <f t="shared" si="140"/>
        <v/>
      </c>
      <c r="BG1348" s="24" t="str">
        <f t="shared" si="140"/>
        <v/>
      </c>
      <c r="BH1348" s="24" t="str">
        <f t="shared" si="142"/>
        <v/>
      </c>
      <c r="BI1348" s="24">
        <f t="shared" si="140"/>
        <v>1</v>
      </c>
      <c r="BJ1348" s="24" t="str">
        <f t="shared" si="137"/>
        <v/>
      </c>
    </row>
    <row r="1349" spans="1:62" ht="15" customHeight="1" x14ac:dyDescent="0.25">
      <c r="A1349" t="str">
        <f>"1114172020"</f>
        <v>1114172020</v>
      </c>
      <c r="B1349" t="str">
        <f>"03081490"</f>
        <v>03081490</v>
      </c>
      <c r="C1349" t="s">
        <v>1238</v>
      </c>
      <c r="D1349" t="s">
        <v>1239</v>
      </c>
      <c r="E1349" t="s">
        <v>1240</v>
      </c>
      <c r="L1349" t="s">
        <v>138</v>
      </c>
      <c r="M1349" t="s">
        <v>108</v>
      </c>
      <c r="R1349" t="s">
        <v>1238</v>
      </c>
      <c r="W1349" t="s">
        <v>1241</v>
      </c>
      <c r="X1349" t="s">
        <v>1242</v>
      </c>
      <c r="Y1349" t="s">
        <v>181</v>
      </c>
      <c r="Z1349" t="s">
        <v>182</v>
      </c>
      <c r="AA1349" t="str">
        <f>"18840-1832"</f>
        <v>18840-1832</v>
      </c>
      <c r="AB1349" t="s">
        <v>123</v>
      </c>
      <c r="AC1349" t="s">
        <v>113</v>
      </c>
      <c r="AD1349" t="s">
        <v>108</v>
      </c>
      <c r="AE1349" t="s">
        <v>114</v>
      </c>
      <c r="AF1349" t="s">
        <v>115</v>
      </c>
      <c r="AG1349" t="s">
        <v>116</v>
      </c>
      <c r="AK1349" t="str">
        <f t="shared" si="141"/>
        <v/>
      </c>
      <c r="AL1349" t="s">
        <v>1239</v>
      </c>
      <c r="AM1349">
        <v>0</v>
      </c>
      <c r="AN1349">
        <v>0</v>
      </c>
      <c r="AO1349">
        <v>0</v>
      </c>
      <c r="AP1349">
        <v>0</v>
      </c>
      <c r="AQ1349">
        <v>0</v>
      </c>
      <c r="AR1349">
        <v>0</v>
      </c>
      <c r="AS1349">
        <v>0</v>
      </c>
      <c r="AT1349">
        <v>0</v>
      </c>
      <c r="AU1349">
        <v>0</v>
      </c>
      <c r="AV1349">
        <v>0</v>
      </c>
      <c r="AW1349">
        <v>0</v>
      </c>
      <c r="AX1349" s="24" t="str">
        <f t="shared" si="139"/>
        <v/>
      </c>
      <c r="AY1349" s="24">
        <f t="shared" si="139"/>
        <v>1</v>
      </c>
      <c r="AZ1349" s="24" t="str">
        <f t="shared" si="140"/>
        <v/>
      </c>
      <c r="BA1349" s="24" t="str">
        <f t="shared" si="140"/>
        <v/>
      </c>
      <c r="BB1349" s="24" t="str">
        <f t="shared" si="140"/>
        <v/>
      </c>
      <c r="BC1349" s="24" t="str">
        <f t="shared" si="140"/>
        <v/>
      </c>
      <c r="BD1349" s="24" t="str">
        <f t="shared" si="140"/>
        <v/>
      </c>
      <c r="BE1349" s="24" t="str">
        <f t="shared" si="140"/>
        <v/>
      </c>
      <c r="BF1349" s="24" t="str">
        <f t="shared" si="140"/>
        <v/>
      </c>
      <c r="BG1349" s="24" t="str">
        <f t="shared" si="140"/>
        <v/>
      </c>
      <c r="BH1349" s="24" t="str">
        <f t="shared" si="142"/>
        <v/>
      </c>
      <c r="BI1349" s="24">
        <f t="shared" si="140"/>
        <v>1</v>
      </c>
      <c r="BJ1349" s="24" t="str">
        <f t="shared" si="137"/>
        <v/>
      </c>
    </row>
    <row r="1350" spans="1:62" ht="15" customHeight="1" x14ac:dyDescent="0.25">
      <c r="A1350" t="str">
        <f>"1689807216"</f>
        <v>1689807216</v>
      </c>
      <c r="B1350" t="str">
        <f>"03368536"</f>
        <v>03368536</v>
      </c>
      <c r="C1350" t="s">
        <v>2721</v>
      </c>
      <c r="D1350" t="s">
        <v>2722</v>
      </c>
      <c r="E1350" t="s">
        <v>2723</v>
      </c>
      <c r="G1350" t="s">
        <v>177</v>
      </c>
      <c r="H1350" t="s">
        <v>178</v>
      </c>
      <c r="J1350" t="s">
        <v>179</v>
      </c>
      <c r="L1350" t="s">
        <v>138</v>
      </c>
      <c r="M1350" t="s">
        <v>108</v>
      </c>
      <c r="R1350" t="s">
        <v>2721</v>
      </c>
      <c r="W1350" t="s">
        <v>2723</v>
      </c>
      <c r="X1350" t="s">
        <v>196</v>
      </c>
      <c r="Y1350" t="s">
        <v>181</v>
      </c>
      <c r="Z1350" t="s">
        <v>182</v>
      </c>
      <c r="AA1350" t="str">
        <f>"18840-1625"</f>
        <v>18840-1625</v>
      </c>
      <c r="AB1350" t="s">
        <v>123</v>
      </c>
      <c r="AC1350" t="s">
        <v>113</v>
      </c>
      <c r="AD1350" t="s">
        <v>108</v>
      </c>
      <c r="AE1350" t="s">
        <v>114</v>
      </c>
      <c r="AF1350" t="s">
        <v>115</v>
      </c>
      <c r="AG1350" t="s">
        <v>116</v>
      </c>
      <c r="AK1350" t="str">
        <f t="shared" si="141"/>
        <v/>
      </c>
      <c r="AL1350" t="s">
        <v>2722</v>
      </c>
      <c r="AM1350">
        <v>0</v>
      </c>
      <c r="AN1350">
        <v>0</v>
      </c>
      <c r="AO1350">
        <v>0</v>
      </c>
      <c r="AP1350">
        <v>0</v>
      </c>
      <c r="AQ1350">
        <v>0</v>
      </c>
      <c r="AR1350">
        <v>0</v>
      </c>
      <c r="AS1350">
        <v>0</v>
      </c>
      <c r="AT1350">
        <v>0</v>
      </c>
      <c r="AU1350">
        <v>0</v>
      </c>
      <c r="AV1350">
        <v>0</v>
      </c>
      <c r="AW1350">
        <v>0</v>
      </c>
      <c r="AX1350" s="24" t="str">
        <f t="shared" si="139"/>
        <v/>
      </c>
      <c r="AY1350" s="24">
        <f t="shared" si="139"/>
        <v>1</v>
      </c>
      <c r="AZ1350" s="24" t="str">
        <f t="shared" si="140"/>
        <v/>
      </c>
      <c r="BA1350" s="24" t="str">
        <f t="shared" si="140"/>
        <v/>
      </c>
      <c r="BB1350" s="24" t="str">
        <f t="shared" si="140"/>
        <v/>
      </c>
      <c r="BC1350" s="24" t="str">
        <f t="shared" si="140"/>
        <v/>
      </c>
      <c r="BD1350" s="24" t="str">
        <f t="shared" si="140"/>
        <v/>
      </c>
      <c r="BE1350" s="24" t="str">
        <f t="shared" si="140"/>
        <v/>
      </c>
      <c r="BF1350" s="24" t="str">
        <f t="shared" si="140"/>
        <v/>
      </c>
      <c r="BG1350" s="24" t="str">
        <f t="shared" si="140"/>
        <v/>
      </c>
      <c r="BH1350" s="24" t="str">
        <f t="shared" si="142"/>
        <v/>
      </c>
      <c r="BI1350" s="24">
        <f t="shared" si="140"/>
        <v>1</v>
      </c>
      <c r="BJ1350" s="24" t="str">
        <f t="shared" si="137"/>
        <v/>
      </c>
    </row>
    <row r="1351" spans="1:62" ht="15" customHeight="1" x14ac:dyDescent="0.25">
      <c r="A1351" t="str">
        <f>"1295817583"</f>
        <v>1295817583</v>
      </c>
      <c r="B1351" t="str">
        <f>"00635112"</f>
        <v>00635112</v>
      </c>
      <c r="C1351" t="s">
        <v>4848</v>
      </c>
      <c r="D1351" t="s">
        <v>4849</v>
      </c>
      <c r="E1351" t="s">
        <v>4850</v>
      </c>
      <c r="G1351" t="s">
        <v>4851</v>
      </c>
      <c r="H1351" t="s">
        <v>4852</v>
      </c>
      <c r="I1351">
        <v>124</v>
      </c>
      <c r="J1351" t="s">
        <v>4853</v>
      </c>
      <c r="L1351" t="s">
        <v>616</v>
      </c>
      <c r="M1351" t="s">
        <v>139</v>
      </c>
      <c r="R1351" t="s">
        <v>4854</v>
      </c>
      <c r="W1351" t="s">
        <v>4850</v>
      </c>
      <c r="X1351" t="s">
        <v>4855</v>
      </c>
      <c r="Y1351" t="s">
        <v>110</v>
      </c>
      <c r="Z1351" t="s">
        <v>111</v>
      </c>
      <c r="AA1351" t="str">
        <f>"13901-2332"</f>
        <v>13901-2332</v>
      </c>
      <c r="AB1351" t="s">
        <v>282</v>
      </c>
      <c r="AC1351" t="s">
        <v>113</v>
      </c>
      <c r="AD1351" t="s">
        <v>108</v>
      </c>
      <c r="AE1351" t="s">
        <v>114</v>
      </c>
      <c r="AF1351" t="s">
        <v>115</v>
      </c>
      <c r="AG1351" t="s">
        <v>116</v>
      </c>
      <c r="AK1351" t="str">
        <f t="shared" si="141"/>
        <v/>
      </c>
      <c r="AL1351" t="s">
        <v>4849</v>
      </c>
      <c r="AM1351">
        <v>0</v>
      </c>
      <c r="AN1351">
        <v>0</v>
      </c>
      <c r="AO1351">
        <v>0</v>
      </c>
      <c r="AP1351">
        <v>0</v>
      </c>
      <c r="AQ1351">
        <v>0</v>
      </c>
      <c r="AR1351">
        <v>0</v>
      </c>
      <c r="AS1351">
        <v>0</v>
      </c>
      <c r="AT1351">
        <v>0</v>
      </c>
      <c r="AU1351">
        <v>0</v>
      </c>
      <c r="AV1351">
        <v>0</v>
      </c>
      <c r="AW1351">
        <v>0</v>
      </c>
      <c r="AX1351" s="24" t="str">
        <f t="shared" si="139"/>
        <v/>
      </c>
      <c r="AY1351" s="24" t="str">
        <f t="shared" si="139"/>
        <v/>
      </c>
      <c r="AZ1351" s="24" t="str">
        <f t="shared" si="140"/>
        <v/>
      </c>
      <c r="BA1351" s="24" t="str">
        <f t="shared" si="140"/>
        <v/>
      </c>
      <c r="BB1351" s="24" t="str">
        <f t="shared" si="140"/>
        <v/>
      </c>
      <c r="BC1351" s="24">
        <f t="shared" si="140"/>
        <v>1</v>
      </c>
      <c r="BD1351" s="24">
        <f t="shared" si="140"/>
        <v>1</v>
      </c>
      <c r="BE1351" s="24" t="str">
        <f t="shared" si="140"/>
        <v/>
      </c>
      <c r="BF1351" s="24" t="str">
        <f t="shared" si="140"/>
        <v/>
      </c>
      <c r="BG1351" s="24" t="str">
        <f t="shared" si="140"/>
        <v/>
      </c>
      <c r="BH1351" s="24" t="str">
        <f t="shared" si="142"/>
        <v/>
      </c>
      <c r="BI1351" s="24">
        <f t="shared" si="140"/>
        <v>1</v>
      </c>
      <c r="BJ1351" s="24" t="str">
        <f t="shared" si="137"/>
        <v/>
      </c>
    </row>
    <row r="1352" spans="1:62" ht="15" customHeight="1" x14ac:dyDescent="0.25">
      <c r="A1352" t="str">
        <f>"1669613840"</f>
        <v>1669613840</v>
      </c>
      <c r="B1352" t="str">
        <f>"03569739"</f>
        <v>03569739</v>
      </c>
      <c r="C1352" t="s">
        <v>2136</v>
      </c>
      <c r="D1352" t="s">
        <v>2137</v>
      </c>
      <c r="E1352" t="s">
        <v>2138</v>
      </c>
      <c r="F1352">
        <v>160976343</v>
      </c>
      <c r="G1352" t="s">
        <v>2105</v>
      </c>
      <c r="H1352" t="s">
        <v>2106</v>
      </c>
      <c r="L1352" t="s">
        <v>133</v>
      </c>
      <c r="M1352" t="s">
        <v>139</v>
      </c>
      <c r="R1352" t="s">
        <v>2136</v>
      </c>
      <c r="W1352" t="s">
        <v>2138</v>
      </c>
      <c r="X1352" t="s">
        <v>2139</v>
      </c>
      <c r="Y1352" t="s">
        <v>122</v>
      </c>
      <c r="Z1352" t="s">
        <v>111</v>
      </c>
      <c r="AA1352" t="str">
        <f>"13815-1654"</f>
        <v>13815-1654</v>
      </c>
      <c r="AB1352" t="s">
        <v>385</v>
      </c>
      <c r="AC1352" t="s">
        <v>113</v>
      </c>
      <c r="AD1352" t="s">
        <v>108</v>
      </c>
      <c r="AE1352" t="s">
        <v>114</v>
      </c>
      <c r="AF1352" t="s">
        <v>124</v>
      </c>
      <c r="AG1352" t="s">
        <v>116</v>
      </c>
      <c r="AK1352" t="str">
        <f t="shared" si="141"/>
        <v>THE ARC OF DELAWARE COUNTY</v>
      </c>
      <c r="AL1352" t="s">
        <v>2137</v>
      </c>
      <c r="AM1352" t="s">
        <v>108</v>
      </c>
      <c r="AN1352" t="s">
        <v>108</v>
      </c>
      <c r="AO1352" t="s">
        <v>108</v>
      </c>
      <c r="AP1352" t="s">
        <v>108</v>
      </c>
      <c r="AQ1352" t="s">
        <v>108</v>
      </c>
      <c r="AR1352" t="s">
        <v>108</v>
      </c>
      <c r="AS1352" t="s">
        <v>108</v>
      </c>
      <c r="AT1352" t="s">
        <v>108</v>
      </c>
      <c r="AU1352" t="s">
        <v>108</v>
      </c>
      <c r="AV1352" t="s">
        <v>108</v>
      </c>
      <c r="AW1352" t="s">
        <v>108</v>
      </c>
      <c r="AX1352" s="24" t="str">
        <f t="shared" si="139"/>
        <v/>
      </c>
      <c r="AY1352" s="24" t="str">
        <f t="shared" si="139"/>
        <v/>
      </c>
      <c r="AZ1352" s="24" t="str">
        <f t="shared" si="140"/>
        <v/>
      </c>
      <c r="BA1352" s="24" t="str">
        <f t="shared" si="140"/>
        <v/>
      </c>
      <c r="BB1352" s="24" t="str">
        <f t="shared" si="140"/>
        <v/>
      </c>
      <c r="BC1352" s="24" t="str">
        <f t="shared" si="140"/>
        <v/>
      </c>
      <c r="BD1352" s="24" t="str">
        <f t="shared" si="140"/>
        <v/>
      </c>
      <c r="BE1352" s="24" t="str">
        <f t="shared" si="140"/>
        <v/>
      </c>
      <c r="BF1352" s="24" t="str">
        <f t="shared" si="140"/>
        <v/>
      </c>
      <c r="BG1352" s="24" t="str">
        <f t="shared" si="140"/>
        <v/>
      </c>
      <c r="BH1352" s="24" t="str">
        <f t="shared" si="142"/>
        <v/>
      </c>
      <c r="BI1352" s="24" t="str">
        <f t="shared" si="140"/>
        <v/>
      </c>
      <c r="BJ1352" s="24">
        <f t="shared" si="137"/>
        <v>1</v>
      </c>
    </row>
    <row r="1353" spans="1:62" ht="15" customHeight="1" x14ac:dyDescent="0.25">
      <c r="A1353" t="str">
        <f>"1972552776"</f>
        <v>1972552776</v>
      </c>
      <c r="C1353" t="s">
        <v>5691</v>
      </c>
      <c r="D1353" t="s">
        <v>1421</v>
      </c>
      <c r="G1353" t="s">
        <v>613</v>
      </c>
      <c r="H1353" t="s">
        <v>1417</v>
      </c>
      <c r="I1353">
        <v>243</v>
      </c>
      <c r="J1353" t="s">
        <v>7177</v>
      </c>
      <c r="K1353" t="s">
        <v>68</v>
      </c>
      <c r="L1353" t="s">
        <v>133</v>
      </c>
      <c r="M1353" t="s">
        <v>108</v>
      </c>
      <c r="R1353" t="s">
        <v>5691</v>
      </c>
      <c r="S1353" t="s">
        <v>810</v>
      </c>
      <c r="T1353" t="s">
        <v>110</v>
      </c>
      <c r="U1353" t="s">
        <v>111</v>
      </c>
      <c r="V1353" t="str">
        <f>"139052522"</f>
        <v>139052522</v>
      </c>
      <c r="AC1353" t="s">
        <v>113</v>
      </c>
      <c r="AD1353" t="s">
        <v>108</v>
      </c>
      <c r="AE1353" t="s">
        <v>775</v>
      </c>
      <c r="AF1353" t="s">
        <v>115</v>
      </c>
      <c r="AG1353" t="s">
        <v>116</v>
      </c>
      <c r="AK1353" t="str">
        <f t="shared" si="141"/>
        <v/>
      </c>
      <c r="AL1353" t="s">
        <v>5691</v>
      </c>
      <c r="AM1353">
        <v>1</v>
      </c>
      <c r="AN1353">
        <v>1</v>
      </c>
      <c r="AP1353">
        <v>1</v>
      </c>
      <c r="AQ1353">
        <v>1</v>
      </c>
      <c r="AR1353" t="s">
        <v>108</v>
      </c>
      <c r="AS1353" t="s">
        <v>108</v>
      </c>
      <c r="AT1353" t="s">
        <v>108</v>
      </c>
      <c r="AU1353" t="s">
        <v>108</v>
      </c>
      <c r="AV1353" t="s">
        <v>108</v>
      </c>
      <c r="AW1353" t="s">
        <v>108</v>
      </c>
      <c r="AX1353" s="24" t="str">
        <f t="shared" si="139"/>
        <v/>
      </c>
      <c r="AY1353" s="24" t="str">
        <f t="shared" si="139"/>
        <v/>
      </c>
      <c r="AZ1353" s="24" t="str">
        <f t="shared" si="140"/>
        <v/>
      </c>
      <c r="BA1353" s="24" t="str">
        <f t="shared" si="140"/>
        <v/>
      </c>
      <c r="BB1353" s="24" t="str">
        <f t="shared" si="140"/>
        <v/>
      </c>
      <c r="BC1353" s="24" t="str">
        <f t="shared" si="140"/>
        <v/>
      </c>
      <c r="BD1353" s="24" t="str">
        <f t="shared" si="140"/>
        <v/>
      </c>
      <c r="BE1353" s="24" t="str">
        <f t="shared" si="140"/>
        <v/>
      </c>
      <c r="BF1353" s="24" t="str">
        <f t="shared" si="140"/>
        <v/>
      </c>
      <c r="BG1353" s="24" t="str">
        <f t="shared" si="140"/>
        <v/>
      </c>
      <c r="BH1353" s="24" t="str">
        <f t="shared" si="142"/>
        <v/>
      </c>
      <c r="BI1353" s="24" t="str">
        <f t="shared" si="140"/>
        <v/>
      </c>
      <c r="BJ1353" s="24">
        <f t="shared" si="137"/>
        <v>1</v>
      </c>
    </row>
    <row r="1354" spans="1:62" ht="15" customHeight="1" x14ac:dyDescent="0.25">
      <c r="B1354" t="str">
        <f>"00590345"</f>
        <v>00590345</v>
      </c>
      <c r="C1354" t="s">
        <v>1413</v>
      </c>
      <c r="D1354" t="s">
        <v>1414</v>
      </c>
      <c r="E1354" t="s">
        <v>1415</v>
      </c>
      <c r="G1354" t="s">
        <v>1416</v>
      </c>
      <c r="H1354" t="s">
        <v>1417</v>
      </c>
      <c r="J1354" t="s">
        <v>1418</v>
      </c>
      <c r="L1354" t="s">
        <v>68</v>
      </c>
      <c r="M1354" t="s">
        <v>108</v>
      </c>
      <c r="W1354" t="s">
        <v>1419</v>
      </c>
      <c r="X1354" t="s">
        <v>1420</v>
      </c>
      <c r="Y1354" t="s">
        <v>129</v>
      </c>
      <c r="Z1354" t="s">
        <v>111</v>
      </c>
      <c r="AA1354" t="str">
        <f>"13790-2744"</f>
        <v>13790-2744</v>
      </c>
      <c r="AB1354" t="s">
        <v>165</v>
      </c>
      <c r="AC1354" t="s">
        <v>113</v>
      </c>
      <c r="AD1354" t="s">
        <v>108</v>
      </c>
      <c r="AE1354" t="s">
        <v>114</v>
      </c>
      <c r="AF1354" t="s">
        <v>115</v>
      </c>
      <c r="AG1354" t="s">
        <v>116</v>
      </c>
      <c r="AK1354" t="str">
        <f t="shared" si="141"/>
        <v/>
      </c>
      <c r="AL1354" t="s">
        <v>1414</v>
      </c>
      <c r="AM1354">
        <v>1</v>
      </c>
      <c r="AN1354">
        <v>1</v>
      </c>
      <c r="AO1354">
        <v>0</v>
      </c>
      <c r="AP1354">
        <v>1</v>
      </c>
      <c r="AQ1354">
        <v>1</v>
      </c>
      <c r="AR1354">
        <v>0</v>
      </c>
      <c r="AS1354">
        <v>0</v>
      </c>
      <c r="AT1354">
        <v>0</v>
      </c>
      <c r="AU1354">
        <v>0</v>
      </c>
      <c r="AV1354">
        <v>0</v>
      </c>
      <c r="AW1354">
        <v>0</v>
      </c>
      <c r="AX1354" s="24" t="str">
        <f t="shared" si="139"/>
        <v/>
      </c>
      <c r="AY1354" s="24" t="str">
        <f t="shared" si="139"/>
        <v/>
      </c>
      <c r="AZ1354" s="24" t="str">
        <f t="shared" si="140"/>
        <v/>
      </c>
      <c r="BA1354" s="24" t="str">
        <f t="shared" si="140"/>
        <v/>
      </c>
      <c r="BB1354" s="24" t="str">
        <f t="shared" si="140"/>
        <v/>
      </c>
      <c r="BC1354" s="24" t="str">
        <f t="shared" si="140"/>
        <v/>
      </c>
      <c r="BD1354" s="24" t="str">
        <f t="shared" si="140"/>
        <v/>
      </c>
      <c r="BE1354" s="24" t="str">
        <f t="shared" si="140"/>
        <v/>
      </c>
      <c r="BF1354" s="24" t="str">
        <f t="shared" si="140"/>
        <v/>
      </c>
      <c r="BG1354" s="24" t="str">
        <f t="shared" si="140"/>
        <v/>
      </c>
      <c r="BH1354" s="24" t="str">
        <f t="shared" si="142"/>
        <v/>
      </c>
      <c r="BI1354" s="24">
        <f t="shared" si="140"/>
        <v>1</v>
      </c>
      <c r="BJ1354" s="24" t="str">
        <f t="shared" si="137"/>
        <v/>
      </c>
    </row>
    <row r="1355" spans="1:62" ht="15" customHeight="1" x14ac:dyDescent="0.25">
      <c r="A1355" t="str">
        <f>"1790005056"</f>
        <v>1790005056</v>
      </c>
      <c r="B1355" t="str">
        <f>"03229316"</f>
        <v>03229316</v>
      </c>
      <c r="C1355" t="s">
        <v>1413</v>
      </c>
      <c r="D1355" t="s">
        <v>1421</v>
      </c>
      <c r="E1355" t="s">
        <v>1422</v>
      </c>
      <c r="G1355" t="s">
        <v>1416</v>
      </c>
      <c r="H1355" t="s">
        <v>1417</v>
      </c>
      <c r="J1355" t="s">
        <v>1418</v>
      </c>
      <c r="L1355" t="s">
        <v>278</v>
      </c>
      <c r="M1355" t="s">
        <v>139</v>
      </c>
      <c r="R1355" t="s">
        <v>1423</v>
      </c>
      <c r="W1355" t="s">
        <v>1422</v>
      </c>
      <c r="X1355" t="s">
        <v>810</v>
      </c>
      <c r="Y1355" t="s">
        <v>110</v>
      </c>
      <c r="Z1355" t="s">
        <v>111</v>
      </c>
      <c r="AA1355" t="str">
        <f>"13905-2522"</f>
        <v>13905-2522</v>
      </c>
      <c r="AB1355" t="s">
        <v>282</v>
      </c>
      <c r="AC1355" t="s">
        <v>113</v>
      </c>
      <c r="AD1355" t="s">
        <v>108</v>
      </c>
      <c r="AE1355" t="s">
        <v>114</v>
      </c>
      <c r="AF1355" t="s">
        <v>115</v>
      </c>
      <c r="AG1355" t="s">
        <v>116</v>
      </c>
      <c r="AK1355" t="str">
        <f t="shared" si="141"/>
        <v/>
      </c>
      <c r="AL1355" t="s">
        <v>1421</v>
      </c>
      <c r="AM1355">
        <v>1</v>
      </c>
      <c r="AN1355">
        <v>1</v>
      </c>
      <c r="AO1355">
        <v>0</v>
      </c>
      <c r="AP1355">
        <v>1</v>
      </c>
      <c r="AQ1355">
        <v>1</v>
      </c>
      <c r="AR1355">
        <v>0</v>
      </c>
      <c r="AS1355">
        <v>0</v>
      </c>
      <c r="AT1355">
        <v>0</v>
      </c>
      <c r="AU1355">
        <v>0</v>
      </c>
      <c r="AV1355">
        <v>0</v>
      </c>
      <c r="AW1355">
        <v>0</v>
      </c>
      <c r="AX1355" s="24" t="str">
        <f t="shared" si="139"/>
        <v/>
      </c>
      <c r="AY1355" s="24" t="str">
        <f t="shared" si="139"/>
        <v/>
      </c>
      <c r="AZ1355" s="24" t="str">
        <f t="shared" si="140"/>
        <v/>
      </c>
      <c r="BA1355" s="24" t="str">
        <f t="shared" si="140"/>
        <v/>
      </c>
      <c r="BB1355" s="24" t="str">
        <f t="shared" si="140"/>
        <v/>
      </c>
      <c r="BC1355" s="24">
        <f t="shared" si="140"/>
        <v>1</v>
      </c>
      <c r="BD1355" s="24" t="str">
        <f t="shared" si="140"/>
        <v/>
      </c>
      <c r="BE1355" s="24" t="str">
        <f t="shared" si="140"/>
        <v/>
      </c>
      <c r="BF1355" s="24" t="str">
        <f t="shared" si="140"/>
        <v/>
      </c>
      <c r="BG1355" s="24" t="str">
        <f t="shared" si="140"/>
        <v/>
      </c>
      <c r="BH1355" s="24" t="str">
        <f t="shared" si="142"/>
        <v/>
      </c>
      <c r="BI1355" s="24">
        <f t="shared" si="140"/>
        <v>1</v>
      </c>
      <c r="BJ1355" s="24" t="str">
        <f t="shared" si="137"/>
        <v/>
      </c>
    </row>
    <row r="1356" spans="1:62" x14ac:dyDescent="0.25">
      <c r="A1356" t="str">
        <f>"1689669079"</f>
        <v>1689669079</v>
      </c>
      <c r="B1356" t="str">
        <f>"00472931"</f>
        <v>00472931</v>
      </c>
      <c r="C1356" t="s">
        <v>5740</v>
      </c>
      <c r="D1356" t="s">
        <v>5741</v>
      </c>
      <c r="E1356" t="s">
        <v>5742</v>
      </c>
      <c r="G1356" t="s">
        <v>5743</v>
      </c>
      <c r="H1356" t="s">
        <v>5744</v>
      </c>
      <c r="J1356" t="s">
        <v>5745</v>
      </c>
      <c r="L1356" t="s">
        <v>5746</v>
      </c>
      <c r="M1356" t="s">
        <v>139</v>
      </c>
      <c r="R1356" t="s">
        <v>5747</v>
      </c>
      <c r="W1356" t="s">
        <v>5747</v>
      </c>
      <c r="X1356" t="s">
        <v>5748</v>
      </c>
      <c r="Y1356" t="s">
        <v>5749</v>
      </c>
      <c r="Z1356" t="s">
        <v>111</v>
      </c>
      <c r="AA1356" t="str">
        <f>"12550-5242"</f>
        <v>12550-5242</v>
      </c>
      <c r="AB1356" t="s">
        <v>385</v>
      </c>
      <c r="AC1356" t="s">
        <v>113</v>
      </c>
      <c r="AD1356" t="s">
        <v>108</v>
      </c>
      <c r="AE1356" t="s">
        <v>114</v>
      </c>
      <c r="AF1356" t="s">
        <v>115</v>
      </c>
      <c r="AG1356" t="s">
        <v>116</v>
      </c>
      <c r="AK1356" t="str">
        <f t="shared" si="141"/>
        <v/>
      </c>
      <c r="AL1356" t="s">
        <v>5741</v>
      </c>
      <c r="AM1356">
        <v>0</v>
      </c>
      <c r="AN1356">
        <v>0</v>
      </c>
      <c r="AO1356">
        <v>0</v>
      </c>
      <c r="AP1356">
        <v>0</v>
      </c>
      <c r="AQ1356">
        <v>0</v>
      </c>
      <c r="AR1356">
        <v>0</v>
      </c>
      <c r="AS1356">
        <v>0</v>
      </c>
      <c r="AT1356">
        <v>0</v>
      </c>
      <c r="AU1356">
        <v>0</v>
      </c>
      <c r="AV1356">
        <v>0</v>
      </c>
      <c r="AW1356">
        <v>0</v>
      </c>
      <c r="AX1356" s="24" t="str">
        <f t="shared" si="139"/>
        <v/>
      </c>
      <c r="AY1356" s="24" t="str">
        <f t="shared" si="139"/>
        <v/>
      </c>
      <c r="AZ1356" s="24" t="str">
        <f t="shared" si="140"/>
        <v/>
      </c>
      <c r="BA1356" s="24">
        <f t="shared" si="140"/>
        <v>1</v>
      </c>
      <c r="BB1356" s="24" t="str">
        <f t="shared" si="140"/>
        <v/>
      </c>
      <c r="BC1356" s="24" t="str">
        <f t="shared" si="140"/>
        <v/>
      </c>
      <c r="BD1356" s="24">
        <f t="shared" si="140"/>
        <v>1</v>
      </c>
      <c r="BE1356" s="24" t="str">
        <f t="shared" si="140"/>
        <v/>
      </c>
      <c r="BF1356" s="24" t="str">
        <f t="shared" si="140"/>
        <v/>
      </c>
      <c r="BG1356" s="24" t="str">
        <f t="shared" si="140"/>
        <v/>
      </c>
      <c r="BH1356" s="24" t="str">
        <f t="shared" si="142"/>
        <v/>
      </c>
      <c r="BI1356" s="24">
        <f t="shared" si="140"/>
        <v>1</v>
      </c>
      <c r="BJ1356" s="24" t="str">
        <f t="shared" si="137"/>
        <v/>
      </c>
    </row>
    <row r="1357" spans="1:62" ht="15" customHeight="1" x14ac:dyDescent="0.25">
      <c r="B1357" t="str">
        <f>"03609863"</f>
        <v>03609863</v>
      </c>
      <c r="C1357" t="s">
        <v>2163</v>
      </c>
      <c r="D1357" t="s">
        <v>2164</v>
      </c>
      <c r="E1357" t="s">
        <v>2163</v>
      </c>
      <c r="F1357">
        <v>150516395</v>
      </c>
      <c r="G1357" t="s">
        <v>2142</v>
      </c>
      <c r="H1357" t="s">
        <v>2143</v>
      </c>
      <c r="I1357">
        <v>311</v>
      </c>
      <c r="J1357" t="s">
        <v>2144</v>
      </c>
      <c r="L1357" t="s">
        <v>68</v>
      </c>
      <c r="M1357" t="s">
        <v>139</v>
      </c>
      <c r="W1357" t="s">
        <v>2163</v>
      </c>
      <c r="X1357" t="s">
        <v>2148</v>
      </c>
      <c r="Y1357" t="s">
        <v>129</v>
      </c>
      <c r="Z1357" t="s">
        <v>111</v>
      </c>
      <c r="AA1357" t="str">
        <f>"13790-2106"</f>
        <v>13790-2106</v>
      </c>
      <c r="AB1357" t="s">
        <v>165</v>
      </c>
      <c r="AC1357" t="s">
        <v>113</v>
      </c>
      <c r="AD1357" t="s">
        <v>108</v>
      </c>
      <c r="AE1357" t="s">
        <v>114</v>
      </c>
      <c r="AF1357" t="s">
        <v>115</v>
      </c>
      <c r="AG1357" t="s">
        <v>116</v>
      </c>
      <c r="AK1357" t="str">
        <f t="shared" si="141"/>
        <v>THE HANDICAPPED CHILDRENS ASSOCIATI</v>
      </c>
      <c r="AL1357" t="s">
        <v>2164</v>
      </c>
      <c r="AM1357" t="s">
        <v>108</v>
      </c>
      <c r="AN1357" t="s">
        <v>108</v>
      </c>
      <c r="AO1357" t="s">
        <v>108</v>
      </c>
      <c r="AP1357" t="s">
        <v>108</v>
      </c>
      <c r="AQ1357" t="s">
        <v>108</v>
      </c>
      <c r="AR1357" t="s">
        <v>108</v>
      </c>
      <c r="AS1357" t="s">
        <v>108</v>
      </c>
      <c r="AT1357" t="s">
        <v>108</v>
      </c>
      <c r="AU1357" t="s">
        <v>108</v>
      </c>
      <c r="AV1357" t="s">
        <v>108</v>
      </c>
      <c r="AW1357" t="s">
        <v>108</v>
      </c>
      <c r="AX1357" s="24" t="str">
        <f t="shared" si="139"/>
        <v/>
      </c>
      <c r="AY1357" s="24" t="str">
        <f t="shared" si="139"/>
        <v/>
      </c>
      <c r="AZ1357" s="24" t="str">
        <f t="shared" si="140"/>
        <v/>
      </c>
      <c r="BA1357" s="24" t="str">
        <f t="shared" si="140"/>
        <v/>
      </c>
      <c r="BB1357" s="24" t="str">
        <f t="shared" si="140"/>
        <v/>
      </c>
      <c r="BC1357" s="24" t="str">
        <f t="shared" si="140"/>
        <v/>
      </c>
      <c r="BD1357" s="24" t="str">
        <f t="shared" si="140"/>
        <v/>
      </c>
      <c r="BE1357" s="24" t="str">
        <f t="shared" si="140"/>
        <v/>
      </c>
      <c r="BF1357" s="24" t="str">
        <f t="shared" si="140"/>
        <v/>
      </c>
      <c r="BG1357" s="24" t="str">
        <f t="shared" si="140"/>
        <v/>
      </c>
      <c r="BH1357" s="24" t="str">
        <f t="shared" si="142"/>
        <v/>
      </c>
      <c r="BI1357" s="24">
        <f t="shared" si="140"/>
        <v>1</v>
      </c>
      <c r="BJ1357" s="24" t="str">
        <f t="shared" si="137"/>
        <v/>
      </c>
    </row>
    <row r="1358" spans="1:62" ht="15" customHeight="1" x14ac:dyDescent="0.25">
      <c r="B1358" t="str">
        <f>"04009587"</f>
        <v>04009587</v>
      </c>
      <c r="C1358" t="s">
        <v>3909</v>
      </c>
      <c r="D1358" t="s">
        <v>3910</v>
      </c>
      <c r="E1358" t="s">
        <v>3911</v>
      </c>
      <c r="G1358" t="s">
        <v>3912</v>
      </c>
      <c r="H1358" t="s">
        <v>3913</v>
      </c>
      <c r="I1358">
        <v>211</v>
      </c>
      <c r="J1358" t="s">
        <v>3914</v>
      </c>
      <c r="L1358" t="s">
        <v>133</v>
      </c>
      <c r="M1358" t="s">
        <v>108</v>
      </c>
      <c r="W1358" t="s">
        <v>3911</v>
      </c>
      <c r="X1358" t="s">
        <v>3915</v>
      </c>
      <c r="Y1358" t="s">
        <v>2791</v>
      </c>
      <c r="Z1358" t="s">
        <v>111</v>
      </c>
      <c r="AA1358" t="str">
        <f>"14810-1523"</f>
        <v>14810-1523</v>
      </c>
      <c r="AB1358" t="s">
        <v>3916</v>
      </c>
      <c r="AC1358" t="s">
        <v>113</v>
      </c>
      <c r="AD1358" t="s">
        <v>108</v>
      </c>
      <c r="AE1358" t="s">
        <v>114</v>
      </c>
      <c r="AF1358" t="s">
        <v>149</v>
      </c>
      <c r="AG1358" t="s">
        <v>116</v>
      </c>
      <c r="AK1358" t="str">
        <f t="shared" si="141"/>
        <v>The Institute for Human Services, Inc.</v>
      </c>
      <c r="AL1358" t="s">
        <v>3910</v>
      </c>
      <c r="AM1358" t="s">
        <v>108</v>
      </c>
      <c r="AN1358" t="s">
        <v>108</v>
      </c>
      <c r="AO1358" t="s">
        <v>108</v>
      </c>
      <c r="AP1358" t="s">
        <v>108</v>
      </c>
      <c r="AQ1358" t="s">
        <v>108</v>
      </c>
      <c r="AR1358" t="s">
        <v>108</v>
      </c>
      <c r="AS1358" t="s">
        <v>108</v>
      </c>
      <c r="AT1358" t="s">
        <v>108</v>
      </c>
      <c r="AU1358" t="s">
        <v>108</v>
      </c>
      <c r="AV1358" t="s">
        <v>108</v>
      </c>
      <c r="AW1358" t="s">
        <v>108</v>
      </c>
      <c r="AX1358" s="24" t="str">
        <f t="shared" si="139"/>
        <v/>
      </c>
      <c r="AY1358" s="24" t="str">
        <f t="shared" si="139"/>
        <v/>
      </c>
      <c r="AZ1358" s="24" t="str">
        <f t="shared" si="140"/>
        <v/>
      </c>
      <c r="BA1358" s="24" t="str">
        <f t="shared" si="140"/>
        <v/>
      </c>
      <c r="BB1358" s="24" t="str">
        <f t="shared" si="140"/>
        <v/>
      </c>
      <c r="BC1358" s="24" t="str">
        <f t="shared" si="140"/>
        <v/>
      </c>
      <c r="BD1358" s="24" t="str">
        <f t="shared" si="140"/>
        <v/>
      </c>
      <c r="BE1358" s="24" t="str">
        <f t="shared" si="140"/>
        <v/>
      </c>
      <c r="BF1358" s="24" t="str">
        <f t="shared" si="140"/>
        <v/>
      </c>
      <c r="BG1358" s="24" t="str">
        <f t="shared" si="140"/>
        <v/>
      </c>
      <c r="BH1358" s="24" t="str">
        <f t="shared" si="142"/>
        <v/>
      </c>
      <c r="BI1358" s="24" t="str">
        <f t="shared" si="140"/>
        <v/>
      </c>
      <c r="BJ1358" s="24">
        <f t="shared" si="137"/>
        <v>1</v>
      </c>
    </row>
    <row r="1359" spans="1:62" ht="15" customHeight="1" x14ac:dyDescent="0.25">
      <c r="A1359" t="str">
        <f>"1811088719"</f>
        <v>1811088719</v>
      </c>
      <c r="B1359" t="str">
        <f>"02997419"</f>
        <v>02997419</v>
      </c>
      <c r="C1359" t="s">
        <v>6319</v>
      </c>
      <c r="D1359" t="s">
        <v>6320</v>
      </c>
      <c r="E1359" t="s">
        <v>6321</v>
      </c>
      <c r="G1359" t="s">
        <v>6322</v>
      </c>
      <c r="H1359" t="s">
        <v>6323</v>
      </c>
      <c r="J1359" t="s">
        <v>6324</v>
      </c>
      <c r="L1359" t="s">
        <v>374</v>
      </c>
      <c r="M1359" t="s">
        <v>139</v>
      </c>
      <c r="R1359" t="s">
        <v>6319</v>
      </c>
      <c r="W1359" t="s">
        <v>6325</v>
      </c>
      <c r="X1359" t="s">
        <v>6326</v>
      </c>
      <c r="Y1359" t="s">
        <v>1227</v>
      </c>
      <c r="Z1359" t="s">
        <v>111</v>
      </c>
      <c r="AA1359" t="str">
        <f>"13501-2913"</f>
        <v>13501-2913</v>
      </c>
      <c r="AB1359" t="s">
        <v>385</v>
      </c>
      <c r="AC1359" t="s">
        <v>113</v>
      </c>
      <c r="AD1359" t="s">
        <v>108</v>
      </c>
      <c r="AE1359" t="s">
        <v>114</v>
      </c>
      <c r="AF1359" t="s">
        <v>124</v>
      </c>
      <c r="AG1359" t="s">
        <v>116</v>
      </c>
      <c r="AK1359" t="str">
        <f t="shared" si="141"/>
        <v>THE NEIGHBORHOOD CENTER, INC.</v>
      </c>
      <c r="AL1359" t="s">
        <v>6320</v>
      </c>
      <c r="AM1359" t="s">
        <v>108</v>
      </c>
      <c r="AN1359" t="s">
        <v>108</v>
      </c>
      <c r="AO1359" t="s">
        <v>108</v>
      </c>
      <c r="AP1359" t="s">
        <v>108</v>
      </c>
      <c r="AQ1359" t="s">
        <v>108</v>
      </c>
      <c r="AR1359" t="s">
        <v>108</v>
      </c>
      <c r="AS1359" t="s">
        <v>108</v>
      </c>
      <c r="AT1359" t="s">
        <v>108</v>
      </c>
      <c r="AU1359" t="s">
        <v>108</v>
      </c>
      <c r="AV1359" t="s">
        <v>108</v>
      </c>
      <c r="AW1359" t="s">
        <v>108</v>
      </c>
      <c r="AX1359" s="24" t="str">
        <f t="shared" si="139"/>
        <v/>
      </c>
      <c r="AY1359" s="24" t="str">
        <f t="shared" si="139"/>
        <v/>
      </c>
      <c r="AZ1359" s="24" t="str">
        <f t="shared" si="140"/>
        <v/>
      </c>
      <c r="BA1359" s="24" t="str">
        <f t="shared" si="140"/>
        <v/>
      </c>
      <c r="BB1359" s="24">
        <f t="shared" si="140"/>
        <v>1</v>
      </c>
      <c r="BC1359" s="24">
        <f t="shared" si="140"/>
        <v>1</v>
      </c>
      <c r="BD1359" s="24" t="str">
        <f t="shared" si="140"/>
        <v/>
      </c>
      <c r="BE1359" s="24" t="str">
        <f t="shared" si="140"/>
        <v/>
      </c>
      <c r="BF1359" s="24" t="str">
        <f t="shared" si="140"/>
        <v/>
      </c>
      <c r="BG1359" s="24" t="str">
        <f t="shared" si="140"/>
        <v/>
      </c>
      <c r="BH1359" s="24" t="str">
        <f t="shared" si="142"/>
        <v/>
      </c>
      <c r="BI1359" s="24" t="str">
        <f t="shared" si="140"/>
        <v/>
      </c>
      <c r="BJ1359" s="24" t="str">
        <f t="shared" si="137"/>
        <v/>
      </c>
    </row>
    <row r="1360" spans="1:62" ht="15" customHeight="1" x14ac:dyDescent="0.25">
      <c r="C1360" t="s">
        <v>6755</v>
      </c>
      <c r="G1360" t="s">
        <v>7181</v>
      </c>
      <c r="H1360" t="s">
        <v>7182</v>
      </c>
      <c r="J1360" t="s">
        <v>7183</v>
      </c>
      <c r="K1360" t="s">
        <v>5771</v>
      </c>
      <c r="L1360" t="s">
        <v>781</v>
      </c>
      <c r="M1360" t="s">
        <v>108</v>
      </c>
      <c r="AC1360" t="s">
        <v>113</v>
      </c>
      <c r="AD1360" t="s">
        <v>108</v>
      </c>
      <c r="AE1360" t="s">
        <v>784</v>
      </c>
      <c r="AF1360" t="s">
        <v>142</v>
      </c>
      <c r="AG1360" t="s">
        <v>116</v>
      </c>
      <c r="AL1360" t="s">
        <v>6755</v>
      </c>
      <c r="AM1360">
        <v>1</v>
      </c>
      <c r="AN1360" t="s">
        <v>108</v>
      </c>
      <c r="AO1360" t="s">
        <v>108</v>
      </c>
      <c r="AP1360">
        <v>1</v>
      </c>
      <c r="AQ1360">
        <v>1</v>
      </c>
      <c r="AR1360" t="s">
        <v>108</v>
      </c>
      <c r="AS1360" t="s">
        <v>108</v>
      </c>
      <c r="AT1360" t="s">
        <v>108</v>
      </c>
      <c r="AU1360" t="s">
        <v>108</v>
      </c>
      <c r="AV1360" t="s">
        <v>108</v>
      </c>
      <c r="AW1360" t="s">
        <v>108</v>
      </c>
      <c r="AX1360" s="24" t="str">
        <f t="shared" si="139"/>
        <v/>
      </c>
      <c r="AY1360" s="24" t="str">
        <f t="shared" si="139"/>
        <v/>
      </c>
      <c r="AZ1360" s="24" t="str">
        <f t="shared" si="140"/>
        <v/>
      </c>
      <c r="BA1360" s="24" t="str">
        <f t="shared" si="140"/>
        <v/>
      </c>
      <c r="BB1360" s="24" t="str">
        <f t="shared" si="140"/>
        <v/>
      </c>
      <c r="BC1360" s="24" t="str">
        <f t="shared" si="140"/>
        <v/>
      </c>
      <c r="BD1360" s="24" t="str">
        <f t="shared" si="140"/>
        <v/>
      </c>
      <c r="BE1360" s="24" t="str">
        <f t="shared" si="140"/>
        <v/>
      </c>
      <c r="BF1360" s="24" t="str">
        <f t="shared" si="140"/>
        <v/>
      </c>
      <c r="BG1360" s="24" t="str">
        <f t="shared" si="140"/>
        <v/>
      </c>
      <c r="BH1360" s="24">
        <f t="shared" si="142"/>
        <v>1</v>
      </c>
      <c r="BI1360" s="24" t="str">
        <f t="shared" si="140"/>
        <v/>
      </c>
      <c r="BJ1360" s="24" t="str">
        <f t="shared" si="137"/>
        <v/>
      </c>
    </row>
    <row r="1361" spans="1:62" ht="15" customHeight="1" x14ac:dyDescent="0.25">
      <c r="A1361" t="str">
        <f>"1588714265"</f>
        <v>1588714265</v>
      </c>
      <c r="B1361" t="str">
        <f>"02996394"</f>
        <v>02996394</v>
      </c>
      <c r="C1361" t="s">
        <v>4735</v>
      </c>
      <c r="D1361" t="s">
        <v>4736</v>
      </c>
      <c r="E1361" t="s">
        <v>4737</v>
      </c>
      <c r="G1361" t="s">
        <v>4738</v>
      </c>
      <c r="H1361" t="s">
        <v>4739</v>
      </c>
      <c r="J1361" t="s">
        <v>4740</v>
      </c>
      <c r="L1361" t="s">
        <v>15</v>
      </c>
      <c r="M1361" t="s">
        <v>139</v>
      </c>
      <c r="R1361" t="s">
        <v>4741</v>
      </c>
      <c r="W1361" t="s">
        <v>4742</v>
      </c>
      <c r="X1361" t="s">
        <v>4743</v>
      </c>
      <c r="Y1361" t="s">
        <v>4744</v>
      </c>
      <c r="Z1361" t="s">
        <v>111</v>
      </c>
      <c r="AA1361" t="str">
        <f>"13068-9684"</f>
        <v>13068-9684</v>
      </c>
      <c r="AB1361" t="s">
        <v>385</v>
      </c>
      <c r="AC1361" t="s">
        <v>113</v>
      </c>
      <c r="AD1361" t="s">
        <v>108</v>
      </c>
      <c r="AE1361" t="s">
        <v>114</v>
      </c>
      <c r="AF1361" t="s">
        <v>142</v>
      </c>
      <c r="AG1361" t="s">
        <v>116</v>
      </c>
      <c r="AK1361" t="str">
        <f t="shared" si="141"/>
        <v/>
      </c>
      <c r="AL1361" t="s">
        <v>4736</v>
      </c>
      <c r="AM1361">
        <v>0</v>
      </c>
      <c r="AN1361">
        <v>0</v>
      </c>
      <c r="AO1361">
        <v>0</v>
      </c>
      <c r="AP1361">
        <v>0</v>
      </c>
      <c r="AQ1361">
        <v>0</v>
      </c>
      <c r="AR1361">
        <v>0</v>
      </c>
      <c r="AS1361">
        <v>0</v>
      </c>
      <c r="AT1361">
        <v>0</v>
      </c>
      <c r="AU1361">
        <v>0</v>
      </c>
      <c r="AV1361">
        <v>0</v>
      </c>
      <c r="AW1361">
        <v>0</v>
      </c>
      <c r="AX1361" s="24" t="str">
        <f t="shared" si="139"/>
        <v/>
      </c>
      <c r="AY1361" s="24" t="str">
        <f t="shared" si="139"/>
        <v/>
      </c>
      <c r="AZ1361" s="24" t="str">
        <f t="shared" si="140"/>
        <v/>
      </c>
      <c r="BA1361" s="24" t="str">
        <f t="shared" si="140"/>
        <v/>
      </c>
      <c r="BB1361" s="24" t="str">
        <f t="shared" si="140"/>
        <v/>
      </c>
      <c r="BC1361" s="24" t="str">
        <f t="shared" si="140"/>
        <v/>
      </c>
      <c r="BD1361" s="24">
        <f t="shared" si="140"/>
        <v>1</v>
      </c>
      <c r="BE1361" s="24" t="str">
        <f t="shared" si="140"/>
        <v/>
      </c>
      <c r="BF1361" s="24" t="str">
        <f t="shared" si="140"/>
        <v/>
      </c>
      <c r="BG1361" s="24" t="str">
        <f t="shared" si="140"/>
        <v/>
      </c>
      <c r="BH1361" s="24" t="str">
        <f t="shared" si="142"/>
        <v/>
      </c>
      <c r="BI1361" s="24" t="str">
        <f t="shared" si="140"/>
        <v/>
      </c>
      <c r="BJ1361" s="24" t="str">
        <f t="shared" si="137"/>
        <v/>
      </c>
    </row>
    <row r="1362" spans="1:62" ht="15" customHeight="1" x14ac:dyDescent="0.25">
      <c r="A1362" t="str">
        <f>"1184616575"</f>
        <v>1184616575</v>
      </c>
      <c r="B1362" t="str">
        <f>"01740303"</f>
        <v>01740303</v>
      </c>
      <c r="C1362" t="s">
        <v>4395</v>
      </c>
      <c r="D1362" t="s">
        <v>4396</v>
      </c>
      <c r="E1362" t="s">
        <v>4397</v>
      </c>
      <c r="G1362" t="s">
        <v>4395</v>
      </c>
      <c r="H1362" t="s">
        <v>403</v>
      </c>
      <c r="J1362" t="s">
        <v>4398</v>
      </c>
      <c r="L1362" t="s">
        <v>247</v>
      </c>
      <c r="M1362" t="s">
        <v>108</v>
      </c>
      <c r="R1362" t="s">
        <v>4399</v>
      </c>
      <c r="W1362" t="s">
        <v>4397</v>
      </c>
      <c r="X1362" t="s">
        <v>406</v>
      </c>
      <c r="Y1362" t="s">
        <v>129</v>
      </c>
      <c r="Z1362" t="s">
        <v>111</v>
      </c>
      <c r="AA1362" t="str">
        <f>"13790-2107"</f>
        <v>13790-2107</v>
      </c>
      <c r="AB1362" t="s">
        <v>123</v>
      </c>
      <c r="AC1362" t="s">
        <v>113</v>
      </c>
      <c r="AD1362" t="s">
        <v>108</v>
      </c>
      <c r="AE1362" t="s">
        <v>114</v>
      </c>
      <c r="AF1362" t="s">
        <v>115</v>
      </c>
      <c r="AG1362" t="s">
        <v>116</v>
      </c>
      <c r="AK1362" t="str">
        <f t="shared" si="141"/>
        <v/>
      </c>
      <c r="AL1362" t="s">
        <v>4396</v>
      </c>
      <c r="AM1362">
        <v>0</v>
      </c>
      <c r="AN1362">
        <v>0</v>
      </c>
      <c r="AO1362">
        <v>0</v>
      </c>
      <c r="AP1362">
        <v>0</v>
      </c>
      <c r="AQ1362">
        <v>0</v>
      </c>
      <c r="AR1362">
        <v>0</v>
      </c>
      <c r="AS1362">
        <v>0</v>
      </c>
      <c r="AT1362">
        <v>0</v>
      </c>
      <c r="AU1362">
        <v>0</v>
      </c>
      <c r="AV1362">
        <v>0</v>
      </c>
      <c r="AW1362">
        <v>0</v>
      </c>
      <c r="AX1362" s="24" t="str">
        <f t="shared" si="139"/>
        <v/>
      </c>
      <c r="AY1362" s="24">
        <f t="shared" si="139"/>
        <v>1</v>
      </c>
      <c r="AZ1362" s="24" t="str">
        <f t="shared" si="140"/>
        <v/>
      </c>
      <c r="BA1362" s="24" t="str">
        <f t="shared" si="140"/>
        <v/>
      </c>
      <c r="BB1362" s="24" t="str">
        <f t="shared" si="140"/>
        <v/>
      </c>
      <c r="BC1362" s="24" t="str">
        <f t="shared" si="140"/>
        <v/>
      </c>
      <c r="BD1362" s="24" t="str">
        <f t="shared" si="140"/>
        <v/>
      </c>
      <c r="BE1362" s="24" t="str">
        <f t="shared" si="140"/>
        <v/>
      </c>
      <c r="BF1362" s="24" t="str">
        <f t="shared" si="140"/>
        <v/>
      </c>
      <c r="BG1362" s="24" t="str">
        <f t="shared" si="140"/>
        <v/>
      </c>
      <c r="BH1362" s="24" t="str">
        <f t="shared" si="142"/>
        <v/>
      </c>
      <c r="BI1362" s="24" t="str">
        <f t="shared" si="140"/>
        <v/>
      </c>
      <c r="BJ1362" s="24" t="str">
        <f t="shared" ref="BJ1362:BJ1425" si="143">IF(ISERROR(FIND(BJ$1,$L1362,1)),"",1)</f>
        <v/>
      </c>
    </row>
    <row r="1363" spans="1:62" ht="15" customHeight="1" x14ac:dyDescent="0.25">
      <c r="A1363" t="str">
        <f>"1609134345"</f>
        <v>1609134345</v>
      </c>
      <c r="B1363" t="str">
        <f>"04273561"</f>
        <v>04273561</v>
      </c>
      <c r="C1363" t="s">
        <v>6083</v>
      </c>
      <c r="D1363" t="s">
        <v>6084</v>
      </c>
      <c r="E1363" t="s">
        <v>6085</v>
      </c>
      <c r="G1363" t="s">
        <v>815</v>
      </c>
      <c r="H1363" t="s">
        <v>816</v>
      </c>
      <c r="J1363" t="s">
        <v>817</v>
      </c>
      <c r="L1363" t="s">
        <v>6868</v>
      </c>
      <c r="M1363" t="s">
        <v>108</v>
      </c>
      <c r="R1363" t="s">
        <v>6086</v>
      </c>
      <c r="W1363" t="s">
        <v>6085</v>
      </c>
      <c r="X1363" t="s">
        <v>5987</v>
      </c>
      <c r="Y1363" t="s">
        <v>321</v>
      </c>
      <c r="Z1363" t="s">
        <v>111</v>
      </c>
      <c r="AA1363" t="str">
        <f>"13760-4925"</f>
        <v>13760-4925</v>
      </c>
      <c r="AB1363" t="s">
        <v>123</v>
      </c>
      <c r="AC1363" t="s">
        <v>113</v>
      </c>
      <c r="AD1363" t="s">
        <v>108</v>
      </c>
      <c r="AE1363" t="s">
        <v>114</v>
      </c>
      <c r="AF1363" t="s">
        <v>115</v>
      </c>
      <c r="AG1363" t="s">
        <v>116</v>
      </c>
      <c r="AK1363" t="str">
        <f t="shared" si="141"/>
        <v>Theresa M Lynn, MD, MPH</v>
      </c>
      <c r="AL1363" t="s">
        <v>6084</v>
      </c>
      <c r="AM1363" t="s">
        <v>108</v>
      </c>
      <c r="AN1363" t="s">
        <v>108</v>
      </c>
      <c r="AO1363" t="s">
        <v>108</v>
      </c>
      <c r="AP1363" t="s">
        <v>108</v>
      </c>
      <c r="AQ1363" t="s">
        <v>108</v>
      </c>
      <c r="AR1363" t="s">
        <v>108</v>
      </c>
      <c r="AS1363" t="s">
        <v>108</v>
      </c>
      <c r="AT1363" t="s">
        <v>108</v>
      </c>
      <c r="AU1363" t="s">
        <v>108</v>
      </c>
      <c r="AV1363" t="s">
        <v>108</v>
      </c>
      <c r="AW1363" t="s">
        <v>108</v>
      </c>
      <c r="AX1363" s="24">
        <f t="shared" si="139"/>
        <v>1</v>
      </c>
      <c r="AY1363" s="24">
        <f t="shared" si="139"/>
        <v>1</v>
      </c>
      <c r="AZ1363" s="24" t="str">
        <f t="shared" si="140"/>
        <v/>
      </c>
      <c r="BA1363" s="24" t="str">
        <f t="shared" si="140"/>
        <v/>
      </c>
      <c r="BB1363" s="24" t="str">
        <f t="shared" si="140"/>
        <v/>
      </c>
      <c r="BC1363" s="24" t="str">
        <f t="shared" si="140"/>
        <v/>
      </c>
      <c r="BD1363" s="24" t="str">
        <f t="shared" si="140"/>
        <v/>
      </c>
      <c r="BE1363" s="24" t="str">
        <f t="shared" si="140"/>
        <v/>
      </c>
      <c r="BF1363" s="24" t="str">
        <f t="shared" si="140"/>
        <v/>
      </c>
      <c r="BG1363" s="24" t="str">
        <f t="shared" si="140"/>
        <v/>
      </c>
      <c r="BH1363" s="24" t="str">
        <f t="shared" si="142"/>
        <v/>
      </c>
      <c r="BI1363" s="24" t="str">
        <f t="shared" si="140"/>
        <v/>
      </c>
      <c r="BJ1363" s="24" t="str">
        <f t="shared" si="143"/>
        <v/>
      </c>
    </row>
    <row r="1364" spans="1:62" ht="15" customHeight="1" x14ac:dyDescent="0.25">
      <c r="A1364" t="str">
        <f>"1083700660"</f>
        <v>1083700660</v>
      </c>
      <c r="B1364" t="str">
        <f>"01934472"</f>
        <v>01934472</v>
      </c>
      <c r="C1364" t="s">
        <v>2997</v>
      </c>
      <c r="D1364" t="s">
        <v>2998</v>
      </c>
      <c r="E1364" t="s">
        <v>2999</v>
      </c>
      <c r="G1364" t="s">
        <v>2412</v>
      </c>
      <c r="H1364" t="s">
        <v>2413</v>
      </c>
      <c r="I1364">
        <v>2359</v>
      </c>
      <c r="J1364" t="s">
        <v>3000</v>
      </c>
      <c r="L1364" t="s">
        <v>120</v>
      </c>
      <c r="M1364" t="s">
        <v>108</v>
      </c>
      <c r="R1364" t="s">
        <v>3001</v>
      </c>
      <c r="W1364" t="s">
        <v>2999</v>
      </c>
      <c r="X1364" t="s">
        <v>3002</v>
      </c>
      <c r="Y1364" t="s">
        <v>1655</v>
      </c>
      <c r="Z1364" t="s">
        <v>111</v>
      </c>
      <c r="AA1364" t="str">
        <f>"14865"</f>
        <v>14865</v>
      </c>
      <c r="AB1364" t="s">
        <v>123</v>
      </c>
      <c r="AC1364" t="s">
        <v>113</v>
      </c>
      <c r="AD1364" t="s">
        <v>108</v>
      </c>
      <c r="AE1364" t="s">
        <v>114</v>
      </c>
      <c r="AF1364" t="s">
        <v>142</v>
      </c>
      <c r="AG1364" t="s">
        <v>116</v>
      </c>
      <c r="AK1364" t="str">
        <f t="shared" si="141"/>
        <v/>
      </c>
      <c r="AL1364" t="s">
        <v>2998</v>
      </c>
      <c r="AM1364">
        <v>0</v>
      </c>
      <c r="AN1364">
        <v>0</v>
      </c>
      <c r="AO1364">
        <v>0</v>
      </c>
      <c r="AP1364">
        <v>0</v>
      </c>
      <c r="AQ1364">
        <v>0</v>
      </c>
      <c r="AR1364">
        <v>0</v>
      </c>
      <c r="AS1364">
        <v>0</v>
      </c>
      <c r="AT1364">
        <v>0</v>
      </c>
      <c r="AU1364">
        <v>0</v>
      </c>
      <c r="AV1364">
        <v>0</v>
      </c>
      <c r="AW1364">
        <v>0</v>
      </c>
      <c r="AX1364" s="24">
        <f t="shared" si="139"/>
        <v>1</v>
      </c>
      <c r="AY1364" s="24" t="str">
        <f t="shared" si="139"/>
        <v/>
      </c>
      <c r="AZ1364" s="24" t="str">
        <f t="shared" si="140"/>
        <v/>
      </c>
      <c r="BA1364" s="24" t="str">
        <f t="shared" si="140"/>
        <v/>
      </c>
      <c r="BB1364" s="24" t="str">
        <f t="shared" si="140"/>
        <v/>
      </c>
      <c r="BC1364" s="24" t="str">
        <f t="shared" si="140"/>
        <v/>
      </c>
      <c r="BD1364" s="24" t="str">
        <f t="shared" si="140"/>
        <v/>
      </c>
      <c r="BE1364" s="24" t="str">
        <f t="shared" si="140"/>
        <v/>
      </c>
      <c r="BF1364" s="24" t="str">
        <f t="shared" si="140"/>
        <v/>
      </c>
      <c r="BG1364" s="24" t="str">
        <f t="shared" si="140"/>
        <v/>
      </c>
      <c r="BH1364" s="24" t="str">
        <f t="shared" si="142"/>
        <v/>
      </c>
      <c r="BI1364" s="24">
        <f t="shared" si="140"/>
        <v>1</v>
      </c>
      <c r="BJ1364" s="24" t="str">
        <f t="shared" si="143"/>
        <v/>
      </c>
    </row>
    <row r="1365" spans="1:62" ht="15" customHeight="1" x14ac:dyDescent="0.25">
      <c r="A1365" t="str">
        <f>"1801995618"</f>
        <v>1801995618</v>
      </c>
      <c r="B1365" t="str">
        <f>"03572589"</f>
        <v>03572589</v>
      </c>
      <c r="C1365" t="s">
        <v>4410</v>
      </c>
      <c r="D1365" t="s">
        <v>4411</v>
      </c>
      <c r="E1365" t="s">
        <v>4412</v>
      </c>
      <c r="G1365" t="s">
        <v>2412</v>
      </c>
      <c r="H1365" t="s">
        <v>2413</v>
      </c>
      <c r="I1365">
        <v>2359</v>
      </c>
      <c r="J1365" t="s">
        <v>4413</v>
      </c>
      <c r="L1365" t="s">
        <v>138</v>
      </c>
      <c r="M1365" t="s">
        <v>108</v>
      </c>
      <c r="R1365" t="s">
        <v>4414</v>
      </c>
      <c r="W1365" t="s">
        <v>4412</v>
      </c>
      <c r="X1365" t="s">
        <v>1579</v>
      </c>
      <c r="Y1365" t="s">
        <v>122</v>
      </c>
      <c r="Z1365" t="s">
        <v>111</v>
      </c>
      <c r="AA1365" t="str">
        <f>"13815-1153"</f>
        <v>13815-1153</v>
      </c>
      <c r="AB1365" t="s">
        <v>123</v>
      </c>
      <c r="AC1365" t="s">
        <v>113</v>
      </c>
      <c r="AD1365" t="s">
        <v>108</v>
      </c>
      <c r="AE1365" t="s">
        <v>114</v>
      </c>
      <c r="AF1365" t="s">
        <v>124</v>
      </c>
      <c r="AG1365" t="s">
        <v>116</v>
      </c>
      <c r="AK1365" t="str">
        <f t="shared" si="141"/>
        <v/>
      </c>
      <c r="AL1365" t="s">
        <v>4411</v>
      </c>
      <c r="AM1365">
        <v>1</v>
      </c>
      <c r="AN1365">
        <v>1</v>
      </c>
      <c r="AO1365">
        <v>0</v>
      </c>
      <c r="AP1365">
        <v>1</v>
      </c>
      <c r="AQ1365">
        <v>1</v>
      </c>
      <c r="AR1365">
        <v>0</v>
      </c>
      <c r="AS1365">
        <v>0</v>
      </c>
      <c r="AT1365">
        <v>0</v>
      </c>
      <c r="AU1365">
        <v>0</v>
      </c>
      <c r="AV1365">
        <v>0</v>
      </c>
      <c r="AW1365">
        <v>0</v>
      </c>
      <c r="AX1365" s="24" t="str">
        <f t="shared" si="139"/>
        <v/>
      </c>
      <c r="AY1365" s="24">
        <f t="shared" si="139"/>
        <v>1</v>
      </c>
      <c r="AZ1365" s="24" t="str">
        <f t="shared" si="140"/>
        <v/>
      </c>
      <c r="BA1365" s="24" t="str">
        <f t="shared" ref="AZ1365:BI1390" si="144">IF(ISERROR(FIND(BA$1,$L1365,1)),"",1)</f>
        <v/>
      </c>
      <c r="BB1365" s="24" t="str">
        <f t="shared" si="144"/>
        <v/>
      </c>
      <c r="BC1365" s="24" t="str">
        <f t="shared" si="144"/>
        <v/>
      </c>
      <c r="BD1365" s="24" t="str">
        <f t="shared" si="144"/>
        <v/>
      </c>
      <c r="BE1365" s="24" t="str">
        <f t="shared" si="144"/>
        <v/>
      </c>
      <c r="BF1365" s="24" t="str">
        <f t="shared" si="144"/>
        <v/>
      </c>
      <c r="BG1365" s="24" t="str">
        <f t="shared" si="144"/>
        <v/>
      </c>
      <c r="BH1365" s="24" t="str">
        <f t="shared" si="142"/>
        <v/>
      </c>
      <c r="BI1365" s="24">
        <f t="shared" si="144"/>
        <v>1</v>
      </c>
      <c r="BJ1365" s="24" t="str">
        <f t="shared" si="143"/>
        <v/>
      </c>
    </row>
    <row r="1366" spans="1:62" ht="15" customHeight="1" x14ac:dyDescent="0.25">
      <c r="A1366" t="str">
        <f>"1720054372"</f>
        <v>1720054372</v>
      </c>
      <c r="B1366" t="str">
        <f>"01588292"</f>
        <v>01588292</v>
      </c>
      <c r="C1366" t="s">
        <v>3428</v>
      </c>
      <c r="D1366" t="s">
        <v>3429</v>
      </c>
      <c r="E1366" t="s">
        <v>3430</v>
      </c>
      <c r="G1366" t="s">
        <v>3096</v>
      </c>
      <c r="H1366" t="s">
        <v>3097</v>
      </c>
      <c r="J1366" t="s">
        <v>3431</v>
      </c>
      <c r="L1366" t="s">
        <v>138</v>
      </c>
      <c r="M1366" t="s">
        <v>108</v>
      </c>
      <c r="R1366" t="s">
        <v>3432</v>
      </c>
      <c r="W1366" t="s">
        <v>3430</v>
      </c>
      <c r="X1366" t="s">
        <v>3433</v>
      </c>
      <c r="Y1366" t="s">
        <v>1272</v>
      </c>
      <c r="Z1366" t="s">
        <v>111</v>
      </c>
      <c r="AA1366" t="str">
        <f>"13021-1983"</f>
        <v>13021-1983</v>
      </c>
      <c r="AB1366" t="s">
        <v>123</v>
      </c>
      <c r="AC1366" t="s">
        <v>113</v>
      </c>
      <c r="AD1366" t="s">
        <v>108</v>
      </c>
      <c r="AE1366" t="s">
        <v>114</v>
      </c>
      <c r="AF1366" t="s">
        <v>142</v>
      </c>
      <c r="AG1366" t="s">
        <v>116</v>
      </c>
      <c r="AK1366" t="str">
        <f t="shared" si="141"/>
        <v/>
      </c>
      <c r="AL1366" t="s">
        <v>3429</v>
      </c>
      <c r="AM1366">
        <v>1</v>
      </c>
      <c r="AN1366">
        <v>1</v>
      </c>
      <c r="AO1366">
        <v>0</v>
      </c>
      <c r="AP1366">
        <v>0</v>
      </c>
      <c r="AQ1366">
        <v>0</v>
      </c>
      <c r="AR1366">
        <v>0</v>
      </c>
      <c r="AS1366">
        <v>0</v>
      </c>
      <c r="AT1366">
        <v>0</v>
      </c>
      <c r="AU1366">
        <v>0</v>
      </c>
      <c r="AV1366">
        <v>0</v>
      </c>
      <c r="AW1366">
        <v>0</v>
      </c>
      <c r="AX1366" s="24" t="str">
        <f t="shared" si="139"/>
        <v/>
      </c>
      <c r="AY1366" s="24">
        <f t="shared" si="139"/>
        <v>1</v>
      </c>
      <c r="AZ1366" s="24" t="str">
        <f t="shared" si="144"/>
        <v/>
      </c>
      <c r="BA1366" s="24" t="str">
        <f t="shared" si="144"/>
        <v/>
      </c>
      <c r="BB1366" s="24" t="str">
        <f t="shared" si="144"/>
        <v/>
      </c>
      <c r="BC1366" s="24" t="str">
        <f t="shared" si="144"/>
        <v/>
      </c>
      <c r="BD1366" s="24" t="str">
        <f t="shared" si="144"/>
        <v/>
      </c>
      <c r="BE1366" s="24" t="str">
        <f t="shared" si="144"/>
        <v/>
      </c>
      <c r="BF1366" s="24" t="str">
        <f t="shared" si="144"/>
        <v/>
      </c>
      <c r="BG1366" s="24" t="str">
        <f t="shared" si="144"/>
        <v/>
      </c>
      <c r="BH1366" s="24" t="str">
        <f t="shared" si="142"/>
        <v/>
      </c>
      <c r="BI1366" s="24">
        <f t="shared" si="144"/>
        <v>1</v>
      </c>
      <c r="BJ1366" s="24" t="str">
        <f t="shared" si="143"/>
        <v/>
      </c>
    </row>
    <row r="1367" spans="1:62" ht="15" customHeight="1" x14ac:dyDescent="0.25">
      <c r="A1367" t="str">
        <f>"1194703488"</f>
        <v>1194703488</v>
      </c>
      <c r="B1367" t="str">
        <f>"02181482"</f>
        <v>02181482</v>
      </c>
      <c r="C1367" t="s">
        <v>4420</v>
      </c>
      <c r="D1367" t="s">
        <v>4421</v>
      </c>
      <c r="E1367" t="s">
        <v>4422</v>
      </c>
      <c r="G1367" t="s">
        <v>786</v>
      </c>
      <c r="H1367" t="s">
        <v>787</v>
      </c>
      <c r="J1367" t="s">
        <v>788</v>
      </c>
      <c r="L1367" t="s">
        <v>138</v>
      </c>
      <c r="M1367" t="s">
        <v>108</v>
      </c>
      <c r="R1367" t="s">
        <v>4420</v>
      </c>
      <c r="W1367" t="s">
        <v>4422</v>
      </c>
      <c r="X1367" t="s">
        <v>4423</v>
      </c>
      <c r="Y1367" t="s">
        <v>239</v>
      </c>
      <c r="Z1367" t="s">
        <v>111</v>
      </c>
      <c r="AA1367" t="str">
        <f>"13045"</f>
        <v>13045</v>
      </c>
      <c r="AB1367" t="s">
        <v>123</v>
      </c>
      <c r="AC1367" t="s">
        <v>113</v>
      </c>
      <c r="AD1367" t="s">
        <v>108</v>
      </c>
      <c r="AE1367" t="s">
        <v>114</v>
      </c>
      <c r="AF1367" t="s">
        <v>142</v>
      </c>
      <c r="AG1367" t="s">
        <v>116</v>
      </c>
      <c r="AK1367" t="str">
        <f t="shared" si="141"/>
        <v/>
      </c>
      <c r="AL1367" t="s">
        <v>4421</v>
      </c>
      <c r="AM1367">
        <v>1</v>
      </c>
      <c r="AN1367">
        <v>1</v>
      </c>
      <c r="AO1367">
        <v>0</v>
      </c>
      <c r="AP1367">
        <v>1</v>
      </c>
      <c r="AQ1367">
        <v>1</v>
      </c>
      <c r="AR1367">
        <v>0</v>
      </c>
      <c r="AS1367">
        <v>0</v>
      </c>
      <c r="AT1367">
        <v>0</v>
      </c>
      <c r="AU1367">
        <v>0</v>
      </c>
      <c r="AV1367">
        <v>0</v>
      </c>
      <c r="AW1367">
        <v>0</v>
      </c>
      <c r="AX1367" s="24" t="str">
        <f t="shared" si="139"/>
        <v/>
      </c>
      <c r="AY1367" s="24">
        <f t="shared" si="139"/>
        <v>1</v>
      </c>
      <c r="AZ1367" s="24" t="str">
        <f t="shared" si="144"/>
        <v/>
      </c>
      <c r="BA1367" s="24" t="str">
        <f t="shared" si="144"/>
        <v/>
      </c>
      <c r="BB1367" s="24" t="str">
        <f t="shared" si="144"/>
        <v/>
      </c>
      <c r="BC1367" s="24" t="str">
        <f t="shared" si="144"/>
        <v/>
      </c>
      <c r="BD1367" s="24" t="str">
        <f t="shared" si="144"/>
        <v/>
      </c>
      <c r="BE1367" s="24" t="str">
        <f t="shared" si="144"/>
        <v/>
      </c>
      <c r="BF1367" s="24" t="str">
        <f t="shared" si="144"/>
        <v/>
      </c>
      <c r="BG1367" s="24" t="str">
        <f t="shared" si="144"/>
        <v/>
      </c>
      <c r="BH1367" s="24" t="str">
        <f t="shared" si="142"/>
        <v/>
      </c>
      <c r="BI1367" s="24">
        <f t="shared" si="144"/>
        <v>1</v>
      </c>
      <c r="BJ1367" s="24" t="str">
        <f t="shared" si="143"/>
        <v/>
      </c>
    </row>
    <row r="1368" spans="1:62" ht="15" customHeight="1" x14ac:dyDescent="0.25">
      <c r="A1368" t="str">
        <f>"1376605501"</f>
        <v>1376605501</v>
      </c>
      <c r="B1368" t="str">
        <f>"02665910"</f>
        <v>02665910</v>
      </c>
      <c r="C1368" t="s">
        <v>4199</v>
      </c>
      <c r="D1368" t="s">
        <v>4200</v>
      </c>
      <c r="E1368" t="s">
        <v>4201</v>
      </c>
      <c r="G1368" t="s">
        <v>4202</v>
      </c>
      <c r="H1368" t="s">
        <v>4203</v>
      </c>
      <c r="J1368" t="s">
        <v>4204</v>
      </c>
      <c r="L1368" t="s">
        <v>247</v>
      </c>
      <c r="M1368" t="s">
        <v>108</v>
      </c>
      <c r="R1368" t="s">
        <v>4205</v>
      </c>
      <c r="W1368" t="s">
        <v>4201</v>
      </c>
      <c r="X1368" t="s">
        <v>4206</v>
      </c>
      <c r="Y1368" t="s">
        <v>293</v>
      </c>
      <c r="Z1368" t="s">
        <v>111</v>
      </c>
      <c r="AA1368" t="str">
        <f>"14882-8823"</f>
        <v>14882-8823</v>
      </c>
      <c r="AB1368" t="s">
        <v>123</v>
      </c>
      <c r="AC1368" t="s">
        <v>113</v>
      </c>
      <c r="AD1368" t="s">
        <v>108</v>
      </c>
      <c r="AE1368" t="s">
        <v>114</v>
      </c>
      <c r="AF1368" t="s">
        <v>142</v>
      </c>
      <c r="AG1368" t="s">
        <v>116</v>
      </c>
      <c r="AK1368" t="str">
        <f t="shared" si="141"/>
        <v/>
      </c>
      <c r="AL1368" t="s">
        <v>4200</v>
      </c>
      <c r="AM1368">
        <v>1</v>
      </c>
      <c r="AN1368">
        <v>1</v>
      </c>
      <c r="AO1368">
        <v>0</v>
      </c>
      <c r="AP1368">
        <v>0</v>
      </c>
      <c r="AQ1368">
        <v>0</v>
      </c>
      <c r="AR1368">
        <v>0</v>
      </c>
      <c r="AS1368">
        <v>0</v>
      </c>
      <c r="AT1368">
        <v>0</v>
      </c>
      <c r="AU1368">
        <v>0</v>
      </c>
      <c r="AV1368">
        <v>0</v>
      </c>
      <c r="AW1368">
        <v>0</v>
      </c>
      <c r="AX1368" s="24" t="str">
        <f t="shared" si="139"/>
        <v/>
      </c>
      <c r="AY1368" s="24">
        <f t="shared" si="139"/>
        <v>1</v>
      </c>
      <c r="AZ1368" s="24" t="str">
        <f t="shared" si="144"/>
        <v/>
      </c>
      <c r="BA1368" s="24" t="str">
        <f t="shared" si="144"/>
        <v/>
      </c>
      <c r="BB1368" s="24" t="str">
        <f t="shared" si="144"/>
        <v/>
      </c>
      <c r="BC1368" s="24" t="str">
        <f t="shared" si="144"/>
        <v/>
      </c>
      <c r="BD1368" s="24" t="str">
        <f t="shared" si="144"/>
        <v/>
      </c>
      <c r="BE1368" s="24" t="str">
        <f t="shared" si="144"/>
        <v/>
      </c>
      <c r="BF1368" s="24" t="str">
        <f t="shared" si="144"/>
        <v/>
      </c>
      <c r="BG1368" s="24" t="str">
        <f t="shared" si="144"/>
        <v/>
      </c>
      <c r="BH1368" s="24" t="str">
        <f t="shared" si="142"/>
        <v/>
      </c>
      <c r="BI1368" s="24" t="str">
        <f t="shared" si="144"/>
        <v/>
      </c>
      <c r="BJ1368" s="24" t="str">
        <f t="shared" si="143"/>
        <v/>
      </c>
    </row>
    <row r="1369" spans="1:62" ht="15" customHeight="1" x14ac:dyDescent="0.25">
      <c r="A1369" t="str">
        <f>"1114907847"</f>
        <v>1114907847</v>
      </c>
      <c r="B1369" t="str">
        <f>"00535873"</f>
        <v>00535873</v>
      </c>
      <c r="C1369" t="s">
        <v>5577</v>
      </c>
      <c r="D1369" t="s">
        <v>5578</v>
      </c>
      <c r="E1369" t="s">
        <v>5579</v>
      </c>
      <c r="G1369" t="s">
        <v>5580</v>
      </c>
      <c r="H1369" t="s">
        <v>5581</v>
      </c>
      <c r="J1369" t="s">
        <v>5582</v>
      </c>
      <c r="L1369" t="s">
        <v>120</v>
      </c>
      <c r="M1369" t="s">
        <v>108</v>
      </c>
      <c r="R1369" t="s">
        <v>5583</v>
      </c>
      <c r="W1369" t="s">
        <v>5579</v>
      </c>
      <c r="X1369" t="s">
        <v>2571</v>
      </c>
      <c r="Y1369" t="s">
        <v>293</v>
      </c>
      <c r="Z1369" t="s">
        <v>111</v>
      </c>
      <c r="AA1369" t="str">
        <f>"14850-2017"</f>
        <v>14850-2017</v>
      </c>
      <c r="AB1369" t="s">
        <v>123</v>
      </c>
      <c r="AC1369" t="s">
        <v>113</v>
      </c>
      <c r="AD1369" t="s">
        <v>108</v>
      </c>
      <c r="AE1369" t="s">
        <v>114</v>
      </c>
      <c r="AF1369" t="s">
        <v>142</v>
      </c>
      <c r="AG1369" t="s">
        <v>116</v>
      </c>
      <c r="AK1369" t="str">
        <f t="shared" si="141"/>
        <v/>
      </c>
      <c r="AL1369" t="s">
        <v>5578</v>
      </c>
      <c r="AM1369">
        <v>0</v>
      </c>
      <c r="AN1369">
        <v>0</v>
      </c>
      <c r="AO1369">
        <v>0</v>
      </c>
      <c r="AP1369">
        <v>0</v>
      </c>
      <c r="AQ1369">
        <v>0</v>
      </c>
      <c r="AR1369">
        <v>0</v>
      </c>
      <c r="AS1369">
        <v>0</v>
      </c>
      <c r="AT1369">
        <v>0</v>
      </c>
      <c r="AU1369">
        <v>0</v>
      </c>
      <c r="AV1369">
        <v>0</v>
      </c>
      <c r="AW1369">
        <v>0</v>
      </c>
      <c r="AX1369" s="24">
        <f t="shared" si="139"/>
        <v>1</v>
      </c>
      <c r="AY1369" s="24" t="str">
        <f t="shared" si="139"/>
        <v/>
      </c>
      <c r="AZ1369" s="24" t="str">
        <f t="shared" si="144"/>
        <v/>
      </c>
      <c r="BA1369" s="24" t="str">
        <f t="shared" si="144"/>
        <v/>
      </c>
      <c r="BB1369" s="24" t="str">
        <f t="shared" si="144"/>
        <v/>
      </c>
      <c r="BC1369" s="24" t="str">
        <f t="shared" si="144"/>
        <v/>
      </c>
      <c r="BD1369" s="24" t="str">
        <f t="shared" si="144"/>
        <v/>
      </c>
      <c r="BE1369" s="24" t="str">
        <f t="shared" si="144"/>
        <v/>
      </c>
      <c r="BF1369" s="24" t="str">
        <f t="shared" si="144"/>
        <v/>
      </c>
      <c r="BG1369" s="24" t="str">
        <f t="shared" si="144"/>
        <v/>
      </c>
      <c r="BH1369" s="24" t="str">
        <f t="shared" si="142"/>
        <v/>
      </c>
      <c r="BI1369" s="24">
        <f t="shared" si="144"/>
        <v>1</v>
      </c>
      <c r="BJ1369" s="24" t="str">
        <f t="shared" si="143"/>
        <v/>
      </c>
    </row>
    <row r="1370" spans="1:62" ht="15" customHeight="1" x14ac:dyDescent="0.25">
      <c r="A1370" t="str">
        <f>"1285869834"</f>
        <v>1285869834</v>
      </c>
      <c r="B1370" t="str">
        <f>"03678159"</f>
        <v>03678159</v>
      </c>
      <c r="C1370" t="s">
        <v>4718</v>
      </c>
      <c r="D1370" t="s">
        <v>4719</v>
      </c>
      <c r="E1370" t="s">
        <v>4720</v>
      </c>
      <c r="G1370" t="s">
        <v>3154</v>
      </c>
      <c r="H1370" t="s">
        <v>3155</v>
      </c>
      <c r="J1370" t="s">
        <v>4721</v>
      </c>
      <c r="L1370" t="s">
        <v>120</v>
      </c>
      <c r="M1370" t="s">
        <v>108</v>
      </c>
      <c r="R1370" t="s">
        <v>4722</v>
      </c>
      <c r="W1370" t="s">
        <v>4720</v>
      </c>
      <c r="X1370" t="s">
        <v>3158</v>
      </c>
      <c r="Y1370" t="s">
        <v>293</v>
      </c>
      <c r="Z1370" t="s">
        <v>111</v>
      </c>
      <c r="AA1370" t="str">
        <f>"14850-1055"</f>
        <v>14850-1055</v>
      </c>
      <c r="AB1370" t="s">
        <v>123</v>
      </c>
      <c r="AC1370" t="s">
        <v>113</v>
      </c>
      <c r="AD1370" t="s">
        <v>108</v>
      </c>
      <c r="AE1370" t="s">
        <v>114</v>
      </c>
      <c r="AF1370" t="s">
        <v>142</v>
      </c>
      <c r="AG1370" t="s">
        <v>116</v>
      </c>
      <c r="AK1370" t="str">
        <f t="shared" si="141"/>
        <v/>
      </c>
      <c r="AL1370" t="s">
        <v>4719</v>
      </c>
      <c r="AM1370">
        <v>1</v>
      </c>
      <c r="AN1370">
        <v>1</v>
      </c>
      <c r="AO1370">
        <v>0</v>
      </c>
      <c r="AP1370">
        <v>0</v>
      </c>
      <c r="AQ1370">
        <v>0</v>
      </c>
      <c r="AR1370">
        <v>0</v>
      </c>
      <c r="AS1370">
        <v>0</v>
      </c>
      <c r="AT1370">
        <v>0</v>
      </c>
      <c r="AU1370">
        <v>0</v>
      </c>
      <c r="AV1370">
        <v>0</v>
      </c>
      <c r="AW1370">
        <v>0</v>
      </c>
      <c r="AX1370" s="24">
        <f t="shared" si="139"/>
        <v>1</v>
      </c>
      <c r="AY1370" s="24" t="str">
        <f t="shared" si="139"/>
        <v/>
      </c>
      <c r="AZ1370" s="24" t="str">
        <f t="shared" si="144"/>
        <v/>
      </c>
      <c r="BA1370" s="24" t="str">
        <f t="shared" si="144"/>
        <v/>
      </c>
      <c r="BB1370" s="24" t="str">
        <f t="shared" si="144"/>
        <v/>
      </c>
      <c r="BC1370" s="24" t="str">
        <f t="shared" si="144"/>
        <v/>
      </c>
      <c r="BD1370" s="24" t="str">
        <f t="shared" si="144"/>
        <v/>
      </c>
      <c r="BE1370" s="24" t="str">
        <f t="shared" si="144"/>
        <v/>
      </c>
      <c r="BF1370" s="24" t="str">
        <f t="shared" si="144"/>
        <v/>
      </c>
      <c r="BG1370" s="24" t="str">
        <f t="shared" si="144"/>
        <v/>
      </c>
      <c r="BH1370" s="24" t="str">
        <f t="shared" si="142"/>
        <v/>
      </c>
      <c r="BI1370" s="24">
        <f t="shared" si="144"/>
        <v>1</v>
      </c>
      <c r="BJ1370" s="24" t="str">
        <f t="shared" si="143"/>
        <v/>
      </c>
    </row>
    <row r="1371" spans="1:62" ht="15" customHeight="1" x14ac:dyDescent="0.25">
      <c r="C1371" t="s">
        <v>2965</v>
      </c>
      <c r="G1371" t="s">
        <v>2966</v>
      </c>
      <c r="H1371" t="s">
        <v>2967</v>
      </c>
      <c r="J1371" t="s">
        <v>2968</v>
      </c>
      <c r="K1371" t="s">
        <v>1597</v>
      </c>
      <c r="L1371" t="s">
        <v>781</v>
      </c>
      <c r="M1371" t="s">
        <v>108</v>
      </c>
      <c r="N1371" t="s">
        <v>2969</v>
      </c>
      <c r="O1371" t="s">
        <v>2970</v>
      </c>
      <c r="P1371" t="s">
        <v>1600</v>
      </c>
      <c r="Q1371" t="str">
        <f>"13827"</f>
        <v>13827</v>
      </c>
      <c r="AC1371" t="s">
        <v>113</v>
      </c>
      <c r="AD1371" t="s">
        <v>108</v>
      </c>
      <c r="AE1371" t="s">
        <v>784</v>
      </c>
      <c r="AF1371" t="s">
        <v>115</v>
      </c>
      <c r="AG1371" t="s">
        <v>116</v>
      </c>
      <c r="AK1371" t="str">
        <f t="shared" si="141"/>
        <v>Tioga County Council on Alcoholism and Substance Abuse</v>
      </c>
      <c r="AM1371" t="s">
        <v>108</v>
      </c>
      <c r="AN1371" t="s">
        <v>108</v>
      </c>
      <c r="AO1371" t="s">
        <v>108</v>
      </c>
      <c r="AP1371" t="s">
        <v>108</v>
      </c>
      <c r="AQ1371" t="s">
        <v>108</v>
      </c>
      <c r="AR1371" t="s">
        <v>108</v>
      </c>
      <c r="AS1371" t="s">
        <v>108</v>
      </c>
      <c r="AT1371" t="s">
        <v>108</v>
      </c>
      <c r="AU1371" t="s">
        <v>108</v>
      </c>
      <c r="AV1371" t="s">
        <v>108</v>
      </c>
      <c r="AW1371" t="s">
        <v>108</v>
      </c>
      <c r="AX1371" s="24" t="str">
        <f t="shared" si="139"/>
        <v/>
      </c>
      <c r="AY1371" s="24" t="str">
        <f t="shared" si="139"/>
        <v/>
      </c>
      <c r="AZ1371" s="24" t="str">
        <f t="shared" si="144"/>
        <v/>
      </c>
      <c r="BA1371" s="24" t="str">
        <f t="shared" si="144"/>
        <v/>
      </c>
      <c r="BB1371" s="24" t="str">
        <f t="shared" si="144"/>
        <v/>
      </c>
      <c r="BC1371" s="24" t="str">
        <f t="shared" si="144"/>
        <v/>
      </c>
      <c r="BD1371" s="24" t="str">
        <f t="shared" si="144"/>
        <v/>
      </c>
      <c r="BE1371" s="24" t="str">
        <f t="shared" si="144"/>
        <v/>
      </c>
      <c r="BF1371" s="24" t="str">
        <f t="shared" si="144"/>
        <v/>
      </c>
      <c r="BG1371" s="24" t="str">
        <f t="shared" si="144"/>
        <v/>
      </c>
      <c r="BH1371" s="24">
        <f t="shared" si="142"/>
        <v>1</v>
      </c>
      <c r="BI1371" s="24" t="str">
        <f t="shared" si="144"/>
        <v/>
      </c>
      <c r="BJ1371" s="24" t="str">
        <f t="shared" si="143"/>
        <v/>
      </c>
    </row>
    <row r="1372" spans="1:62" ht="15" customHeight="1" x14ac:dyDescent="0.25">
      <c r="C1372" t="s">
        <v>4492</v>
      </c>
      <c r="G1372" t="s">
        <v>4493</v>
      </c>
      <c r="H1372" t="s">
        <v>4494</v>
      </c>
      <c r="J1372" t="s">
        <v>4495</v>
      </c>
      <c r="K1372" t="s">
        <v>4496</v>
      </c>
      <c r="L1372" t="s">
        <v>781</v>
      </c>
      <c r="M1372" t="s">
        <v>108</v>
      </c>
      <c r="N1372" t="s">
        <v>4497</v>
      </c>
      <c r="O1372" t="s">
        <v>2970</v>
      </c>
      <c r="P1372" t="s">
        <v>111</v>
      </c>
      <c r="Q1372" t="str">
        <f>"13827"</f>
        <v>13827</v>
      </c>
      <c r="AC1372" t="s">
        <v>113</v>
      </c>
      <c r="AD1372" t="s">
        <v>108</v>
      </c>
      <c r="AE1372" t="s">
        <v>784</v>
      </c>
      <c r="AF1372" t="s">
        <v>115</v>
      </c>
      <c r="AG1372" t="s">
        <v>116</v>
      </c>
      <c r="AK1372" t="str">
        <f t="shared" si="141"/>
        <v>Tioga County Department of Social Services</v>
      </c>
      <c r="AM1372" t="s">
        <v>108</v>
      </c>
      <c r="AN1372" t="s">
        <v>108</v>
      </c>
      <c r="AO1372" t="s">
        <v>108</v>
      </c>
      <c r="AP1372" t="s">
        <v>108</v>
      </c>
      <c r="AQ1372" t="s">
        <v>108</v>
      </c>
      <c r="AR1372" t="s">
        <v>108</v>
      </c>
      <c r="AS1372" t="s">
        <v>108</v>
      </c>
      <c r="AT1372" t="s">
        <v>108</v>
      </c>
      <c r="AU1372" t="s">
        <v>108</v>
      </c>
      <c r="AV1372" t="s">
        <v>108</v>
      </c>
      <c r="AW1372" t="s">
        <v>108</v>
      </c>
      <c r="AX1372" s="24" t="str">
        <f t="shared" si="139"/>
        <v/>
      </c>
      <c r="AY1372" s="24" t="str">
        <f t="shared" si="139"/>
        <v/>
      </c>
      <c r="AZ1372" s="24" t="str">
        <f t="shared" si="144"/>
        <v/>
      </c>
      <c r="BA1372" s="24" t="str">
        <f t="shared" si="144"/>
        <v/>
      </c>
      <c r="BB1372" s="24" t="str">
        <f t="shared" si="144"/>
        <v/>
      </c>
      <c r="BC1372" s="24" t="str">
        <f t="shared" si="144"/>
        <v/>
      </c>
      <c r="BD1372" s="24" t="str">
        <f t="shared" si="144"/>
        <v/>
      </c>
      <c r="BE1372" s="24" t="str">
        <f t="shared" si="144"/>
        <v/>
      </c>
      <c r="BF1372" s="24" t="str">
        <f t="shared" si="144"/>
        <v/>
      </c>
      <c r="BG1372" s="24" t="str">
        <f t="shared" si="144"/>
        <v/>
      </c>
      <c r="BH1372" s="24">
        <f t="shared" si="142"/>
        <v>1</v>
      </c>
      <c r="BI1372" s="24" t="str">
        <f t="shared" si="144"/>
        <v/>
      </c>
      <c r="BJ1372" s="24" t="str">
        <f t="shared" si="143"/>
        <v/>
      </c>
    </row>
    <row r="1373" spans="1:62" x14ac:dyDescent="0.25">
      <c r="A1373" t="str">
        <f>"1174799290"</f>
        <v>1174799290</v>
      </c>
      <c r="B1373" t="str">
        <f>"00356285"</f>
        <v>00356285</v>
      </c>
      <c r="C1373" t="s">
        <v>5798</v>
      </c>
      <c r="D1373" t="s">
        <v>5799</v>
      </c>
      <c r="E1373" t="s">
        <v>5798</v>
      </c>
      <c r="G1373" t="s">
        <v>5800</v>
      </c>
      <c r="H1373" t="s">
        <v>5801</v>
      </c>
      <c r="J1373" t="s">
        <v>5802</v>
      </c>
      <c r="L1373" t="s">
        <v>695</v>
      </c>
      <c r="M1373" t="s">
        <v>139</v>
      </c>
      <c r="R1373" t="s">
        <v>5803</v>
      </c>
      <c r="W1373" t="s">
        <v>5798</v>
      </c>
      <c r="X1373" t="s">
        <v>5804</v>
      </c>
      <c r="Y1373" t="s">
        <v>281</v>
      </c>
      <c r="Z1373" t="s">
        <v>111</v>
      </c>
      <c r="AA1373" t="str">
        <f>"13827-1311"</f>
        <v>13827-1311</v>
      </c>
      <c r="AB1373" t="s">
        <v>282</v>
      </c>
      <c r="AC1373" t="s">
        <v>113</v>
      </c>
      <c r="AD1373" t="s">
        <v>108</v>
      </c>
      <c r="AE1373" t="s">
        <v>114</v>
      </c>
      <c r="AF1373" t="s">
        <v>115</v>
      </c>
      <c r="AG1373" t="s">
        <v>116</v>
      </c>
      <c r="AK1373" t="str">
        <f t="shared" si="141"/>
        <v/>
      </c>
      <c r="AL1373" t="s">
        <v>5799</v>
      </c>
      <c r="AM1373">
        <v>0</v>
      </c>
      <c r="AN1373">
        <v>0</v>
      </c>
      <c r="AO1373">
        <v>0</v>
      </c>
      <c r="AP1373">
        <v>0</v>
      </c>
      <c r="AQ1373">
        <v>0</v>
      </c>
      <c r="AR1373">
        <v>0</v>
      </c>
      <c r="AS1373">
        <v>0</v>
      </c>
      <c r="AT1373">
        <v>0</v>
      </c>
      <c r="AU1373">
        <v>0</v>
      </c>
      <c r="AV1373">
        <v>0</v>
      </c>
      <c r="AW1373">
        <v>0</v>
      </c>
      <c r="AX1373" s="24" t="str">
        <f t="shared" si="139"/>
        <v/>
      </c>
      <c r="AY1373" s="24" t="str">
        <f t="shared" si="139"/>
        <v/>
      </c>
      <c r="AZ1373" s="24" t="str">
        <f t="shared" si="144"/>
        <v/>
      </c>
      <c r="BA1373" s="24">
        <f t="shared" si="144"/>
        <v>1</v>
      </c>
      <c r="BB1373" s="24" t="str">
        <f t="shared" si="144"/>
        <v/>
      </c>
      <c r="BC1373" s="24" t="str">
        <f t="shared" si="144"/>
        <v/>
      </c>
      <c r="BD1373" s="24" t="str">
        <f t="shared" si="144"/>
        <v/>
      </c>
      <c r="BE1373" s="24" t="str">
        <f t="shared" si="144"/>
        <v/>
      </c>
      <c r="BF1373" s="24" t="str">
        <f t="shared" si="144"/>
        <v/>
      </c>
      <c r="BG1373" s="24" t="str">
        <f t="shared" si="144"/>
        <v/>
      </c>
      <c r="BH1373" s="24" t="str">
        <f t="shared" si="142"/>
        <v/>
      </c>
      <c r="BI1373" s="24">
        <f t="shared" si="144"/>
        <v>1</v>
      </c>
      <c r="BJ1373" s="24" t="str">
        <f t="shared" si="143"/>
        <v/>
      </c>
    </row>
    <row r="1374" spans="1:62" ht="15" customHeight="1" x14ac:dyDescent="0.25">
      <c r="C1374" t="s">
        <v>4780</v>
      </c>
      <c r="G1374" t="s">
        <v>4781</v>
      </c>
      <c r="H1374" t="s">
        <v>4782</v>
      </c>
      <c r="J1374" t="s">
        <v>4783</v>
      </c>
      <c r="K1374" t="s">
        <v>1590</v>
      </c>
      <c r="L1374" t="s">
        <v>781</v>
      </c>
      <c r="M1374" t="s">
        <v>108</v>
      </c>
      <c r="N1374" t="s">
        <v>4784</v>
      </c>
      <c r="O1374" t="s">
        <v>2970</v>
      </c>
      <c r="P1374" t="s">
        <v>111</v>
      </c>
      <c r="Q1374" t="str">
        <f>"13827"</f>
        <v>13827</v>
      </c>
      <c r="AC1374" t="s">
        <v>113</v>
      </c>
      <c r="AD1374" t="s">
        <v>108</v>
      </c>
      <c r="AE1374" t="s">
        <v>784</v>
      </c>
      <c r="AF1374" t="s">
        <v>115</v>
      </c>
      <c r="AG1374" t="s">
        <v>116</v>
      </c>
      <c r="AK1374" t="str">
        <f t="shared" si="141"/>
        <v>Tioga County Health Department</v>
      </c>
      <c r="AM1374" t="s">
        <v>108</v>
      </c>
      <c r="AN1374" t="s">
        <v>108</v>
      </c>
      <c r="AO1374" t="s">
        <v>108</v>
      </c>
      <c r="AP1374" t="s">
        <v>108</v>
      </c>
      <c r="AQ1374" t="s">
        <v>108</v>
      </c>
      <c r="AR1374" t="s">
        <v>108</v>
      </c>
      <c r="AS1374" t="s">
        <v>108</v>
      </c>
      <c r="AT1374" t="s">
        <v>108</v>
      </c>
      <c r="AU1374" t="s">
        <v>108</v>
      </c>
      <c r="AV1374" t="s">
        <v>108</v>
      </c>
      <c r="AW1374" t="s">
        <v>108</v>
      </c>
      <c r="AX1374" s="24" t="str">
        <f t="shared" si="139"/>
        <v/>
      </c>
      <c r="AY1374" s="24" t="str">
        <f t="shared" si="139"/>
        <v/>
      </c>
      <c r="AZ1374" s="24" t="str">
        <f t="shared" si="144"/>
        <v/>
      </c>
      <c r="BA1374" s="24" t="str">
        <f t="shared" si="144"/>
        <v/>
      </c>
      <c r="BB1374" s="24" t="str">
        <f t="shared" si="144"/>
        <v/>
      </c>
      <c r="BC1374" s="24" t="str">
        <f t="shared" si="144"/>
        <v/>
      </c>
      <c r="BD1374" s="24" t="str">
        <f t="shared" si="144"/>
        <v/>
      </c>
      <c r="BE1374" s="24" t="str">
        <f t="shared" si="144"/>
        <v/>
      </c>
      <c r="BF1374" s="24" t="str">
        <f t="shared" si="144"/>
        <v/>
      </c>
      <c r="BG1374" s="24" t="str">
        <f t="shared" si="144"/>
        <v/>
      </c>
      <c r="BH1374" s="24">
        <f t="shared" si="142"/>
        <v>1</v>
      </c>
      <c r="BI1374" s="24" t="str">
        <f t="shared" si="144"/>
        <v/>
      </c>
      <c r="BJ1374" s="24" t="str">
        <f t="shared" si="143"/>
        <v/>
      </c>
    </row>
    <row r="1375" spans="1:62" ht="15" customHeight="1" x14ac:dyDescent="0.25">
      <c r="A1375" t="str">
        <f>"1124099700"</f>
        <v>1124099700</v>
      </c>
      <c r="B1375" t="str">
        <f>"00618162"</f>
        <v>00618162</v>
      </c>
      <c r="C1375" t="s">
        <v>272</v>
      </c>
      <c r="D1375" t="s">
        <v>273</v>
      </c>
      <c r="E1375" t="s">
        <v>274</v>
      </c>
      <c r="G1375" t="s">
        <v>275</v>
      </c>
      <c r="H1375" t="s">
        <v>276</v>
      </c>
      <c r="J1375" t="s">
        <v>277</v>
      </c>
      <c r="L1375" t="s">
        <v>616</v>
      </c>
      <c r="M1375" t="s">
        <v>139</v>
      </c>
      <c r="R1375" t="s">
        <v>279</v>
      </c>
      <c r="W1375" t="s">
        <v>274</v>
      </c>
      <c r="X1375" t="s">
        <v>280</v>
      </c>
      <c r="Y1375" t="s">
        <v>281</v>
      </c>
      <c r="Z1375" t="s">
        <v>111</v>
      </c>
      <c r="AA1375" t="str">
        <f>"13827-0177"</f>
        <v>13827-0177</v>
      </c>
      <c r="AB1375" t="s">
        <v>282</v>
      </c>
      <c r="AC1375" t="s">
        <v>113</v>
      </c>
      <c r="AD1375" t="s">
        <v>108</v>
      </c>
      <c r="AE1375" t="s">
        <v>114</v>
      </c>
      <c r="AF1375" t="s">
        <v>115</v>
      </c>
      <c r="AG1375" t="s">
        <v>116</v>
      </c>
      <c r="AK1375" t="str">
        <f t="shared" si="141"/>
        <v/>
      </c>
      <c r="AL1375" t="s">
        <v>273</v>
      </c>
      <c r="AM1375">
        <v>0</v>
      </c>
      <c r="AN1375">
        <v>0</v>
      </c>
      <c r="AO1375">
        <v>0</v>
      </c>
      <c r="AP1375">
        <v>0</v>
      </c>
      <c r="AQ1375">
        <v>0</v>
      </c>
      <c r="AR1375">
        <v>0</v>
      </c>
      <c r="AS1375">
        <v>0</v>
      </c>
      <c r="AT1375">
        <v>0</v>
      </c>
      <c r="AU1375">
        <v>0</v>
      </c>
      <c r="AV1375">
        <v>0</v>
      </c>
      <c r="AW1375">
        <v>0</v>
      </c>
      <c r="AX1375" s="24" t="str">
        <f t="shared" si="139"/>
        <v/>
      </c>
      <c r="AY1375" s="24" t="str">
        <f t="shared" si="139"/>
        <v/>
      </c>
      <c r="AZ1375" s="24" t="str">
        <f t="shared" si="144"/>
        <v/>
      </c>
      <c r="BA1375" s="24" t="str">
        <f t="shared" si="144"/>
        <v/>
      </c>
      <c r="BB1375" s="24" t="str">
        <f t="shared" si="144"/>
        <v/>
      </c>
      <c r="BC1375" s="24">
        <f t="shared" si="144"/>
        <v>1</v>
      </c>
      <c r="BD1375" s="24">
        <f t="shared" si="144"/>
        <v>1</v>
      </c>
      <c r="BE1375" s="24" t="str">
        <f t="shared" si="144"/>
        <v/>
      </c>
      <c r="BF1375" s="24" t="str">
        <f t="shared" si="144"/>
        <v/>
      </c>
      <c r="BG1375" s="24" t="str">
        <f t="shared" si="144"/>
        <v/>
      </c>
      <c r="BH1375" s="24" t="str">
        <f t="shared" si="142"/>
        <v/>
      </c>
      <c r="BI1375" s="24">
        <f t="shared" si="144"/>
        <v>1</v>
      </c>
      <c r="BJ1375" s="24" t="str">
        <f t="shared" si="143"/>
        <v/>
      </c>
    </row>
    <row r="1376" spans="1:62" ht="15" customHeight="1" x14ac:dyDescent="0.25">
      <c r="A1376" t="str">
        <f>"1205031499"</f>
        <v>1205031499</v>
      </c>
      <c r="B1376" t="str">
        <f>"00988270"</f>
        <v>00988270</v>
      </c>
      <c r="C1376" t="s">
        <v>272</v>
      </c>
      <c r="D1376" t="s">
        <v>4826</v>
      </c>
      <c r="E1376" t="s">
        <v>4827</v>
      </c>
      <c r="G1376" t="s">
        <v>275</v>
      </c>
      <c r="H1376" t="s">
        <v>276</v>
      </c>
      <c r="J1376" t="s">
        <v>277</v>
      </c>
      <c r="L1376" t="s">
        <v>616</v>
      </c>
      <c r="M1376" t="s">
        <v>139</v>
      </c>
      <c r="R1376" t="s">
        <v>279</v>
      </c>
      <c r="W1376" t="s">
        <v>4827</v>
      </c>
      <c r="X1376" t="s">
        <v>4828</v>
      </c>
      <c r="Y1376" t="s">
        <v>281</v>
      </c>
      <c r="Z1376" t="s">
        <v>111</v>
      </c>
      <c r="AA1376" t="str">
        <f>"13827-0177"</f>
        <v>13827-0177</v>
      </c>
      <c r="AB1376" t="s">
        <v>282</v>
      </c>
      <c r="AC1376" t="s">
        <v>113</v>
      </c>
      <c r="AD1376" t="s">
        <v>108</v>
      </c>
      <c r="AE1376" t="s">
        <v>114</v>
      </c>
      <c r="AF1376" t="s">
        <v>115</v>
      </c>
      <c r="AG1376" t="s">
        <v>116</v>
      </c>
      <c r="AK1376" t="str">
        <f t="shared" si="141"/>
        <v/>
      </c>
      <c r="AL1376" t="s">
        <v>4826</v>
      </c>
      <c r="AM1376">
        <v>0</v>
      </c>
      <c r="AN1376">
        <v>0</v>
      </c>
      <c r="AO1376">
        <v>0</v>
      </c>
      <c r="AP1376">
        <v>0</v>
      </c>
      <c r="AQ1376">
        <v>0</v>
      </c>
      <c r="AR1376">
        <v>0</v>
      </c>
      <c r="AS1376">
        <v>0</v>
      </c>
      <c r="AT1376">
        <v>0</v>
      </c>
      <c r="AU1376">
        <v>0</v>
      </c>
      <c r="AV1376">
        <v>0</v>
      </c>
      <c r="AW1376">
        <v>0</v>
      </c>
      <c r="AX1376" s="24" t="str">
        <f t="shared" si="139"/>
        <v/>
      </c>
      <c r="AY1376" s="24" t="str">
        <f t="shared" si="139"/>
        <v/>
      </c>
      <c r="AZ1376" s="24" t="str">
        <f t="shared" si="144"/>
        <v/>
      </c>
      <c r="BA1376" s="24" t="str">
        <f t="shared" si="144"/>
        <v/>
      </c>
      <c r="BB1376" s="24" t="str">
        <f t="shared" si="144"/>
        <v/>
      </c>
      <c r="BC1376" s="24">
        <f t="shared" si="144"/>
        <v>1</v>
      </c>
      <c r="BD1376" s="24">
        <f t="shared" si="144"/>
        <v>1</v>
      </c>
      <c r="BE1376" s="24" t="str">
        <f t="shared" si="144"/>
        <v/>
      </c>
      <c r="BF1376" s="24" t="str">
        <f t="shared" si="144"/>
        <v/>
      </c>
      <c r="BG1376" s="24" t="str">
        <f t="shared" si="144"/>
        <v/>
      </c>
      <c r="BH1376" s="24" t="str">
        <f t="shared" si="142"/>
        <v/>
      </c>
      <c r="BI1376" s="24">
        <f t="shared" si="144"/>
        <v>1</v>
      </c>
      <c r="BJ1376" s="24" t="str">
        <f t="shared" si="143"/>
        <v/>
      </c>
    </row>
    <row r="1377" spans="1:62" ht="15" customHeight="1" x14ac:dyDescent="0.25">
      <c r="A1377" t="str">
        <f>"1063593630"</f>
        <v>1063593630</v>
      </c>
      <c r="B1377" t="str">
        <f>"00851510"</f>
        <v>00851510</v>
      </c>
      <c r="C1377" t="s">
        <v>1243</v>
      </c>
      <c r="D1377" t="s">
        <v>1244</v>
      </c>
      <c r="E1377" t="s">
        <v>1245</v>
      </c>
      <c r="L1377" t="s">
        <v>138</v>
      </c>
      <c r="M1377" t="s">
        <v>108</v>
      </c>
      <c r="R1377" t="s">
        <v>1243</v>
      </c>
      <c r="W1377" t="s">
        <v>1245</v>
      </c>
      <c r="X1377" t="s">
        <v>1246</v>
      </c>
      <c r="Y1377" t="s">
        <v>122</v>
      </c>
      <c r="Z1377" t="s">
        <v>111</v>
      </c>
      <c r="AA1377" t="str">
        <f>"13815-1741"</f>
        <v>13815-1741</v>
      </c>
      <c r="AB1377" t="s">
        <v>609</v>
      </c>
      <c r="AC1377" t="s">
        <v>113</v>
      </c>
      <c r="AD1377" t="s">
        <v>108</v>
      </c>
      <c r="AE1377" t="s">
        <v>114</v>
      </c>
      <c r="AF1377" t="s">
        <v>124</v>
      </c>
      <c r="AG1377" t="s">
        <v>116</v>
      </c>
      <c r="AK1377" t="str">
        <f t="shared" si="141"/>
        <v/>
      </c>
      <c r="AL1377" t="s">
        <v>1244</v>
      </c>
      <c r="AM1377">
        <v>1</v>
      </c>
      <c r="AN1377">
        <v>1</v>
      </c>
      <c r="AO1377">
        <v>0</v>
      </c>
      <c r="AP1377">
        <v>1</v>
      </c>
      <c r="AQ1377">
        <v>1</v>
      </c>
      <c r="AR1377">
        <v>0</v>
      </c>
      <c r="AS1377">
        <v>0</v>
      </c>
      <c r="AT1377">
        <v>0</v>
      </c>
      <c r="AU1377">
        <v>0</v>
      </c>
      <c r="AV1377">
        <v>0</v>
      </c>
      <c r="AW1377">
        <v>0</v>
      </c>
      <c r="AX1377" s="24" t="str">
        <f t="shared" si="139"/>
        <v/>
      </c>
      <c r="AY1377" s="24">
        <f t="shared" si="139"/>
        <v>1</v>
      </c>
      <c r="AZ1377" s="24" t="str">
        <f t="shared" si="144"/>
        <v/>
      </c>
      <c r="BA1377" s="24" t="str">
        <f t="shared" si="144"/>
        <v/>
      </c>
      <c r="BB1377" s="24" t="str">
        <f t="shared" si="144"/>
        <v/>
      </c>
      <c r="BC1377" s="24" t="str">
        <f t="shared" si="144"/>
        <v/>
      </c>
      <c r="BD1377" s="24" t="str">
        <f t="shared" si="144"/>
        <v/>
      </c>
      <c r="BE1377" s="24" t="str">
        <f t="shared" si="144"/>
        <v/>
      </c>
      <c r="BF1377" s="24" t="str">
        <f t="shared" si="144"/>
        <v/>
      </c>
      <c r="BG1377" s="24" t="str">
        <f t="shared" si="144"/>
        <v/>
      </c>
      <c r="BH1377" s="24" t="str">
        <f t="shared" si="142"/>
        <v/>
      </c>
      <c r="BI1377" s="24">
        <f t="shared" si="144"/>
        <v>1</v>
      </c>
      <c r="BJ1377" s="24" t="str">
        <f t="shared" si="143"/>
        <v/>
      </c>
    </row>
    <row r="1378" spans="1:62" ht="15" customHeight="1" x14ac:dyDescent="0.25">
      <c r="A1378" t="str">
        <f>"1174625651"</f>
        <v>1174625651</v>
      </c>
      <c r="B1378" t="str">
        <f>"02984027"</f>
        <v>02984027</v>
      </c>
      <c r="C1378" t="s">
        <v>6024</v>
      </c>
      <c r="D1378" t="s">
        <v>6025</v>
      </c>
      <c r="E1378" t="s">
        <v>6026</v>
      </c>
      <c r="G1378" t="s">
        <v>815</v>
      </c>
      <c r="H1378" t="s">
        <v>816</v>
      </c>
      <c r="J1378" t="s">
        <v>817</v>
      </c>
      <c r="L1378" t="s">
        <v>138</v>
      </c>
      <c r="M1378" t="s">
        <v>108</v>
      </c>
      <c r="R1378" t="s">
        <v>6027</v>
      </c>
      <c r="W1378" t="s">
        <v>6028</v>
      </c>
      <c r="X1378" t="s">
        <v>1811</v>
      </c>
      <c r="Y1378" t="s">
        <v>110</v>
      </c>
      <c r="Z1378" t="s">
        <v>111</v>
      </c>
      <c r="AA1378" t="str">
        <f>"13905-4112"</f>
        <v>13905-4112</v>
      </c>
      <c r="AB1378" t="s">
        <v>123</v>
      </c>
      <c r="AC1378" t="s">
        <v>113</v>
      </c>
      <c r="AD1378" t="s">
        <v>108</v>
      </c>
      <c r="AE1378" t="s">
        <v>114</v>
      </c>
      <c r="AF1378" t="s">
        <v>115</v>
      </c>
      <c r="AG1378" t="s">
        <v>116</v>
      </c>
      <c r="AK1378" t="str">
        <f t="shared" si="141"/>
        <v>Todd V. Prier, MD</v>
      </c>
      <c r="AL1378" t="s">
        <v>6025</v>
      </c>
      <c r="AM1378" t="s">
        <v>108</v>
      </c>
      <c r="AN1378" t="s">
        <v>108</v>
      </c>
      <c r="AO1378" t="s">
        <v>108</v>
      </c>
      <c r="AP1378" t="s">
        <v>108</v>
      </c>
      <c r="AQ1378" t="s">
        <v>108</v>
      </c>
      <c r="AR1378" t="s">
        <v>108</v>
      </c>
      <c r="AS1378" t="s">
        <v>108</v>
      </c>
      <c r="AT1378" t="s">
        <v>108</v>
      </c>
      <c r="AU1378" t="s">
        <v>108</v>
      </c>
      <c r="AV1378" t="s">
        <v>108</v>
      </c>
      <c r="AW1378" t="s">
        <v>108</v>
      </c>
      <c r="AX1378" s="24" t="str">
        <f t="shared" si="139"/>
        <v/>
      </c>
      <c r="AY1378" s="24">
        <f t="shared" si="139"/>
        <v>1</v>
      </c>
      <c r="AZ1378" s="24" t="str">
        <f t="shared" si="144"/>
        <v/>
      </c>
      <c r="BA1378" s="24" t="str">
        <f t="shared" si="144"/>
        <v/>
      </c>
      <c r="BB1378" s="24" t="str">
        <f t="shared" si="144"/>
        <v/>
      </c>
      <c r="BC1378" s="24" t="str">
        <f t="shared" si="144"/>
        <v/>
      </c>
      <c r="BD1378" s="24" t="str">
        <f t="shared" si="144"/>
        <v/>
      </c>
      <c r="BE1378" s="24" t="str">
        <f t="shared" si="144"/>
        <v/>
      </c>
      <c r="BF1378" s="24" t="str">
        <f t="shared" si="144"/>
        <v/>
      </c>
      <c r="BG1378" s="24" t="str">
        <f t="shared" si="144"/>
        <v/>
      </c>
      <c r="BH1378" s="24" t="str">
        <f t="shared" si="142"/>
        <v/>
      </c>
      <c r="BI1378" s="24">
        <f t="shared" si="144"/>
        <v>1</v>
      </c>
      <c r="BJ1378" s="24" t="str">
        <f t="shared" si="143"/>
        <v/>
      </c>
    </row>
    <row r="1379" spans="1:62" ht="15" customHeight="1" x14ac:dyDescent="0.25">
      <c r="A1379" t="str">
        <f>"1083049191"</f>
        <v>1083049191</v>
      </c>
      <c r="B1379" t="str">
        <f>"03807572"</f>
        <v>03807572</v>
      </c>
      <c r="C1379" t="s">
        <v>6862</v>
      </c>
      <c r="D1379" t="s">
        <v>7157</v>
      </c>
      <c r="E1379" t="s">
        <v>7158</v>
      </c>
      <c r="G1379" t="s">
        <v>6330</v>
      </c>
      <c r="H1379" t="s">
        <v>6331</v>
      </c>
      <c r="J1379" t="s">
        <v>6332</v>
      </c>
      <c r="L1379" t="s">
        <v>138</v>
      </c>
      <c r="M1379" t="s">
        <v>108</v>
      </c>
      <c r="R1379" t="s">
        <v>6862</v>
      </c>
      <c r="W1379" t="s">
        <v>7018</v>
      </c>
      <c r="X1379" t="s">
        <v>5987</v>
      </c>
      <c r="Y1379" t="s">
        <v>321</v>
      </c>
      <c r="Z1379" t="s">
        <v>111</v>
      </c>
      <c r="AA1379" t="str">
        <f>"13760-4925"</f>
        <v>13760-4925</v>
      </c>
      <c r="AB1379" t="s">
        <v>123</v>
      </c>
      <c r="AC1379" t="s">
        <v>113</v>
      </c>
      <c r="AD1379" t="s">
        <v>108</v>
      </c>
      <c r="AE1379" t="s">
        <v>114</v>
      </c>
      <c r="AF1379" t="s">
        <v>115</v>
      </c>
      <c r="AG1379" t="s">
        <v>116</v>
      </c>
      <c r="AK1379" t="str">
        <f t="shared" si="141"/>
        <v>TOKOS ERICA</v>
      </c>
      <c r="AL1379" t="s">
        <v>7157</v>
      </c>
      <c r="AM1379" t="s">
        <v>108</v>
      </c>
      <c r="AN1379" t="s">
        <v>108</v>
      </c>
      <c r="AO1379" t="s">
        <v>108</v>
      </c>
      <c r="AP1379" t="s">
        <v>108</v>
      </c>
      <c r="AQ1379" t="s">
        <v>108</v>
      </c>
      <c r="AR1379" t="s">
        <v>108</v>
      </c>
      <c r="AS1379" t="s">
        <v>108</v>
      </c>
      <c r="AT1379" t="s">
        <v>108</v>
      </c>
      <c r="AU1379" t="s">
        <v>108</v>
      </c>
      <c r="AV1379" t="s">
        <v>108</v>
      </c>
      <c r="AW1379" t="s">
        <v>108</v>
      </c>
      <c r="AX1379" s="24" t="str">
        <f t="shared" si="139"/>
        <v/>
      </c>
      <c r="AY1379" s="24">
        <f t="shared" si="139"/>
        <v>1</v>
      </c>
      <c r="AZ1379" s="24" t="str">
        <f t="shared" si="144"/>
        <v/>
      </c>
      <c r="BA1379" s="24" t="str">
        <f t="shared" si="144"/>
        <v/>
      </c>
      <c r="BB1379" s="24" t="str">
        <f t="shared" si="144"/>
        <v/>
      </c>
      <c r="BC1379" s="24" t="str">
        <f t="shared" si="144"/>
        <v/>
      </c>
      <c r="BD1379" s="24" t="str">
        <f t="shared" si="144"/>
        <v/>
      </c>
      <c r="BE1379" s="24" t="str">
        <f t="shared" si="144"/>
        <v/>
      </c>
      <c r="BF1379" s="24" t="str">
        <f t="shared" si="144"/>
        <v/>
      </c>
      <c r="BG1379" s="24" t="str">
        <f t="shared" si="144"/>
        <v/>
      </c>
      <c r="BH1379" s="24" t="str">
        <f t="shared" si="142"/>
        <v/>
      </c>
      <c r="BI1379" s="24">
        <f t="shared" si="144"/>
        <v>1</v>
      </c>
      <c r="BJ1379" s="24" t="str">
        <f t="shared" si="143"/>
        <v/>
      </c>
    </row>
    <row r="1380" spans="1:62" ht="15" customHeight="1" x14ac:dyDescent="0.25">
      <c r="A1380" t="str">
        <f>"1669447447"</f>
        <v>1669447447</v>
      </c>
      <c r="B1380" t="str">
        <f>"00725966"</f>
        <v>00725966</v>
      </c>
      <c r="C1380" t="s">
        <v>214</v>
      </c>
      <c r="D1380" t="s">
        <v>215</v>
      </c>
      <c r="E1380" t="s">
        <v>216</v>
      </c>
      <c r="G1380" t="s">
        <v>177</v>
      </c>
      <c r="H1380" t="s">
        <v>178</v>
      </c>
      <c r="J1380" t="s">
        <v>179</v>
      </c>
      <c r="L1380" t="s">
        <v>6867</v>
      </c>
      <c r="M1380" t="s">
        <v>108</v>
      </c>
      <c r="R1380" t="s">
        <v>214</v>
      </c>
      <c r="W1380" t="s">
        <v>216</v>
      </c>
      <c r="X1380" t="s">
        <v>186</v>
      </c>
      <c r="Y1380" t="s">
        <v>181</v>
      </c>
      <c r="Z1380" t="s">
        <v>182</v>
      </c>
      <c r="AA1380" t="str">
        <f>"18840"</f>
        <v>18840</v>
      </c>
      <c r="AB1380" t="s">
        <v>123</v>
      </c>
      <c r="AC1380" t="s">
        <v>113</v>
      </c>
      <c r="AD1380" t="s">
        <v>108</v>
      </c>
      <c r="AE1380" t="s">
        <v>114</v>
      </c>
      <c r="AF1380" t="s">
        <v>115</v>
      </c>
      <c r="AG1380" t="s">
        <v>116</v>
      </c>
      <c r="AK1380" t="str">
        <f t="shared" si="141"/>
        <v/>
      </c>
      <c r="AL1380" t="s">
        <v>215</v>
      </c>
      <c r="AM1380">
        <v>0</v>
      </c>
      <c r="AN1380">
        <v>0</v>
      </c>
      <c r="AO1380">
        <v>0</v>
      </c>
      <c r="AP1380">
        <v>0</v>
      </c>
      <c r="AQ1380">
        <v>0</v>
      </c>
      <c r="AR1380">
        <v>0</v>
      </c>
      <c r="AS1380">
        <v>0</v>
      </c>
      <c r="AT1380">
        <v>0</v>
      </c>
      <c r="AU1380">
        <v>0</v>
      </c>
      <c r="AV1380">
        <v>0</v>
      </c>
      <c r="AW1380">
        <v>0</v>
      </c>
      <c r="AX1380" s="24">
        <f t="shared" si="139"/>
        <v>1</v>
      </c>
      <c r="AY1380" s="24">
        <f t="shared" si="139"/>
        <v>1</v>
      </c>
      <c r="AZ1380" s="24" t="str">
        <f t="shared" si="144"/>
        <v/>
      </c>
      <c r="BA1380" s="24" t="str">
        <f t="shared" si="144"/>
        <v/>
      </c>
      <c r="BB1380" s="24" t="str">
        <f t="shared" si="144"/>
        <v/>
      </c>
      <c r="BC1380" s="24" t="str">
        <f t="shared" si="144"/>
        <v/>
      </c>
      <c r="BD1380" s="24" t="str">
        <f t="shared" si="144"/>
        <v/>
      </c>
      <c r="BE1380" s="24" t="str">
        <f t="shared" si="144"/>
        <v/>
      </c>
      <c r="BF1380" s="24" t="str">
        <f t="shared" si="144"/>
        <v/>
      </c>
      <c r="BG1380" s="24" t="str">
        <f t="shared" si="144"/>
        <v/>
      </c>
      <c r="BH1380" s="24" t="str">
        <f t="shared" si="142"/>
        <v/>
      </c>
      <c r="BI1380" s="24">
        <f t="shared" si="144"/>
        <v>1</v>
      </c>
      <c r="BJ1380" s="24" t="str">
        <f t="shared" si="143"/>
        <v/>
      </c>
    </row>
    <row r="1381" spans="1:62" ht="15" customHeight="1" x14ac:dyDescent="0.25">
      <c r="C1381" t="s">
        <v>5213</v>
      </c>
      <c r="G1381" t="s">
        <v>5214</v>
      </c>
      <c r="H1381" t="s">
        <v>5215</v>
      </c>
      <c r="K1381" t="s">
        <v>1289</v>
      </c>
      <c r="L1381" t="s">
        <v>781</v>
      </c>
      <c r="M1381" t="s">
        <v>108</v>
      </c>
      <c r="N1381" t="s">
        <v>5216</v>
      </c>
      <c r="O1381" t="s">
        <v>1088</v>
      </c>
      <c r="P1381" t="s">
        <v>111</v>
      </c>
      <c r="Q1381" t="str">
        <f>"14850"</f>
        <v>14850</v>
      </c>
      <c r="AC1381" t="s">
        <v>113</v>
      </c>
      <c r="AD1381" t="s">
        <v>108</v>
      </c>
      <c r="AE1381" t="s">
        <v>784</v>
      </c>
      <c r="AF1381" t="s">
        <v>142</v>
      </c>
      <c r="AG1381" t="s">
        <v>116</v>
      </c>
      <c r="AK1381" t="str">
        <f t="shared" si="141"/>
        <v>Tompkins Community Action</v>
      </c>
      <c r="AM1381" t="s">
        <v>108</v>
      </c>
      <c r="AN1381" t="s">
        <v>108</v>
      </c>
      <c r="AO1381" t="s">
        <v>108</v>
      </c>
      <c r="AP1381" t="s">
        <v>108</v>
      </c>
      <c r="AQ1381" t="s">
        <v>108</v>
      </c>
      <c r="AR1381" t="s">
        <v>108</v>
      </c>
      <c r="AS1381" t="s">
        <v>108</v>
      </c>
      <c r="AT1381" t="s">
        <v>108</v>
      </c>
      <c r="AU1381" t="s">
        <v>108</v>
      </c>
      <c r="AV1381" t="s">
        <v>108</v>
      </c>
      <c r="AW1381" t="s">
        <v>108</v>
      </c>
      <c r="AX1381" s="24" t="str">
        <f t="shared" si="139"/>
        <v/>
      </c>
      <c r="AY1381" s="24" t="str">
        <f t="shared" si="139"/>
        <v/>
      </c>
      <c r="AZ1381" s="24" t="str">
        <f t="shared" si="144"/>
        <v/>
      </c>
      <c r="BA1381" s="24" t="str">
        <f t="shared" si="144"/>
        <v/>
      </c>
      <c r="BB1381" s="24" t="str">
        <f t="shared" si="144"/>
        <v/>
      </c>
      <c r="BC1381" s="24" t="str">
        <f t="shared" si="144"/>
        <v/>
      </c>
      <c r="BD1381" s="24" t="str">
        <f t="shared" si="144"/>
        <v/>
      </c>
      <c r="BE1381" s="24" t="str">
        <f t="shared" si="144"/>
        <v/>
      </c>
      <c r="BF1381" s="24" t="str">
        <f t="shared" si="144"/>
        <v/>
      </c>
      <c r="BG1381" s="24" t="str">
        <f t="shared" si="144"/>
        <v/>
      </c>
      <c r="BH1381" s="24">
        <f t="shared" si="142"/>
        <v>1</v>
      </c>
      <c r="BI1381" s="24" t="str">
        <f t="shared" si="144"/>
        <v/>
      </c>
      <c r="BJ1381" s="24" t="str">
        <f t="shared" si="143"/>
        <v/>
      </c>
    </row>
    <row r="1382" spans="1:62" ht="15" customHeight="1" x14ac:dyDescent="0.25">
      <c r="A1382" t="str">
        <f>"1023166691"</f>
        <v>1023166691</v>
      </c>
      <c r="B1382" t="str">
        <f>"00356276"</f>
        <v>00356276</v>
      </c>
      <c r="C1382" t="s">
        <v>4745</v>
      </c>
      <c r="D1382" t="s">
        <v>4746</v>
      </c>
      <c r="E1382" t="s">
        <v>4747</v>
      </c>
      <c r="G1382" t="s">
        <v>4748</v>
      </c>
      <c r="H1382" t="s">
        <v>4749</v>
      </c>
      <c r="J1382" t="s">
        <v>4750</v>
      </c>
      <c r="L1382" t="s">
        <v>690</v>
      </c>
      <c r="M1382" t="s">
        <v>108</v>
      </c>
      <c r="R1382" t="s">
        <v>4751</v>
      </c>
      <c r="W1382" t="s">
        <v>4747</v>
      </c>
      <c r="X1382" t="s">
        <v>4752</v>
      </c>
      <c r="Y1382" t="s">
        <v>293</v>
      </c>
      <c r="Z1382" t="s">
        <v>111</v>
      </c>
      <c r="AA1382" t="str">
        <f>"14850-1247"</f>
        <v>14850-1247</v>
      </c>
      <c r="AB1382" t="s">
        <v>165</v>
      </c>
      <c r="AC1382" t="s">
        <v>113</v>
      </c>
      <c r="AD1382" t="s">
        <v>108</v>
      </c>
      <c r="AE1382" t="s">
        <v>114</v>
      </c>
      <c r="AF1382" t="s">
        <v>142</v>
      </c>
      <c r="AG1382" t="s">
        <v>116</v>
      </c>
      <c r="AK1382" t="str">
        <f t="shared" si="141"/>
        <v/>
      </c>
      <c r="AL1382" t="s">
        <v>4746</v>
      </c>
      <c r="AM1382">
        <v>0</v>
      </c>
      <c r="AN1382">
        <v>0</v>
      </c>
      <c r="AO1382">
        <v>0</v>
      </c>
      <c r="AP1382">
        <v>0</v>
      </c>
      <c r="AQ1382">
        <v>0</v>
      </c>
      <c r="AR1382">
        <v>0</v>
      </c>
      <c r="AS1382">
        <v>0</v>
      </c>
      <c r="AT1382">
        <v>0</v>
      </c>
      <c r="AU1382">
        <v>0</v>
      </c>
      <c r="AV1382">
        <v>0</v>
      </c>
      <c r="AW1382">
        <v>0</v>
      </c>
      <c r="AX1382" s="24" t="str">
        <f t="shared" si="139"/>
        <v/>
      </c>
      <c r="AY1382" s="24" t="str">
        <f t="shared" si="139"/>
        <v/>
      </c>
      <c r="AZ1382" s="24" t="str">
        <f t="shared" si="144"/>
        <v/>
      </c>
      <c r="BA1382" s="24" t="str">
        <f t="shared" si="144"/>
        <v/>
      </c>
      <c r="BB1382" s="24">
        <f t="shared" si="144"/>
        <v>1</v>
      </c>
      <c r="BC1382" s="24" t="str">
        <f t="shared" si="144"/>
        <v/>
      </c>
      <c r="BD1382" s="24" t="str">
        <f t="shared" si="144"/>
        <v/>
      </c>
      <c r="BE1382" s="24" t="str">
        <f t="shared" si="144"/>
        <v/>
      </c>
      <c r="BF1382" s="24" t="str">
        <f t="shared" si="144"/>
        <v/>
      </c>
      <c r="BG1382" s="24" t="str">
        <f t="shared" si="144"/>
        <v/>
      </c>
      <c r="BH1382" s="24" t="str">
        <f t="shared" si="142"/>
        <v/>
      </c>
      <c r="BI1382" s="24">
        <f t="shared" si="144"/>
        <v>1</v>
      </c>
      <c r="BJ1382" s="24" t="str">
        <f t="shared" si="143"/>
        <v/>
      </c>
    </row>
    <row r="1383" spans="1:62" x14ac:dyDescent="0.25">
      <c r="A1383" t="str">
        <f>"1306995642"</f>
        <v>1306995642</v>
      </c>
      <c r="B1383" t="str">
        <f>"03002182"</f>
        <v>03002182</v>
      </c>
      <c r="C1383" t="s">
        <v>4745</v>
      </c>
      <c r="D1383" t="s">
        <v>4753</v>
      </c>
      <c r="E1383" t="s">
        <v>4754</v>
      </c>
      <c r="G1383" t="s">
        <v>4748</v>
      </c>
      <c r="H1383" t="s">
        <v>4749</v>
      </c>
      <c r="J1383" t="s">
        <v>4750</v>
      </c>
      <c r="L1383" t="s">
        <v>695</v>
      </c>
      <c r="M1383" t="s">
        <v>108</v>
      </c>
      <c r="R1383" t="s">
        <v>4751</v>
      </c>
      <c r="W1383" t="s">
        <v>4754</v>
      </c>
      <c r="X1383" t="s">
        <v>4752</v>
      </c>
      <c r="Y1383" t="s">
        <v>293</v>
      </c>
      <c r="Z1383" t="s">
        <v>111</v>
      </c>
      <c r="AA1383" t="str">
        <f>"14850-1247"</f>
        <v>14850-1247</v>
      </c>
      <c r="AB1383" t="s">
        <v>282</v>
      </c>
      <c r="AC1383" t="s">
        <v>113</v>
      </c>
      <c r="AD1383" t="s">
        <v>108</v>
      </c>
      <c r="AE1383" t="s">
        <v>114</v>
      </c>
      <c r="AF1383" t="s">
        <v>142</v>
      </c>
      <c r="AG1383" t="s">
        <v>116</v>
      </c>
      <c r="AK1383" t="str">
        <f t="shared" si="141"/>
        <v/>
      </c>
      <c r="AL1383" t="s">
        <v>4753</v>
      </c>
      <c r="AM1383">
        <v>0</v>
      </c>
      <c r="AN1383">
        <v>0</v>
      </c>
      <c r="AO1383">
        <v>0</v>
      </c>
      <c r="AP1383">
        <v>0</v>
      </c>
      <c r="AQ1383">
        <v>0</v>
      </c>
      <c r="AR1383">
        <v>0</v>
      </c>
      <c r="AS1383">
        <v>0</v>
      </c>
      <c r="AT1383">
        <v>0</v>
      </c>
      <c r="AU1383">
        <v>0</v>
      </c>
      <c r="AV1383">
        <v>0</v>
      </c>
      <c r="AW1383">
        <v>0</v>
      </c>
      <c r="AX1383" s="24" t="str">
        <f t="shared" si="139"/>
        <v/>
      </c>
      <c r="AY1383" s="24" t="str">
        <f t="shared" si="139"/>
        <v/>
      </c>
      <c r="AZ1383" s="24" t="str">
        <f t="shared" si="144"/>
        <v/>
      </c>
      <c r="BA1383" s="24">
        <f t="shared" si="144"/>
        <v>1</v>
      </c>
      <c r="BB1383" s="24" t="str">
        <f t="shared" si="144"/>
        <v/>
      </c>
      <c r="BC1383" s="24" t="str">
        <f t="shared" si="144"/>
        <v/>
      </c>
      <c r="BD1383" s="24" t="str">
        <f t="shared" si="144"/>
        <v/>
      </c>
      <c r="BE1383" s="24" t="str">
        <f t="shared" si="144"/>
        <v/>
      </c>
      <c r="BF1383" s="24" t="str">
        <f t="shared" si="144"/>
        <v/>
      </c>
      <c r="BG1383" s="24" t="str">
        <f t="shared" si="144"/>
        <v/>
      </c>
      <c r="BH1383" s="24" t="str">
        <f t="shared" si="142"/>
        <v/>
      </c>
      <c r="BI1383" s="24">
        <f t="shared" si="144"/>
        <v>1</v>
      </c>
      <c r="BJ1383" s="24" t="str">
        <f t="shared" si="143"/>
        <v/>
      </c>
    </row>
    <row r="1384" spans="1:62" ht="15" customHeight="1" x14ac:dyDescent="0.25">
      <c r="A1384" t="str">
        <f>"1588686596"</f>
        <v>1588686596</v>
      </c>
      <c r="B1384" t="str">
        <f>"02996385"</f>
        <v>02996385</v>
      </c>
      <c r="C1384" t="s">
        <v>4755</v>
      </c>
      <c r="D1384" t="s">
        <v>4756</v>
      </c>
      <c r="E1384" t="s">
        <v>4757</v>
      </c>
      <c r="G1384" t="s">
        <v>4758</v>
      </c>
      <c r="H1384" t="s">
        <v>4759</v>
      </c>
      <c r="J1384" t="s">
        <v>4760</v>
      </c>
      <c r="L1384" t="s">
        <v>1998</v>
      </c>
      <c r="M1384" t="s">
        <v>139</v>
      </c>
      <c r="R1384" t="s">
        <v>4761</v>
      </c>
      <c r="W1384" t="s">
        <v>4762</v>
      </c>
      <c r="X1384" t="s">
        <v>4763</v>
      </c>
      <c r="Y1384" t="s">
        <v>293</v>
      </c>
      <c r="Z1384" t="s">
        <v>111</v>
      </c>
      <c r="AA1384" t="str">
        <f>"14850-5635"</f>
        <v>14850-5635</v>
      </c>
      <c r="AB1384" t="s">
        <v>385</v>
      </c>
      <c r="AC1384" t="s">
        <v>113</v>
      </c>
      <c r="AD1384" t="s">
        <v>108</v>
      </c>
      <c r="AE1384" t="s">
        <v>114</v>
      </c>
      <c r="AF1384" t="s">
        <v>142</v>
      </c>
      <c r="AG1384" t="s">
        <v>116</v>
      </c>
      <c r="AK1384" t="str">
        <f t="shared" si="141"/>
        <v/>
      </c>
      <c r="AL1384" t="s">
        <v>4756</v>
      </c>
      <c r="AM1384">
        <v>1</v>
      </c>
      <c r="AN1384">
        <v>0</v>
      </c>
      <c r="AO1384">
        <v>0</v>
      </c>
      <c r="AP1384">
        <v>0</v>
      </c>
      <c r="AQ1384">
        <v>0</v>
      </c>
      <c r="AR1384">
        <v>0</v>
      </c>
      <c r="AS1384">
        <v>1</v>
      </c>
      <c r="AT1384">
        <v>0</v>
      </c>
      <c r="AU1384">
        <v>0</v>
      </c>
      <c r="AV1384">
        <v>0</v>
      </c>
      <c r="AW1384">
        <v>0</v>
      </c>
      <c r="AX1384" s="24" t="str">
        <f t="shared" ref="AX1384:AY1447" si="145">IF(ISERROR(FIND(AX$1,$L1384,1)),"",1)</f>
        <v/>
      </c>
      <c r="AY1384" s="24" t="str">
        <f t="shared" si="145"/>
        <v/>
      </c>
      <c r="AZ1384" s="24" t="str">
        <f t="shared" si="144"/>
        <v/>
      </c>
      <c r="BA1384" s="24" t="str">
        <f t="shared" si="144"/>
        <v/>
      </c>
      <c r="BB1384" s="24">
        <f t="shared" si="144"/>
        <v>1</v>
      </c>
      <c r="BC1384" s="24">
        <f t="shared" si="144"/>
        <v>1</v>
      </c>
      <c r="BD1384" s="24" t="str">
        <f t="shared" si="144"/>
        <v/>
      </c>
      <c r="BE1384" s="24" t="str">
        <f t="shared" si="144"/>
        <v/>
      </c>
      <c r="BF1384" s="24" t="str">
        <f t="shared" si="144"/>
        <v/>
      </c>
      <c r="BG1384" s="24" t="str">
        <f t="shared" si="144"/>
        <v/>
      </c>
      <c r="BH1384" s="24" t="str">
        <f t="shared" si="142"/>
        <v/>
      </c>
      <c r="BI1384" s="24">
        <f t="shared" si="144"/>
        <v>1</v>
      </c>
      <c r="BJ1384" s="24" t="str">
        <f t="shared" si="143"/>
        <v/>
      </c>
    </row>
    <row r="1385" spans="1:62" ht="15" customHeight="1" x14ac:dyDescent="0.25">
      <c r="C1385" t="s">
        <v>2792</v>
      </c>
      <c r="G1385" t="s">
        <v>2793</v>
      </c>
      <c r="H1385" t="s">
        <v>2794</v>
      </c>
      <c r="K1385" t="s">
        <v>780</v>
      </c>
      <c r="L1385" t="s">
        <v>781</v>
      </c>
      <c r="M1385" t="s">
        <v>108</v>
      </c>
      <c r="N1385" t="s">
        <v>2795</v>
      </c>
      <c r="O1385" t="s">
        <v>1088</v>
      </c>
      <c r="P1385" t="s">
        <v>111</v>
      </c>
      <c r="Q1385" t="str">
        <f>"14580"</f>
        <v>14580</v>
      </c>
      <c r="AC1385" t="s">
        <v>113</v>
      </c>
      <c r="AD1385" t="s">
        <v>108</v>
      </c>
      <c r="AE1385" t="s">
        <v>784</v>
      </c>
      <c r="AF1385" t="s">
        <v>142</v>
      </c>
      <c r="AG1385" t="s">
        <v>116</v>
      </c>
      <c r="AK1385" t="str">
        <f t="shared" si="141"/>
        <v>Tompkins County Office for the Aging</v>
      </c>
      <c r="AM1385" t="s">
        <v>108</v>
      </c>
      <c r="AN1385" t="s">
        <v>108</v>
      </c>
      <c r="AO1385" t="s">
        <v>108</v>
      </c>
      <c r="AP1385" t="s">
        <v>108</v>
      </c>
      <c r="AQ1385" t="s">
        <v>108</v>
      </c>
      <c r="AR1385" t="s">
        <v>108</v>
      </c>
      <c r="AS1385" t="s">
        <v>108</v>
      </c>
      <c r="AT1385" t="s">
        <v>108</v>
      </c>
      <c r="AU1385" t="s">
        <v>108</v>
      </c>
      <c r="AV1385" t="s">
        <v>108</v>
      </c>
      <c r="AW1385" t="s">
        <v>108</v>
      </c>
      <c r="AX1385" s="24" t="str">
        <f t="shared" si="145"/>
        <v/>
      </c>
      <c r="AY1385" s="24" t="str">
        <f t="shared" si="145"/>
        <v/>
      </c>
      <c r="AZ1385" s="24" t="str">
        <f t="shared" si="144"/>
        <v/>
      </c>
      <c r="BA1385" s="24" t="str">
        <f t="shared" si="144"/>
        <v/>
      </c>
      <c r="BB1385" s="24" t="str">
        <f t="shared" si="144"/>
        <v/>
      </c>
      <c r="BC1385" s="24" t="str">
        <f t="shared" si="144"/>
        <v/>
      </c>
      <c r="BD1385" s="24" t="str">
        <f t="shared" si="144"/>
        <v/>
      </c>
      <c r="BE1385" s="24" t="str">
        <f t="shared" si="144"/>
        <v/>
      </c>
      <c r="BF1385" s="24" t="str">
        <f t="shared" si="144"/>
        <v/>
      </c>
      <c r="BG1385" s="24" t="str">
        <f t="shared" si="144"/>
        <v/>
      </c>
      <c r="BH1385" s="24">
        <f t="shared" si="142"/>
        <v>1</v>
      </c>
      <c r="BI1385" s="24" t="str">
        <f t="shared" si="144"/>
        <v/>
      </c>
      <c r="BJ1385" s="24" t="str">
        <f t="shared" si="143"/>
        <v/>
      </c>
    </row>
    <row r="1386" spans="1:62" ht="15" customHeight="1" x14ac:dyDescent="0.25">
      <c r="C1386" t="s">
        <v>2796</v>
      </c>
      <c r="G1386" t="s">
        <v>2797</v>
      </c>
      <c r="H1386" t="s">
        <v>2798</v>
      </c>
      <c r="K1386" t="s">
        <v>780</v>
      </c>
      <c r="L1386" t="s">
        <v>781</v>
      </c>
      <c r="M1386" t="s">
        <v>108</v>
      </c>
      <c r="N1386" t="s">
        <v>2799</v>
      </c>
      <c r="O1386" t="s">
        <v>1088</v>
      </c>
      <c r="P1386" t="s">
        <v>111</v>
      </c>
      <c r="Q1386" t="str">
        <f>"14850"</f>
        <v>14850</v>
      </c>
      <c r="AC1386" t="s">
        <v>113</v>
      </c>
      <c r="AD1386" t="s">
        <v>108</v>
      </c>
      <c r="AE1386" t="s">
        <v>784</v>
      </c>
      <c r="AF1386" t="s">
        <v>142</v>
      </c>
      <c r="AG1386" t="s">
        <v>116</v>
      </c>
      <c r="AK1386" t="str">
        <f t="shared" si="141"/>
        <v>Tompkins Health Network</v>
      </c>
      <c r="AM1386" t="s">
        <v>108</v>
      </c>
      <c r="AN1386" t="s">
        <v>108</v>
      </c>
      <c r="AO1386" t="s">
        <v>108</v>
      </c>
      <c r="AP1386" t="s">
        <v>108</v>
      </c>
      <c r="AQ1386" t="s">
        <v>108</v>
      </c>
      <c r="AR1386" t="s">
        <v>108</v>
      </c>
      <c r="AS1386" t="s">
        <v>108</v>
      </c>
      <c r="AT1386" t="s">
        <v>108</v>
      </c>
      <c r="AU1386" t="s">
        <v>108</v>
      </c>
      <c r="AV1386" t="s">
        <v>108</v>
      </c>
      <c r="AW1386" t="s">
        <v>108</v>
      </c>
      <c r="AX1386" s="24" t="str">
        <f t="shared" si="145"/>
        <v/>
      </c>
      <c r="AY1386" s="24" t="str">
        <f t="shared" si="145"/>
        <v/>
      </c>
      <c r="AZ1386" s="24" t="str">
        <f t="shared" si="144"/>
        <v/>
      </c>
      <c r="BA1386" s="24" t="str">
        <f t="shared" si="144"/>
        <v/>
      </c>
      <c r="BB1386" s="24" t="str">
        <f t="shared" si="144"/>
        <v/>
      </c>
      <c r="BC1386" s="24" t="str">
        <f t="shared" si="144"/>
        <v/>
      </c>
      <c r="BD1386" s="24" t="str">
        <f t="shared" si="144"/>
        <v/>
      </c>
      <c r="BE1386" s="24" t="str">
        <f t="shared" si="144"/>
        <v/>
      </c>
      <c r="BF1386" s="24" t="str">
        <f t="shared" si="144"/>
        <v/>
      </c>
      <c r="BG1386" s="24" t="str">
        <f t="shared" si="144"/>
        <v/>
      </c>
      <c r="BH1386" s="24">
        <f t="shared" si="142"/>
        <v>1</v>
      </c>
      <c r="BI1386" s="24" t="str">
        <f t="shared" si="144"/>
        <v/>
      </c>
      <c r="BJ1386" s="24" t="str">
        <f t="shared" si="143"/>
        <v/>
      </c>
    </row>
    <row r="1387" spans="1:62" ht="15" customHeight="1" x14ac:dyDescent="0.25">
      <c r="A1387" t="str">
        <f>"1609122118"</f>
        <v>1609122118</v>
      </c>
      <c r="B1387" t="str">
        <f>"03500314"</f>
        <v>03500314</v>
      </c>
      <c r="C1387" t="s">
        <v>6050</v>
      </c>
      <c r="D1387" t="s">
        <v>6051</v>
      </c>
      <c r="E1387" t="s">
        <v>6052</v>
      </c>
      <c r="G1387" t="s">
        <v>815</v>
      </c>
      <c r="H1387" t="s">
        <v>816</v>
      </c>
      <c r="J1387" t="s">
        <v>817</v>
      </c>
      <c r="L1387" t="s">
        <v>120</v>
      </c>
      <c r="M1387" t="s">
        <v>139</v>
      </c>
      <c r="R1387" t="s">
        <v>6053</v>
      </c>
      <c r="W1387" t="s">
        <v>6052</v>
      </c>
      <c r="X1387" t="s">
        <v>3299</v>
      </c>
      <c r="Y1387" t="s">
        <v>281</v>
      </c>
      <c r="Z1387" t="s">
        <v>111</v>
      </c>
      <c r="AA1387" t="str">
        <f>"13827-1620"</f>
        <v>13827-1620</v>
      </c>
      <c r="AB1387" t="s">
        <v>123</v>
      </c>
      <c r="AC1387" t="s">
        <v>113</v>
      </c>
      <c r="AD1387" t="s">
        <v>108</v>
      </c>
      <c r="AE1387" t="s">
        <v>114</v>
      </c>
      <c r="AF1387" t="s">
        <v>115</v>
      </c>
      <c r="AG1387" t="s">
        <v>116</v>
      </c>
      <c r="AK1387" t="str">
        <f t="shared" si="141"/>
        <v>Tracy A. Miller (Mishoe), FNP</v>
      </c>
      <c r="AL1387" t="s">
        <v>6051</v>
      </c>
      <c r="AM1387" t="s">
        <v>108</v>
      </c>
      <c r="AN1387" t="s">
        <v>108</v>
      </c>
      <c r="AO1387" t="s">
        <v>108</v>
      </c>
      <c r="AP1387" t="s">
        <v>108</v>
      </c>
      <c r="AQ1387" t="s">
        <v>108</v>
      </c>
      <c r="AR1387" t="s">
        <v>108</v>
      </c>
      <c r="AS1387" t="s">
        <v>108</v>
      </c>
      <c r="AT1387" t="s">
        <v>108</v>
      </c>
      <c r="AU1387" t="s">
        <v>108</v>
      </c>
      <c r="AV1387" t="s">
        <v>108</v>
      </c>
      <c r="AW1387" t="s">
        <v>108</v>
      </c>
      <c r="AX1387" s="24">
        <f t="shared" si="145"/>
        <v>1</v>
      </c>
      <c r="AY1387" s="24" t="str">
        <f t="shared" si="145"/>
        <v/>
      </c>
      <c r="AZ1387" s="24" t="str">
        <f t="shared" si="144"/>
        <v/>
      </c>
      <c r="BA1387" s="24" t="str">
        <f t="shared" si="144"/>
        <v/>
      </c>
      <c r="BB1387" s="24" t="str">
        <f t="shared" si="144"/>
        <v/>
      </c>
      <c r="BC1387" s="24" t="str">
        <f t="shared" si="144"/>
        <v/>
      </c>
      <c r="BD1387" s="24" t="str">
        <f t="shared" si="144"/>
        <v/>
      </c>
      <c r="BE1387" s="24" t="str">
        <f t="shared" si="144"/>
        <v/>
      </c>
      <c r="BF1387" s="24" t="str">
        <f t="shared" si="144"/>
        <v/>
      </c>
      <c r="BG1387" s="24" t="str">
        <f t="shared" si="144"/>
        <v/>
      </c>
      <c r="BH1387" s="24" t="str">
        <f t="shared" si="142"/>
        <v/>
      </c>
      <c r="BI1387" s="24">
        <f t="shared" si="144"/>
        <v>1</v>
      </c>
      <c r="BJ1387" s="24" t="str">
        <f t="shared" si="143"/>
        <v/>
      </c>
    </row>
    <row r="1388" spans="1:62" ht="15" customHeight="1" x14ac:dyDescent="0.25">
      <c r="A1388" t="str">
        <f>"1306953765"</f>
        <v>1306953765</v>
      </c>
      <c r="B1388" t="str">
        <f>"03261965"</f>
        <v>03261965</v>
      </c>
      <c r="C1388" t="s">
        <v>2228</v>
      </c>
      <c r="D1388" t="s">
        <v>2229</v>
      </c>
      <c r="E1388" t="s">
        <v>2230</v>
      </c>
      <c r="G1388" t="s">
        <v>177</v>
      </c>
      <c r="H1388" t="s">
        <v>178</v>
      </c>
      <c r="J1388" t="s">
        <v>179</v>
      </c>
      <c r="L1388" t="s">
        <v>6867</v>
      </c>
      <c r="M1388" t="s">
        <v>108</v>
      </c>
      <c r="R1388" t="s">
        <v>2228</v>
      </c>
      <c r="W1388" t="s">
        <v>2230</v>
      </c>
      <c r="X1388" t="s">
        <v>196</v>
      </c>
      <c r="Y1388" t="s">
        <v>181</v>
      </c>
      <c r="Z1388" t="s">
        <v>182</v>
      </c>
      <c r="AA1388" t="str">
        <f>"18840-1625"</f>
        <v>18840-1625</v>
      </c>
      <c r="AB1388" t="s">
        <v>123</v>
      </c>
      <c r="AC1388" t="s">
        <v>113</v>
      </c>
      <c r="AD1388" t="s">
        <v>108</v>
      </c>
      <c r="AE1388" t="s">
        <v>114</v>
      </c>
      <c r="AF1388" t="s">
        <v>115</v>
      </c>
      <c r="AG1388" t="s">
        <v>116</v>
      </c>
      <c r="AK1388" t="str">
        <f t="shared" si="141"/>
        <v/>
      </c>
      <c r="AL1388" t="s">
        <v>2229</v>
      </c>
      <c r="AM1388">
        <v>0</v>
      </c>
      <c r="AN1388">
        <v>0</v>
      </c>
      <c r="AO1388">
        <v>0</v>
      </c>
      <c r="AP1388">
        <v>0</v>
      </c>
      <c r="AQ1388">
        <v>0</v>
      </c>
      <c r="AR1388">
        <v>0</v>
      </c>
      <c r="AS1388">
        <v>0</v>
      </c>
      <c r="AT1388">
        <v>0</v>
      </c>
      <c r="AU1388">
        <v>0</v>
      </c>
      <c r="AV1388">
        <v>0</v>
      </c>
      <c r="AW1388">
        <v>0</v>
      </c>
      <c r="AX1388" s="24">
        <f t="shared" si="145"/>
        <v>1</v>
      </c>
      <c r="AY1388" s="24">
        <f t="shared" si="145"/>
        <v>1</v>
      </c>
      <c r="AZ1388" s="24" t="str">
        <f t="shared" si="144"/>
        <v/>
      </c>
      <c r="BA1388" s="24" t="str">
        <f t="shared" si="144"/>
        <v/>
      </c>
      <c r="BB1388" s="24" t="str">
        <f t="shared" si="144"/>
        <v/>
      </c>
      <c r="BC1388" s="24" t="str">
        <f t="shared" si="144"/>
        <v/>
      </c>
      <c r="BD1388" s="24" t="str">
        <f t="shared" si="144"/>
        <v/>
      </c>
      <c r="BE1388" s="24" t="str">
        <f t="shared" si="144"/>
        <v/>
      </c>
      <c r="BF1388" s="24" t="str">
        <f t="shared" si="144"/>
        <v/>
      </c>
      <c r="BG1388" s="24" t="str">
        <f t="shared" si="144"/>
        <v/>
      </c>
      <c r="BH1388" s="24" t="str">
        <f t="shared" si="142"/>
        <v/>
      </c>
      <c r="BI1388" s="24">
        <f t="shared" si="144"/>
        <v>1</v>
      </c>
      <c r="BJ1388" s="24" t="str">
        <f t="shared" si="143"/>
        <v/>
      </c>
    </row>
    <row r="1389" spans="1:62" ht="15" customHeight="1" x14ac:dyDescent="0.25">
      <c r="A1389" t="str">
        <f>"1881829505"</f>
        <v>1881829505</v>
      </c>
      <c r="B1389" t="str">
        <f>"04181531"</f>
        <v>04181531</v>
      </c>
      <c r="C1389" t="s">
        <v>6327</v>
      </c>
      <c r="D1389" t="s">
        <v>6328</v>
      </c>
      <c r="E1389" t="s">
        <v>6329</v>
      </c>
      <c r="G1389" t="s">
        <v>6330</v>
      </c>
      <c r="H1389" t="s">
        <v>6331</v>
      </c>
      <c r="J1389" t="s">
        <v>6332</v>
      </c>
      <c r="L1389" t="s">
        <v>120</v>
      </c>
      <c r="M1389" t="s">
        <v>108</v>
      </c>
      <c r="R1389" t="s">
        <v>6333</v>
      </c>
      <c r="W1389" t="s">
        <v>6334</v>
      </c>
      <c r="X1389" t="s">
        <v>121</v>
      </c>
      <c r="Y1389" t="s">
        <v>122</v>
      </c>
      <c r="Z1389" t="s">
        <v>111</v>
      </c>
      <c r="AA1389" t="str">
        <f>"13815-1019"</f>
        <v>13815-1019</v>
      </c>
      <c r="AB1389" t="s">
        <v>123</v>
      </c>
      <c r="AC1389" t="s">
        <v>113</v>
      </c>
      <c r="AD1389" t="s">
        <v>108</v>
      </c>
      <c r="AE1389" t="s">
        <v>114</v>
      </c>
      <c r="AF1389" t="s">
        <v>124</v>
      </c>
      <c r="AG1389" t="s">
        <v>116</v>
      </c>
      <c r="AK1389" t="str">
        <f t="shared" si="141"/>
        <v>Tranvaag Sandra</v>
      </c>
      <c r="AL1389" t="s">
        <v>6328</v>
      </c>
      <c r="AM1389" t="s">
        <v>108</v>
      </c>
      <c r="AN1389" t="s">
        <v>108</v>
      </c>
      <c r="AO1389" t="s">
        <v>108</v>
      </c>
      <c r="AP1389" t="s">
        <v>108</v>
      </c>
      <c r="AQ1389" t="s">
        <v>108</v>
      </c>
      <c r="AR1389" t="s">
        <v>108</v>
      </c>
      <c r="AS1389" t="s">
        <v>108</v>
      </c>
      <c r="AT1389" t="s">
        <v>108</v>
      </c>
      <c r="AU1389" t="s">
        <v>108</v>
      </c>
      <c r="AV1389" t="s">
        <v>108</v>
      </c>
      <c r="AW1389" t="s">
        <v>108</v>
      </c>
      <c r="AX1389" s="24">
        <f t="shared" si="145"/>
        <v>1</v>
      </c>
      <c r="AY1389" s="24" t="str">
        <f t="shared" si="145"/>
        <v/>
      </c>
      <c r="AZ1389" s="24" t="str">
        <f t="shared" si="144"/>
        <v/>
      </c>
      <c r="BA1389" s="24" t="str">
        <f t="shared" si="144"/>
        <v/>
      </c>
      <c r="BB1389" s="24" t="str">
        <f t="shared" si="144"/>
        <v/>
      </c>
      <c r="BC1389" s="24" t="str">
        <f t="shared" si="144"/>
        <v/>
      </c>
      <c r="BD1389" s="24" t="str">
        <f t="shared" si="144"/>
        <v/>
      </c>
      <c r="BE1389" s="24" t="str">
        <f t="shared" si="144"/>
        <v/>
      </c>
      <c r="BF1389" s="24" t="str">
        <f t="shared" si="144"/>
        <v/>
      </c>
      <c r="BG1389" s="24" t="str">
        <f t="shared" si="144"/>
        <v/>
      </c>
      <c r="BH1389" s="24" t="str">
        <f t="shared" si="142"/>
        <v/>
      </c>
      <c r="BI1389" s="24">
        <f t="shared" si="144"/>
        <v>1</v>
      </c>
      <c r="BJ1389" s="24" t="str">
        <f t="shared" si="143"/>
        <v/>
      </c>
    </row>
    <row r="1390" spans="1:62" ht="15" customHeight="1" x14ac:dyDescent="0.25">
      <c r="A1390" t="str">
        <f>"1194766733"</f>
        <v>1194766733</v>
      </c>
      <c r="B1390" t="str">
        <f>"00766707"</f>
        <v>00766707</v>
      </c>
      <c r="C1390" t="s">
        <v>6784</v>
      </c>
      <c r="D1390" t="s">
        <v>7058</v>
      </c>
      <c r="E1390" t="s">
        <v>6915</v>
      </c>
      <c r="G1390" t="s">
        <v>6330</v>
      </c>
      <c r="H1390" t="s">
        <v>6331</v>
      </c>
      <c r="J1390" t="s">
        <v>6332</v>
      </c>
      <c r="L1390" t="s">
        <v>247</v>
      </c>
      <c r="M1390" t="s">
        <v>108</v>
      </c>
      <c r="R1390" t="s">
        <v>6784</v>
      </c>
      <c r="W1390" t="s">
        <v>6915</v>
      </c>
      <c r="X1390" t="s">
        <v>6916</v>
      </c>
      <c r="Y1390" t="s">
        <v>129</v>
      </c>
      <c r="Z1390" t="s">
        <v>111</v>
      </c>
      <c r="AA1390" t="str">
        <f>"13790-2165"</f>
        <v>13790-2165</v>
      </c>
      <c r="AB1390" t="s">
        <v>123</v>
      </c>
      <c r="AC1390" t="s">
        <v>113</v>
      </c>
      <c r="AD1390" t="s">
        <v>108</v>
      </c>
      <c r="AE1390" t="s">
        <v>114</v>
      </c>
      <c r="AF1390" t="s">
        <v>115</v>
      </c>
      <c r="AG1390" t="s">
        <v>116</v>
      </c>
      <c r="AK1390" t="str">
        <f t="shared" si="141"/>
        <v>TRAVERSE PAUL</v>
      </c>
      <c r="AL1390" t="s">
        <v>7058</v>
      </c>
      <c r="AM1390" t="s">
        <v>108</v>
      </c>
      <c r="AN1390" t="s">
        <v>108</v>
      </c>
      <c r="AO1390" t="s">
        <v>108</v>
      </c>
      <c r="AP1390" t="s">
        <v>108</v>
      </c>
      <c r="AQ1390" t="s">
        <v>108</v>
      </c>
      <c r="AR1390" t="s">
        <v>108</v>
      </c>
      <c r="AS1390" t="s">
        <v>108</v>
      </c>
      <c r="AT1390" t="s">
        <v>108</v>
      </c>
      <c r="AU1390" t="s">
        <v>108</v>
      </c>
      <c r="AV1390" t="s">
        <v>108</v>
      </c>
      <c r="AW1390" t="s">
        <v>108</v>
      </c>
      <c r="AX1390" s="24" t="str">
        <f t="shared" si="145"/>
        <v/>
      </c>
      <c r="AY1390" s="24">
        <f t="shared" si="145"/>
        <v>1</v>
      </c>
      <c r="AZ1390" s="24" t="str">
        <f t="shared" si="144"/>
        <v/>
      </c>
      <c r="BA1390" s="24" t="str">
        <f t="shared" si="144"/>
        <v/>
      </c>
      <c r="BB1390" s="24" t="str">
        <f t="shared" si="144"/>
        <v/>
      </c>
      <c r="BC1390" s="24" t="str">
        <f t="shared" si="144"/>
        <v/>
      </c>
      <c r="BD1390" s="24" t="str">
        <f t="shared" si="144"/>
        <v/>
      </c>
      <c r="BE1390" s="24" t="str">
        <f t="shared" si="144"/>
        <v/>
      </c>
      <c r="BF1390" s="24" t="str">
        <f t="shared" ref="AZ1390:BI1416" si="146">IF(ISERROR(FIND(BF$1,$L1390,1)),"",1)</f>
        <v/>
      </c>
      <c r="BG1390" s="24" t="str">
        <f t="shared" si="146"/>
        <v/>
      </c>
      <c r="BH1390" s="24" t="str">
        <f t="shared" si="142"/>
        <v/>
      </c>
      <c r="BI1390" s="24" t="str">
        <f t="shared" si="146"/>
        <v/>
      </c>
      <c r="BJ1390" s="24" t="str">
        <f t="shared" si="143"/>
        <v/>
      </c>
    </row>
    <row r="1391" spans="1:62" ht="15" customHeight="1" x14ac:dyDescent="0.25">
      <c r="A1391" t="str">
        <f>"1518275023"</f>
        <v>1518275023</v>
      </c>
      <c r="B1391" t="str">
        <f>"03322709"</f>
        <v>03322709</v>
      </c>
      <c r="C1391" t="s">
        <v>6186</v>
      </c>
      <c r="D1391" t="s">
        <v>6187</v>
      </c>
      <c r="E1391" t="s">
        <v>6188</v>
      </c>
      <c r="G1391" t="s">
        <v>815</v>
      </c>
      <c r="H1391" t="s">
        <v>816</v>
      </c>
      <c r="J1391" t="s">
        <v>817</v>
      </c>
      <c r="L1391" t="s">
        <v>120</v>
      </c>
      <c r="M1391" t="s">
        <v>139</v>
      </c>
      <c r="R1391" t="s">
        <v>6189</v>
      </c>
      <c r="W1391" t="s">
        <v>6189</v>
      </c>
      <c r="X1391" t="s">
        <v>1062</v>
      </c>
      <c r="Y1391" t="s">
        <v>110</v>
      </c>
      <c r="Z1391" t="s">
        <v>111</v>
      </c>
      <c r="AA1391" t="str">
        <f>"13905-1118"</f>
        <v>13905-1118</v>
      </c>
      <c r="AB1391" t="s">
        <v>123</v>
      </c>
      <c r="AC1391" t="s">
        <v>113</v>
      </c>
      <c r="AD1391" t="s">
        <v>108</v>
      </c>
      <c r="AE1391" t="s">
        <v>114</v>
      </c>
      <c r="AF1391" t="s">
        <v>115</v>
      </c>
      <c r="AG1391" t="s">
        <v>116</v>
      </c>
      <c r="AK1391" t="str">
        <f t="shared" si="141"/>
        <v>Trichelle Feheley, FNP</v>
      </c>
      <c r="AL1391" t="s">
        <v>6187</v>
      </c>
      <c r="AM1391" t="s">
        <v>108</v>
      </c>
      <c r="AN1391" t="s">
        <v>108</v>
      </c>
      <c r="AO1391" t="s">
        <v>108</v>
      </c>
      <c r="AP1391" t="s">
        <v>108</v>
      </c>
      <c r="AQ1391" t="s">
        <v>108</v>
      </c>
      <c r="AR1391" t="s">
        <v>108</v>
      </c>
      <c r="AS1391" t="s">
        <v>108</v>
      </c>
      <c r="AT1391" t="s">
        <v>108</v>
      </c>
      <c r="AU1391" t="s">
        <v>108</v>
      </c>
      <c r="AV1391" t="s">
        <v>108</v>
      </c>
      <c r="AW1391" t="s">
        <v>108</v>
      </c>
      <c r="AX1391" s="24">
        <f t="shared" si="145"/>
        <v>1</v>
      </c>
      <c r="AY1391" s="24" t="str">
        <f t="shared" si="145"/>
        <v/>
      </c>
      <c r="AZ1391" s="24" t="str">
        <f t="shared" si="146"/>
        <v/>
      </c>
      <c r="BA1391" s="24" t="str">
        <f t="shared" si="146"/>
        <v/>
      </c>
      <c r="BB1391" s="24" t="str">
        <f t="shared" si="146"/>
        <v/>
      </c>
      <c r="BC1391" s="24" t="str">
        <f t="shared" si="146"/>
        <v/>
      </c>
      <c r="BD1391" s="24" t="str">
        <f t="shared" si="146"/>
        <v/>
      </c>
      <c r="BE1391" s="24" t="str">
        <f t="shared" si="146"/>
        <v/>
      </c>
      <c r="BF1391" s="24" t="str">
        <f t="shared" si="146"/>
        <v/>
      </c>
      <c r="BG1391" s="24" t="str">
        <f t="shared" si="146"/>
        <v/>
      </c>
      <c r="BH1391" s="24" t="str">
        <f t="shared" si="142"/>
        <v/>
      </c>
      <c r="BI1391" s="24">
        <f t="shared" si="146"/>
        <v>1</v>
      </c>
      <c r="BJ1391" s="24" t="str">
        <f t="shared" si="143"/>
        <v/>
      </c>
    </row>
    <row r="1392" spans="1:62" ht="15" customHeight="1" x14ac:dyDescent="0.25">
      <c r="A1392" t="str">
        <f>"1528056942"</f>
        <v>1528056942</v>
      </c>
      <c r="B1392" t="str">
        <f>"02863638"</f>
        <v>02863638</v>
      </c>
      <c r="C1392" t="s">
        <v>6286</v>
      </c>
      <c r="D1392" t="s">
        <v>6287</v>
      </c>
      <c r="E1392" t="s">
        <v>6288</v>
      </c>
      <c r="G1392" t="s">
        <v>2363</v>
      </c>
      <c r="H1392" t="s">
        <v>2364</v>
      </c>
      <c r="J1392" t="s">
        <v>5847</v>
      </c>
      <c r="L1392" t="s">
        <v>68</v>
      </c>
      <c r="M1392" t="s">
        <v>108</v>
      </c>
      <c r="R1392" t="s">
        <v>6286</v>
      </c>
      <c r="W1392" t="s">
        <v>6286</v>
      </c>
      <c r="X1392" t="s">
        <v>2367</v>
      </c>
      <c r="Y1392" t="s">
        <v>2368</v>
      </c>
      <c r="Z1392" t="s">
        <v>111</v>
      </c>
      <c r="AA1392" t="str">
        <f>"14886-9201"</f>
        <v>14886-9201</v>
      </c>
      <c r="AB1392" t="s">
        <v>112</v>
      </c>
      <c r="AC1392" t="s">
        <v>113</v>
      </c>
      <c r="AD1392" t="s">
        <v>108</v>
      </c>
      <c r="AE1392" t="s">
        <v>114</v>
      </c>
      <c r="AF1392" t="s">
        <v>142</v>
      </c>
      <c r="AG1392" t="s">
        <v>116</v>
      </c>
      <c r="AK1392" t="str">
        <f t="shared" si="141"/>
        <v>TRUMANSBURG MEDICINE PLLC</v>
      </c>
      <c r="AL1392" t="s">
        <v>6287</v>
      </c>
      <c r="AM1392" t="s">
        <v>108</v>
      </c>
      <c r="AN1392" t="s">
        <v>108</v>
      </c>
      <c r="AO1392" t="s">
        <v>108</v>
      </c>
      <c r="AP1392" t="s">
        <v>108</v>
      </c>
      <c r="AQ1392" t="s">
        <v>108</v>
      </c>
      <c r="AR1392" t="s">
        <v>108</v>
      </c>
      <c r="AS1392" t="s">
        <v>108</v>
      </c>
      <c r="AT1392" t="s">
        <v>108</v>
      </c>
      <c r="AU1392" t="s">
        <v>108</v>
      </c>
      <c r="AV1392" t="s">
        <v>108</v>
      </c>
      <c r="AW1392" t="s">
        <v>108</v>
      </c>
      <c r="AX1392" s="24" t="str">
        <f t="shared" si="145"/>
        <v/>
      </c>
      <c r="AY1392" s="24" t="str">
        <f t="shared" si="145"/>
        <v/>
      </c>
      <c r="AZ1392" s="24" t="str">
        <f t="shared" si="146"/>
        <v/>
      </c>
      <c r="BA1392" s="24" t="str">
        <f t="shared" si="146"/>
        <v/>
      </c>
      <c r="BB1392" s="24" t="str">
        <f t="shared" si="146"/>
        <v/>
      </c>
      <c r="BC1392" s="24" t="str">
        <f t="shared" si="146"/>
        <v/>
      </c>
      <c r="BD1392" s="24" t="str">
        <f t="shared" si="146"/>
        <v/>
      </c>
      <c r="BE1392" s="24" t="str">
        <f t="shared" si="146"/>
        <v/>
      </c>
      <c r="BF1392" s="24" t="str">
        <f t="shared" si="146"/>
        <v/>
      </c>
      <c r="BG1392" s="24" t="str">
        <f t="shared" si="146"/>
        <v/>
      </c>
      <c r="BH1392" s="24" t="str">
        <f t="shared" si="142"/>
        <v/>
      </c>
      <c r="BI1392" s="24">
        <f t="shared" si="146"/>
        <v>1</v>
      </c>
      <c r="BJ1392" s="24" t="str">
        <f t="shared" si="143"/>
        <v/>
      </c>
    </row>
    <row r="1393" spans="1:62" ht="15" customHeight="1" x14ac:dyDescent="0.25">
      <c r="C1393" t="s">
        <v>5846</v>
      </c>
      <c r="G1393" t="s">
        <v>2363</v>
      </c>
      <c r="H1393" t="s">
        <v>2364</v>
      </c>
      <c r="J1393" t="s">
        <v>5847</v>
      </c>
      <c r="K1393" t="s">
        <v>780</v>
      </c>
      <c r="L1393" t="s">
        <v>781</v>
      </c>
      <c r="M1393" t="s">
        <v>108</v>
      </c>
      <c r="N1393" t="s">
        <v>5848</v>
      </c>
      <c r="O1393" t="s">
        <v>5849</v>
      </c>
      <c r="P1393" t="s">
        <v>111</v>
      </c>
      <c r="Q1393" t="str">
        <f>"14886"</f>
        <v>14886</v>
      </c>
      <c r="AC1393" t="s">
        <v>113</v>
      </c>
      <c r="AD1393" t="s">
        <v>108</v>
      </c>
      <c r="AE1393" t="s">
        <v>784</v>
      </c>
      <c r="AF1393" t="s">
        <v>142</v>
      </c>
      <c r="AG1393" t="s">
        <v>116</v>
      </c>
      <c r="AK1393" t="str">
        <f t="shared" si="141"/>
        <v/>
      </c>
      <c r="AL1393" t="s">
        <v>5846</v>
      </c>
      <c r="AM1393">
        <v>1</v>
      </c>
      <c r="AN1393" t="s">
        <v>108</v>
      </c>
      <c r="AO1393" t="s">
        <v>108</v>
      </c>
      <c r="AP1393" t="s">
        <v>108</v>
      </c>
      <c r="AQ1393" t="s">
        <v>108</v>
      </c>
      <c r="AR1393" t="s">
        <v>108</v>
      </c>
      <c r="AS1393" t="s">
        <v>108</v>
      </c>
      <c r="AT1393" t="s">
        <v>108</v>
      </c>
      <c r="AU1393" t="s">
        <v>108</v>
      </c>
      <c r="AV1393" t="s">
        <v>108</v>
      </c>
      <c r="AW1393" t="s">
        <v>108</v>
      </c>
      <c r="AX1393" s="24" t="str">
        <f t="shared" si="145"/>
        <v/>
      </c>
      <c r="AY1393" s="24" t="str">
        <f t="shared" si="145"/>
        <v/>
      </c>
      <c r="AZ1393" s="24" t="str">
        <f t="shared" si="146"/>
        <v/>
      </c>
      <c r="BA1393" s="24" t="str">
        <f t="shared" si="146"/>
        <v/>
      </c>
      <c r="BB1393" s="24" t="str">
        <f t="shared" si="146"/>
        <v/>
      </c>
      <c r="BC1393" s="24" t="str">
        <f t="shared" si="146"/>
        <v/>
      </c>
      <c r="BD1393" s="24" t="str">
        <f t="shared" si="146"/>
        <v/>
      </c>
      <c r="BE1393" s="24" t="str">
        <f t="shared" si="146"/>
        <v/>
      </c>
      <c r="BF1393" s="24" t="str">
        <f t="shared" si="146"/>
        <v/>
      </c>
      <c r="BG1393" s="24" t="str">
        <f t="shared" si="146"/>
        <v/>
      </c>
      <c r="BH1393" s="24">
        <f t="shared" si="142"/>
        <v>1</v>
      </c>
      <c r="BI1393" s="24" t="str">
        <f t="shared" si="146"/>
        <v/>
      </c>
      <c r="BJ1393" s="24" t="str">
        <f t="shared" si="143"/>
        <v/>
      </c>
    </row>
    <row r="1394" spans="1:62" ht="15" customHeight="1" x14ac:dyDescent="0.25">
      <c r="A1394" t="str">
        <f>"1679741722"</f>
        <v>1679741722</v>
      </c>
      <c r="B1394" t="str">
        <f>"03294539"</f>
        <v>03294539</v>
      </c>
      <c r="C1394" t="s">
        <v>1247</v>
      </c>
      <c r="D1394" t="s">
        <v>1248</v>
      </c>
      <c r="E1394" t="s">
        <v>1249</v>
      </c>
      <c r="L1394" t="s">
        <v>120</v>
      </c>
      <c r="M1394" t="s">
        <v>108</v>
      </c>
      <c r="R1394" t="s">
        <v>1247</v>
      </c>
      <c r="W1394" t="s">
        <v>1249</v>
      </c>
      <c r="X1394" t="s">
        <v>121</v>
      </c>
      <c r="Y1394" t="s">
        <v>122</v>
      </c>
      <c r="Z1394" t="s">
        <v>111</v>
      </c>
      <c r="AA1394" t="str">
        <f>"13815-1019"</f>
        <v>13815-1019</v>
      </c>
      <c r="AB1394" t="s">
        <v>123</v>
      </c>
      <c r="AC1394" t="s">
        <v>113</v>
      </c>
      <c r="AD1394" t="s">
        <v>108</v>
      </c>
      <c r="AE1394" t="s">
        <v>114</v>
      </c>
      <c r="AF1394" t="s">
        <v>124</v>
      </c>
      <c r="AG1394" t="s">
        <v>116</v>
      </c>
      <c r="AK1394" t="str">
        <f t="shared" si="141"/>
        <v/>
      </c>
      <c r="AL1394" t="s">
        <v>1248</v>
      </c>
      <c r="AM1394">
        <v>0</v>
      </c>
      <c r="AN1394">
        <v>0</v>
      </c>
      <c r="AO1394">
        <v>0</v>
      </c>
      <c r="AP1394">
        <v>0</v>
      </c>
      <c r="AQ1394">
        <v>0</v>
      </c>
      <c r="AR1394">
        <v>0</v>
      </c>
      <c r="AS1394">
        <v>0</v>
      </c>
      <c r="AT1394">
        <v>0</v>
      </c>
      <c r="AU1394">
        <v>0</v>
      </c>
      <c r="AV1394">
        <v>0</v>
      </c>
      <c r="AW1394">
        <v>0</v>
      </c>
      <c r="AX1394" s="24">
        <f t="shared" si="145"/>
        <v>1</v>
      </c>
      <c r="AY1394" s="24" t="str">
        <f t="shared" si="145"/>
        <v/>
      </c>
      <c r="AZ1394" s="24" t="str">
        <f t="shared" si="146"/>
        <v/>
      </c>
      <c r="BA1394" s="24" t="str">
        <f t="shared" si="146"/>
        <v/>
      </c>
      <c r="BB1394" s="24" t="str">
        <f t="shared" si="146"/>
        <v/>
      </c>
      <c r="BC1394" s="24" t="str">
        <f t="shared" si="146"/>
        <v/>
      </c>
      <c r="BD1394" s="24" t="str">
        <f t="shared" si="146"/>
        <v/>
      </c>
      <c r="BE1394" s="24" t="str">
        <f t="shared" si="146"/>
        <v/>
      </c>
      <c r="BF1394" s="24" t="str">
        <f t="shared" si="146"/>
        <v/>
      </c>
      <c r="BG1394" s="24" t="str">
        <f t="shared" si="146"/>
        <v/>
      </c>
      <c r="BH1394" s="24" t="str">
        <f t="shared" si="142"/>
        <v/>
      </c>
      <c r="BI1394" s="24">
        <f t="shared" si="146"/>
        <v>1</v>
      </c>
      <c r="BJ1394" s="24" t="str">
        <f t="shared" si="143"/>
        <v/>
      </c>
    </row>
    <row r="1395" spans="1:62" ht="15" customHeight="1" x14ac:dyDescent="0.25">
      <c r="A1395" t="str">
        <f>"1023100542"</f>
        <v>1023100542</v>
      </c>
      <c r="B1395" t="str">
        <f>"02582070"</f>
        <v>02582070</v>
      </c>
      <c r="C1395" t="s">
        <v>6773</v>
      </c>
      <c r="D1395" t="s">
        <v>7045</v>
      </c>
      <c r="E1395" t="s">
        <v>6901</v>
      </c>
      <c r="G1395" t="s">
        <v>7184</v>
      </c>
      <c r="H1395" t="s">
        <v>2379</v>
      </c>
      <c r="J1395" t="s">
        <v>7185</v>
      </c>
      <c r="L1395" t="s">
        <v>120</v>
      </c>
      <c r="M1395" t="s">
        <v>108</v>
      </c>
      <c r="R1395" t="s">
        <v>6773</v>
      </c>
      <c r="W1395" t="s">
        <v>6901</v>
      </c>
      <c r="X1395" t="s">
        <v>881</v>
      </c>
      <c r="Y1395" t="s">
        <v>321</v>
      </c>
      <c r="Z1395" t="s">
        <v>111</v>
      </c>
      <c r="AA1395" t="str">
        <f>"13760-5430"</f>
        <v>13760-5430</v>
      </c>
      <c r="AB1395" t="s">
        <v>123</v>
      </c>
      <c r="AC1395" t="s">
        <v>113</v>
      </c>
      <c r="AD1395" t="s">
        <v>108</v>
      </c>
      <c r="AE1395" t="s">
        <v>114</v>
      </c>
      <c r="AF1395" t="s">
        <v>115</v>
      </c>
      <c r="AG1395" t="s">
        <v>116</v>
      </c>
      <c r="AK1395" t="str">
        <f t="shared" si="141"/>
        <v>TUNICK MICHAEL DR.</v>
      </c>
      <c r="AL1395" t="s">
        <v>7045</v>
      </c>
      <c r="AM1395" t="s">
        <v>108</v>
      </c>
      <c r="AN1395" t="s">
        <v>108</v>
      </c>
      <c r="AO1395" t="s">
        <v>108</v>
      </c>
      <c r="AP1395" t="s">
        <v>108</v>
      </c>
      <c r="AQ1395" t="s">
        <v>108</v>
      </c>
      <c r="AR1395" t="s">
        <v>108</v>
      </c>
      <c r="AS1395" t="s">
        <v>108</v>
      </c>
      <c r="AT1395" t="s">
        <v>108</v>
      </c>
      <c r="AU1395" t="s">
        <v>108</v>
      </c>
      <c r="AV1395" t="s">
        <v>108</v>
      </c>
      <c r="AW1395" t="s">
        <v>108</v>
      </c>
      <c r="AX1395" s="24">
        <f t="shared" si="145"/>
        <v>1</v>
      </c>
      <c r="AY1395" s="24" t="str">
        <f t="shared" si="145"/>
        <v/>
      </c>
      <c r="AZ1395" s="24" t="str">
        <f t="shared" si="146"/>
        <v/>
      </c>
      <c r="BA1395" s="24" t="str">
        <f t="shared" si="146"/>
        <v/>
      </c>
      <c r="BB1395" s="24" t="str">
        <f t="shared" si="146"/>
        <v/>
      </c>
      <c r="BC1395" s="24" t="str">
        <f t="shared" si="146"/>
        <v/>
      </c>
      <c r="BD1395" s="24" t="str">
        <f t="shared" si="146"/>
        <v/>
      </c>
      <c r="BE1395" s="24" t="str">
        <f t="shared" si="146"/>
        <v/>
      </c>
      <c r="BF1395" s="24" t="str">
        <f t="shared" si="146"/>
        <v/>
      </c>
      <c r="BG1395" s="24" t="str">
        <f t="shared" si="146"/>
        <v/>
      </c>
      <c r="BH1395" s="24" t="str">
        <f t="shared" si="142"/>
        <v/>
      </c>
      <c r="BI1395" s="24">
        <f t="shared" si="146"/>
        <v>1</v>
      </c>
      <c r="BJ1395" s="24" t="str">
        <f t="shared" si="143"/>
        <v/>
      </c>
    </row>
    <row r="1396" spans="1:62" ht="15" customHeight="1" x14ac:dyDescent="0.25">
      <c r="A1396" t="str">
        <f>"1265756720"</f>
        <v>1265756720</v>
      </c>
      <c r="C1396" t="s">
        <v>792</v>
      </c>
      <c r="G1396" t="s">
        <v>786</v>
      </c>
      <c r="H1396" t="s">
        <v>787</v>
      </c>
      <c r="J1396" t="s">
        <v>788</v>
      </c>
      <c r="K1396" t="s">
        <v>68</v>
      </c>
      <c r="L1396" t="s">
        <v>133</v>
      </c>
      <c r="M1396" t="s">
        <v>108</v>
      </c>
      <c r="R1396" t="s">
        <v>792</v>
      </c>
      <c r="S1396" t="s">
        <v>793</v>
      </c>
      <c r="T1396" t="s">
        <v>794</v>
      </c>
      <c r="U1396" t="s">
        <v>111</v>
      </c>
      <c r="V1396" t="str">
        <f>"13040"</f>
        <v>13040</v>
      </c>
      <c r="AC1396" t="s">
        <v>113</v>
      </c>
      <c r="AD1396" t="s">
        <v>108</v>
      </c>
      <c r="AE1396" t="s">
        <v>775</v>
      </c>
      <c r="AF1396" t="s">
        <v>142</v>
      </c>
      <c r="AG1396" t="s">
        <v>116</v>
      </c>
      <c r="AK1396" t="str">
        <f t="shared" si="141"/>
        <v>TURNER MARGARET</v>
      </c>
      <c r="AM1396" t="s">
        <v>108</v>
      </c>
      <c r="AN1396" t="s">
        <v>108</v>
      </c>
      <c r="AO1396" t="s">
        <v>108</v>
      </c>
      <c r="AP1396" t="s">
        <v>108</v>
      </c>
      <c r="AQ1396" t="s">
        <v>108</v>
      </c>
      <c r="AR1396" t="s">
        <v>108</v>
      </c>
      <c r="AS1396" t="s">
        <v>108</v>
      </c>
      <c r="AT1396" t="s">
        <v>108</v>
      </c>
      <c r="AU1396" t="s">
        <v>108</v>
      </c>
      <c r="AV1396" t="s">
        <v>108</v>
      </c>
      <c r="AW1396" t="s">
        <v>108</v>
      </c>
      <c r="AX1396" s="24" t="str">
        <f t="shared" si="145"/>
        <v/>
      </c>
      <c r="AY1396" s="24" t="str">
        <f t="shared" si="145"/>
        <v/>
      </c>
      <c r="AZ1396" s="24" t="str">
        <f t="shared" si="146"/>
        <v/>
      </c>
      <c r="BA1396" s="24" t="str">
        <f t="shared" si="146"/>
        <v/>
      </c>
      <c r="BB1396" s="24" t="str">
        <f t="shared" si="146"/>
        <v/>
      </c>
      <c r="BC1396" s="24" t="str">
        <f t="shared" si="146"/>
        <v/>
      </c>
      <c r="BD1396" s="24" t="str">
        <f t="shared" si="146"/>
        <v/>
      </c>
      <c r="BE1396" s="24" t="str">
        <f t="shared" si="146"/>
        <v/>
      </c>
      <c r="BF1396" s="24" t="str">
        <f t="shared" si="146"/>
        <v/>
      </c>
      <c r="BG1396" s="24" t="str">
        <f t="shared" si="146"/>
        <v/>
      </c>
      <c r="BH1396" s="24" t="str">
        <f t="shared" si="142"/>
        <v/>
      </c>
      <c r="BI1396" s="24" t="str">
        <f t="shared" si="146"/>
        <v/>
      </c>
      <c r="BJ1396" s="24">
        <f t="shared" si="143"/>
        <v>1</v>
      </c>
    </row>
    <row r="1397" spans="1:62" ht="15" customHeight="1" x14ac:dyDescent="0.25">
      <c r="A1397" t="str">
        <f>"1760489405"</f>
        <v>1760489405</v>
      </c>
      <c r="B1397" t="str">
        <f>"00683656"</f>
        <v>00683656</v>
      </c>
      <c r="C1397" t="s">
        <v>2863</v>
      </c>
      <c r="D1397" t="s">
        <v>2864</v>
      </c>
      <c r="E1397" t="s">
        <v>2865</v>
      </c>
      <c r="G1397" t="s">
        <v>2866</v>
      </c>
      <c r="H1397" t="s">
        <v>2867</v>
      </c>
      <c r="J1397" t="s">
        <v>2868</v>
      </c>
      <c r="L1397" t="s">
        <v>1115</v>
      </c>
      <c r="M1397" t="s">
        <v>108</v>
      </c>
      <c r="R1397" t="s">
        <v>2869</v>
      </c>
      <c r="W1397" t="s">
        <v>2865</v>
      </c>
      <c r="X1397" t="s">
        <v>128</v>
      </c>
      <c r="Y1397" t="s">
        <v>129</v>
      </c>
      <c r="Z1397" t="s">
        <v>111</v>
      </c>
      <c r="AA1397" t="str">
        <f>"13790-2544"</f>
        <v>13790-2544</v>
      </c>
      <c r="AB1397" t="s">
        <v>165</v>
      </c>
      <c r="AC1397" t="s">
        <v>113</v>
      </c>
      <c r="AD1397" t="s">
        <v>108</v>
      </c>
      <c r="AE1397" t="s">
        <v>114</v>
      </c>
      <c r="AF1397" t="s">
        <v>115</v>
      </c>
      <c r="AG1397" t="s">
        <v>116</v>
      </c>
      <c r="AK1397" t="str">
        <f t="shared" si="141"/>
        <v/>
      </c>
      <c r="AL1397" t="s">
        <v>2864</v>
      </c>
      <c r="AM1397">
        <v>0</v>
      </c>
      <c r="AN1397">
        <v>0</v>
      </c>
      <c r="AO1397">
        <v>0</v>
      </c>
      <c r="AP1397">
        <v>0</v>
      </c>
      <c r="AQ1397">
        <v>0</v>
      </c>
      <c r="AR1397">
        <v>0</v>
      </c>
      <c r="AS1397">
        <v>0</v>
      </c>
      <c r="AT1397">
        <v>0</v>
      </c>
      <c r="AU1397">
        <v>0</v>
      </c>
      <c r="AV1397">
        <v>0</v>
      </c>
      <c r="AW1397">
        <v>0</v>
      </c>
      <c r="AX1397" s="24" t="str">
        <f t="shared" si="145"/>
        <v/>
      </c>
      <c r="AY1397" s="24" t="str">
        <f t="shared" si="145"/>
        <v/>
      </c>
      <c r="AZ1397" s="24" t="str">
        <f t="shared" si="146"/>
        <v/>
      </c>
      <c r="BA1397" s="24" t="str">
        <f t="shared" si="146"/>
        <v/>
      </c>
      <c r="BB1397" s="24" t="str">
        <f t="shared" si="146"/>
        <v/>
      </c>
      <c r="BC1397" s="24" t="str">
        <f t="shared" si="146"/>
        <v/>
      </c>
      <c r="BD1397" s="24" t="str">
        <f t="shared" si="146"/>
        <v/>
      </c>
      <c r="BE1397" s="24" t="str">
        <f t="shared" si="146"/>
        <v/>
      </c>
      <c r="BF1397" s="24" t="str">
        <f t="shared" si="146"/>
        <v/>
      </c>
      <c r="BG1397" s="24">
        <f t="shared" si="146"/>
        <v>1</v>
      </c>
      <c r="BH1397" s="24" t="str">
        <f t="shared" si="142"/>
        <v/>
      </c>
      <c r="BI1397" s="24">
        <f t="shared" si="146"/>
        <v>1</v>
      </c>
      <c r="BJ1397" s="24" t="str">
        <f t="shared" si="143"/>
        <v/>
      </c>
    </row>
    <row r="1398" spans="1:62" ht="15" customHeight="1" x14ac:dyDescent="0.25">
      <c r="A1398" t="str">
        <f>"1285839902"</f>
        <v>1285839902</v>
      </c>
      <c r="B1398" t="str">
        <f>"03108005"</f>
        <v>03108005</v>
      </c>
      <c r="C1398" t="s">
        <v>457</v>
      </c>
      <c r="D1398" t="s">
        <v>458</v>
      </c>
      <c r="E1398" t="s">
        <v>459</v>
      </c>
      <c r="G1398" t="s">
        <v>457</v>
      </c>
      <c r="H1398" t="s">
        <v>454</v>
      </c>
      <c r="J1398" t="s">
        <v>460</v>
      </c>
      <c r="L1398" t="s">
        <v>138</v>
      </c>
      <c r="M1398" t="s">
        <v>108</v>
      </c>
      <c r="R1398" t="s">
        <v>461</v>
      </c>
      <c r="W1398" t="s">
        <v>462</v>
      </c>
      <c r="X1398" t="s">
        <v>463</v>
      </c>
      <c r="Y1398" t="s">
        <v>129</v>
      </c>
      <c r="Z1398" t="s">
        <v>111</v>
      </c>
      <c r="AA1398" t="str">
        <f>"13790-2174"</f>
        <v>13790-2174</v>
      </c>
      <c r="AB1398" t="s">
        <v>123</v>
      </c>
      <c r="AC1398" t="s">
        <v>113</v>
      </c>
      <c r="AD1398" t="s">
        <v>108</v>
      </c>
      <c r="AE1398" t="s">
        <v>114</v>
      </c>
      <c r="AF1398" t="s">
        <v>115</v>
      </c>
      <c r="AG1398" t="s">
        <v>116</v>
      </c>
      <c r="AK1398" t="str">
        <f t="shared" si="141"/>
        <v/>
      </c>
      <c r="AL1398" t="s">
        <v>458</v>
      </c>
      <c r="AM1398">
        <v>1</v>
      </c>
      <c r="AN1398">
        <v>1</v>
      </c>
      <c r="AO1398">
        <v>0</v>
      </c>
      <c r="AP1398">
        <v>1</v>
      </c>
      <c r="AQ1398">
        <v>1</v>
      </c>
      <c r="AR1398">
        <v>0</v>
      </c>
      <c r="AS1398">
        <v>0</v>
      </c>
      <c r="AT1398">
        <v>0</v>
      </c>
      <c r="AU1398">
        <v>0</v>
      </c>
      <c r="AV1398">
        <v>0</v>
      </c>
      <c r="AW1398">
        <v>0</v>
      </c>
      <c r="AX1398" s="24" t="str">
        <f t="shared" si="145"/>
        <v/>
      </c>
      <c r="AY1398" s="24">
        <f t="shared" si="145"/>
        <v>1</v>
      </c>
      <c r="AZ1398" s="24" t="str">
        <f t="shared" si="146"/>
        <v/>
      </c>
      <c r="BA1398" s="24" t="str">
        <f t="shared" si="146"/>
        <v/>
      </c>
      <c r="BB1398" s="24" t="str">
        <f t="shared" si="146"/>
        <v/>
      </c>
      <c r="BC1398" s="24" t="str">
        <f t="shared" si="146"/>
        <v/>
      </c>
      <c r="BD1398" s="24" t="str">
        <f t="shared" si="146"/>
        <v/>
      </c>
      <c r="BE1398" s="24" t="str">
        <f t="shared" si="146"/>
        <v/>
      </c>
      <c r="BF1398" s="24" t="str">
        <f t="shared" si="146"/>
        <v/>
      </c>
      <c r="BG1398" s="24" t="str">
        <f t="shared" si="146"/>
        <v/>
      </c>
      <c r="BH1398" s="24" t="str">
        <f t="shared" si="142"/>
        <v/>
      </c>
      <c r="BI1398" s="24">
        <f t="shared" si="146"/>
        <v>1</v>
      </c>
      <c r="BJ1398" s="24" t="str">
        <f t="shared" si="143"/>
        <v/>
      </c>
    </row>
    <row r="1399" spans="1:62" x14ac:dyDescent="0.25">
      <c r="A1399" t="str">
        <f>"1205995362"</f>
        <v>1205995362</v>
      </c>
      <c r="B1399" t="str">
        <f>"00947324"</f>
        <v>00947324</v>
      </c>
      <c r="C1399" t="s">
        <v>2159</v>
      </c>
      <c r="D1399" t="s">
        <v>2160</v>
      </c>
      <c r="E1399" t="s">
        <v>2159</v>
      </c>
      <c r="F1399">
        <v>131623856</v>
      </c>
      <c r="G1399" t="s">
        <v>2142</v>
      </c>
      <c r="H1399" t="s">
        <v>2143</v>
      </c>
      <c r="I1399">
        <v>311</v>
      </c>
      <c r="J1399" t="s">
        <v>2144</v>
      </c>
      <c r="L1399" t="s">
        <v>695</v>
      </c>
      <c r="M1399" t="s">
        <v>139</v>
      </c>
      <c r="R1399" t="s">
        <v>2161</v>
      </c>
      <c r="W1399" t="s">
        <v>2159</v>
      </c>
      <c r="X1399" t="s">
        <v>2162</v>
      </c>
      <c r="Y1399" t="s">
        <v>1160</v>
      </c>
      <c r="Z1399" t="s">
        <v>111</v>
      </c>
      <c r="AA1399" t="str">
        <f>"10303-1506"</f>
        <v>10303-1506</v>
      </c>
      <c r="AB1399" t="s">
        <v>282</v>
      </c>
      <c r="AC1399" t="s">
        <v>113</v>
      </c>
      <c r="AD1399" t="s">
        <v>108</v>
      </c>
      <c r="AE1399" t="s">
        <v>114</v>
      </c>
      <c r="AF1399" t="s">
        <v>115</v>
      </c>
      <c r="AG1399" t="s">
        <v>116</v>
      </c>
      <c r="AK1399" t="str">
        <f t="shared" si="141"/>
        <v>UCP ASSO OF NYS STATEN IS</v>
      </c>
      <c r="AL1399" t="s">
        <v>2160</v>
      </c>
      <c r="AM1399" t="s">
        <v>108</v>
      </c>
      <c r="AN1399" t="s">
        <v>108</v>
      </c>
      <c r="AO1399" t="s">
        <v>108</v>
      </c>
      <c r="AP1399" t="s">
        <v>108</v>
      </c>
      <c r="AQ1399" t="s">
        <v>108</v>
      </c>
      <c r="AR1399" t="s">
        <v>108</v>
      </c>
      <c r="AS1399" t="s">
        <v>108</v>
      </c>
      <c r="AT1399" t="s">
        <v>108</v>
      </c>
      <c r="AU1399" t="s">
        <v>108</v>
      </c>
      <c r="AV1399" t="s">
        <v>108</v>
      </c>
      <c r="AW1399" t="s">
        <v>108</v>
      </c>
      <c r="AX1399" s="24" t="str">
        <f t="shared" si="145"/>
        <v/>
      </c>
      <c r="AY1399" s="24" t="str">
        <f t="shared" si="145"/>
        <v/>
      </c>
      <c r="AZ1399" s="24" t="str">
        <f t="shared" si="146"/>
        <v/>
      </c>
      <c r="BA1399" s="24">
        <f t="shared" si="146"/>
        <v>1</v>
      </c>
      <c r="BB1399" s="24" t="str">
        <f t="shared" si="146"/>
        <v/>
      </c>
      <c r="BC1399" s="24" t="str">
        <f t="shared" si="146"/>
        <v/>
      </c>
      <c r="BD1399" s="24" t="str">
        <f t="shared" si="146"/>
        <v/>
      </c>
      <c r="BE1399" s="24" t="str">
        <f t="shared" si="146"/>
        <v/>
      </c>
      <c r="BF1399" s="24" t="str">
        <f t="shared" si="146"/>
        <v/>
      </c>
      <c r="BG1399" s="24" t="str">
        <f t="shared" si="146"/>
        <v/>
      </c>
      <c r="BH1399" s="24" t="str">
        <f t="shared" si="142"/>
        <v/>
      </c>
      <c r="BI1399" s="24">
        <f t="shared" si="146"/>
        <v>1</v>
      </c>
      <c r="BJ1399" s="24" t="str">
        <f t="shared" si="143"/>
        <v/>
      </c>
    </row>
    <row r="1400" spans="1:62" ht="15" customHeight="1" x14ac:dyDescent="0.25">
      <c r="A1400" t="str">
        <f>"1710917497"</f>
        <v>1710917497</v>
      </c>
      <c r="B1400" t="str">
        <f>"00422404"</f>
        <v>00422404</v>
      </c>
      <c r="C1400" t="s">
        <v>3826</v>
      </c>
      <c r="D1400" t="s">
        <v>3827</v>
      </c>
      <c r="E1400" t="s">
        <v>3828</v>
      </c>
      <c r="G1400" t="s">
        <v>3829</v>
      </c>
      <c r="H1400" t="s">
        <v>3830</v>
      </c>
      <c r="J1400" t="s">
        <v>3831</v>
      </c>
      <c r="L1400" t="s">
        <v>1382</v>
      </c>
      <c r="M1400" t="s">
        <v>139</v>
      </c>
      <c r="R1400" t="s">
        <v>3832</v>
      </c>
      <c r="W1400" t="s">
        <v>3833</v>
      </c>
      <c r="X1400" t="s">
        <v>3834</v>
      </c>
      <c r="Y1400" t="s">
        <v>110</v>
      </c>
      <c r="Z1400" t="s">
        <v>111</v>
      </c>
      <c r="AA1400" t="str">
        <f>"13905-1540"</f>
        <v>13905-1540</v>
      </c>
      <c r="AB1400" t="s">
        <v>312</v>
      </c>
      <c r="AC1400" t="s">
        <v>113</v>
      </c>
      <c r="AD1400" t="s">
        <v>108</v>
      </c>
      <c r="AE1400" t="s">
        <v>114</v>
      </c>
      <c r="AF1400" t="s">
        <v>115</v>
      </c>
      <c r="AG1400" t="s">
        <v>116</v>
      </c>
      <c r="AK1400" t="str">
        <f t="shared" si="141"/>
        <v/>
      </c>
      <c r="AL1400" t="s">
        <v>3827</v>
      </c>
      <c r="AM1400">
        <v>1</v>
      </c>
      <c r="AN1400">
        <v>0</v>
      </c>
      <c r="AO1400">
        <v>1</v>
      </c>
      <c r="AP1400">
        <v>0</v>
      </c>
      <c r="AQ1400">
        <v>0</v>
      </c>
      <c r="AR1400">
        <v>0</v>
      </c>
      <c r="AS1400">
        <v>0</v>
      </c>
      <c r="AT1400">
        <v>0</v>
      </c>
      <c r="AU1400">
        <v>0</v>
      </c>
      <c r="AV1400">
        <v>0</v>
      </c>
      <c r="AW1400">
        <v>0</v>
      </c>
      <c r="AX1400" s="24" t="str">
        <f t="shared" si="145"/>
        <v/>
      </c>
      <c r="AY1400" s="24" t="str">
        <f t="shared" si="145"/>
        <v/>
      </c>
      <c r="AZ1400" s="24" t="str">
        <f t="shared" si="146"/>
        <v/>
      </c>
      <c r="BA1400" s="24" t="str">
        <f t="shared" si="146"/>
        <v/>
      </c>
      <c r="BB1400" s="24" t="str">
        <f t="shared" si="146"/>
        <v/>
      </c>
      <c r="BC1400" s="24" t="str">
        <f t="shared" si="146"/>
        <v/>
      </c>
      <c r="BD1400" s="24" t="str">
        <f t="shared" si="146"/>
        <v/>
      </c>
      <c r="BE1400" s="24">
        <f t="shared" si="146"/>
        <v>1</v>
      </c>
      <c r="BF1400" s="24" t="str">
        <f t="shared" si="146"/>
        <v/>
      </c>
      <c r="BG1400" s="24" t="str">
        <f t="shared" si="146"/>
        <v/>
      </c>
      <c r="BH1400" s="24" t="str">
        <f t="shared" si="142"/>
        <v/>
      </c>
      <c r="BI1400" s="24">
        <f t="shared" si="146"/>
        <v>1</v>
      </c>
      <c r="BJ1400" s="24" t="str">
        <f t="shared" si="143"/>
        <v/>
      </c>
    </row>
    <row r="1401" spans="1:62" x14ac:dyDescent="0.25">
      <c r="A1401" t="str">
        <f>"1437335312"</f>
        <v>1437335312</v>
      </c>
      <c r="B1401" t="str">
        <f>"03006306"</f>
        <v>03006306</v>
      </c>
      <c r="C1401" t="s">
        <v>2161</v>
      </c>
      <c r="D1401" t="s">
        <v>2160</v>
      </c>
      <c r="E1401" t="s">
        <v>2159</v>
      </c>
      <c r="F1401">
        <v>131623856</v>
      </c>
      <c r="G1401" t="s">
        <v>2142</v>
      </c>
      <c r="H1401" t="s">
        <v>2143</v>
      </c>
      <c r="I1401">
        <v>311</v>
      </c>
      <c r="J1401" t="s">
        <v>2144</v>
      </c>
      <c r="L1401" t="s">
        <v>695</v>
      </c>
      <c r="M1401" t="s">
        <v>139</v>
      </c>
      <c r="R1401" t="s">
        <v>2161</v>
      </c>
      <c r="W1401" t="s">
        <v>2159</v>
      </c>
      <c r="X1401" t="s">
        <v>2162</v>
      </c>
      <c r="Y1401" t="s">
        <v>1160</v>
      </c>
      <c r="Z1401" t="s">
        <v>111</v>
      </c>
      <c r="AA1401" t="str">
        <f>"10303-1506"</f>
        <v>10303-1506</v>
      </c>
      <c r="AB1401" t="s">
        <v>282</v>
      </c>
      <c r="AC1401" t="s">
        <v>113</v>
      </c>
      <c r="AD1401" t="s">
        <v>108</v>
      </c>
      <c r="AE1401" t="s">
        <v>114</v>
      </c>
      <c r="AF1401" t="s">
        <v>115</v>
      </c>
      <c r="AG1401" t="s">
        <v>116</v>
      </c>
      <c r="AK1401" t="str">
        <f t="shared" si="141"/>
        <v>UNITED CEREBRAL PALSY ASSOC OF NYS INC</v>
      </c>
      <c r="AL1401" t="s">
        <v>2160</v>
      </c>
      <c r="AM1401" t="s">
        <v>108</v>
      </c>
      <c r="AN1401" t="s">
        <v>108</v>
      </c>
      <c r="AO1401" t="s">
        <v>108</v>
      </c>
      <c r="AP1401" t="s">
        <v>108</v>
      </c>
      <c r="AQ1401" t="s">
        <v>108</v>
      </c>
      <c r="AR1401" t="s">
        <v>108</v>
      </c>
      <c r="AS1401" t="s">
        <v>108</v>
      </c>
      <c r="AT1401" t="s">
        <v>108</v>
      </c>
      <c r="AU1401" t="s">
        <v>108</v>
      </c>
      <c r="AV1401" t="s">
        <v>108</v>
      </c>
      <c r="AW1401" t="s">
        <v>108</v>
      </c>
      <c r="AX1401" s="24" t="str">
        <f t="shared" si="145"/>
        <v/>
      </c>
      <c r="AY1401" s="24" t="str">
        <f t="shared" si="145"/>
        <v/>
      </c>
      <c r="AZ1401" s="24" t="str">
        <f t="shared" si="146"/>
        <v/>
      </c>
      <c r="BA1401" s="24">
        <f t="shared" si="146"/>
        <v>1</v>
      </c>
      <c r="BB1401" s="24" t="str">
        <f t="shared" si="146"/>
        <v/>
      </c>
      <c r="BC1401" s="24" t="str">
        <f t="shared" si="146"/>
        <v/>
      </c>
      <c r="BD1401" s="24" t="str">
        <f t="shared" si="146"/>
        <v/>
      </c>
      <c r="BE1401" s="24" t="str">
        <f t="shared" si="146"/>
        <v/>
      </c>
      <c r="BF1401" s="24" t="str">
        <f t="shared" si="146"/>
        <v/>
      </c>
      <c r="BG1401" s="24" t="str">
        <f t="shared" si="146"/>
        <v/>
      </c>
      <c r="BH1401" s="24" t="str">
        <f t="shared" si="142"/>
        <v/>
      </c>
      <c r="BI1401" s="24">
        <f t="shared" si="146"/>
        <v>1</v>
      </c>
      <c r="BJ1401" s="24" t="str">
        <f t="shared" si="143"/>
        <v/>
      </c>
    </row>
    <row r="1402" spans="1:62" x14ac:dyDescent="0.25">
      <c r="A1402" t="str">
        <f>"1023040235"</f>
        <v>1023040235</v>
      </c>
      <c r="B1402" t="str">
        <f>"00614755"</f>
        <v>00614755</v>
      </c>
      <c r="C1402" t="s">
        <v>2817</v>
      </c>
      <c r="D1402" t="s">
        <v>2818</v>
      </c>
      <c r="E1402" t="s">
        <v>2817</v>
      </c>
      <c r="L1402" t="s">
        <v>2819</v>
      </c>
      <c r="M1402" t="s">
        <v>139</v>
      </c>
      <c r="R1402" t="s">
        <v>2820</v>
      </c>
      <c r="W1402" t="s">
        <v>2817</v>
      </c>
      <c r="X1402" t="s">
        <v>2821</v>
      </c>
      <c r="Y1402" t="s">
        <v>129</v>
      </c>
      <c r="Z1402" t="s">
        <v>111</v>
      </c>
      <c r="AA1402" t="str">
        <f>"13790-1407"</f>
        <v>13790-1407</v>
      </c>
      <c r="AB1402" t="s">
        <v>385</v>
      </c>
      <c r="AC1402" t="s">
        <v>2822</v>
      </c>
      <c r="AD1402" t="s">
        <v>108</v>
      </c>
      <c r="AE1402" t="s">
        <v>114</v>
      </c>
      <c r="AF1402" t="s">
        <v>115</v>
      </c>
      <c r="AG1402" t="s">
        <v>116</v>
      </c>
      <c r="AK1402" t="str">
        <f t="shared" si="141"/>
        <v/>
      </c>
      <c r="AL1402" t="s">
        <v>2818</v>
      </c>
      <c r="AM1402">
        <v>1</v>
      </c>
      <c r="AN1402">
        <v>1</v>
      </c>
      <c r="AO1402">
        <v>0</v>
      </c>
      <c r="AP1402">
        <v>1</v>
      </c>
      <c r="AQ1402">
        <v>1</v>
      </c>
      <c r="AR1402">
        <v>1</v>
      </c>
      <c r="AS1402">
        <v>1</v>
      </c>
      <c r="AT1402">
        <v>0</v>
      </c>
      <c r="AU1402">
        <v>1</v>
      </c>
      <c r="AV1402">
        <v>0</v>
      </c>
      <c r="AW1402">
        <v>0</v>
      </c>
      <c r="AX1402" s="24" t="str">
        <f t="shared" si="145"/>
        <v/>
      </c>
      <c r="AY1402" s="24" t="str">
        <f t="shared" si="145"/>
        <v/>
      </c>
      <c r="AZ1402" s="24">
        <f t="shared" si="146"/>
        <v>1</v>
      </c>
      <c r="BA1402" s="24">
        <f t="shared" si="146"/>
        <v>1</v>
      </c>
      <c r="BB1402" s="24">
        <f t="shared" si="146"/>
        <v>1</v>
      </c>
      <c r="BC1402" s="24">
        <f t="shared" si="146"/>
        <v>1</v>
      </c>
      <c r="BD1402" s="24">
        <f t="shared" si="146"/>
        <v>1</v>
      </c>
      <c r="BE1402" s="24" t="str">
        <f t="shared" si="146"/>
        <v/>
      </c>
      <c r="BF1402" s="24" t="str">
        <f t="shared" si="146"/>
        <v/>
      </c>
      <c r="BG1402" s="24" t="str">
        <f t="shared" si="146"/>
        <v/>
      </c>
      <c r="BH1402" s="24" t="str">
        <f t="shared" si="142"/>
        <v/>
      </c>
      <c r="BI1402" s="24">
        <f t="shared" si="146"/>
        <v>1</v>
      </c>
      <c r="BJ1402" s="24" t="str">
        <f t="shared" si="143"/>
        <v/>
      </c>
    </row>
    <row r="1403" spans="1:62" x14ac:dyDescent="0.25">
      <c r="A1403" t="str">
        <f>"1518998699"</f>
        <v>1518998699</v>
      </c>
      <c r="B1403" t="str">
        <f>"03004639"</f>
        <v>03004639</v>
      </c>
      <c r="C1403" t="s">
        <v>4644</v>
      </c>
      <c r="D1403" t="s">
        <v>2818</v>
      </c>
      <c r="E1403" t="s">
        <v>2817</v>
      </c>
      <c r="G1403" t="s">
        <v>4645</v>
      </c>
      <c r="H1403" t="s">
        <v>4646</v>
      </c>
      <c r="J1403" t="s">
        <v>4647</v>
      </c>
      <c r="L1403" t="s">
        <v>2819</v>
      </c>
      <c r="M1403" t="s">
        <v>139</v>
      </c>
      <c r="R1403" t="s">
        <v>4648</v>
      </c>
      <c r="W1403" t="s">
        <v>2817</v>
      </c>
      <c r="X1403" t="s">
        <v>4649</v>
      </c>
      <c r="Y1403" t="s">
        <v>129</v>
      </c>
      <c r="Z1403" t="s">
        <v>111</v>
      </c>
      <c r="AA1403" t="str">
        <f>"13790-2107"</f>
        <v>13790-2107</v>
      </c>
      <c r="AB1403" t="s">
        <v>385</v>
      </c>
      <c r="AC1403" t="s">
        <v>113</v>
      </c>
      <c r="AD1403" t="s">
        <v>108</v>
      </c>
      <c r="AE1403" t="s">
        <v>114</v>
      </c>
      <c r="AF1403" t="s">
        <v>115</v>
      </c>
      <c r="AG1403" t="s">
        <v>116</v>
      </c>
      <c r="AK1403" t="str">
        <f t="shared" si="141"/>
        <v/>
      </c>
      <c r="AL1403" t="s">
        <v>2818</v>
      </c>
      <c r="AM1403">
        <v>1</v>
      </c>
      <c r="AN1403">
        <v>1</v>
      </c>
      <c r="AO1403">
        <v>0</v>
      </c>
      <c r="AP1403">
        <v>1</v>
      </c>
      <c r="AQ1403">
        <v>1</v>
      </c>
      <c r="AR1403">
        <v>1</v>
      </c>
      <c r="AS1403">
        <v>1</v>
      </c>
      <c r="AT1403">
        <v>0</v>
      </c>
      <c r="AU1403">
        <v>1</v>
      </c>
      <c r="AV1403">
        <v>0</v>
      </c>
      <c r="AW1403">
        <v>1</v>
      </c>
      <c r="AX1403" s="24" t="str">
        <f t="shared" si="145"/>
        <v/>
      </c>
      <c r="AY1403" s="24" t="str">
        <f t="shared" si="145"/>
        <v/>
      </c>
      <c r="AZ1403" s="24">
        <f t="shared" si="146"/>
        <v>1</v>
      </c>
      <c r="BA1403" s="24">
        <f t="shared" si="146"/>
        <v>1</v>
      </c>
      <c r="BB1403" s="24">
        <f t="shared" si="146"/>
        <v>1</v>
      </c>
      <c r="BC1403" s="24">
        <f t="shared" si="146"/>
        <v>1</v>
      </c>
      <c r="BD1403" s="24">
        <f t="shared" si="146"/>
        <v>1</v>
      </c>
      <c r="BE1403" s="24" t="str">
        <f t="shared" si="146"/>
        <v/>
      </c>
      <c r="BF1403" s="24" t="str">
        <f t="shared" si="146"/>
        <v/>
      </c>
      <c r="BG1403" s="24" t="str">
        <f t="shared" si="146"/>
        <v/>
      </c>
      <c r="BH1403" s="24" t="str">
        <f t="shared" si="142"/>
        <v/>
      </c>
      <c r="BI1403" s="24">
        <f t="shared" si="146"/>
        <v>1</v>
      </c>
      <c r="BJ1403" s="24" t="str">
        <f t="shared" si="143"/>
        <v/>
      </c>
    </row>
    <row r="1404" spans="1:62" ht="15" customHeight="1" x14ac:dyDescent="0.25">
      <c r="A1404" t="str">
        <f>"1013972801"</f>
        <v>1013972801</v>
      </c>
      <c r="B1404" t="str">
        <f>"02993584"</f>
        <v>02993584</v>
      </c>
      <c r="C1404" t="s">
        <v>3675</v>
      </c>
      <c r="D1404" t="s">
        <v>1545</v>
      </c>
      <c r="E1404" t="s">
        <v>1546</v>
      </c>
      <c r="G1404" t="s">
        <v>3676</v>
      </c>
      <c r="H1404" t="s">
        <v>3677</v>
      </c>
      <c r="J1404" t="s">
        <v>3678</v>
      </c>
      <c r="L1404" t="s">
        <v>68</v>
      </c>
      <c r="M1404" t="s">
        <v>108</v>
      </c>
      <c r="R1404" t="s">
        <v>1546</v>
      </c>
      <c r="W1404" t="s">
        <v>1546</v>
      </c>
      <c r="X1404" t="s">
        <v>128</v>
      </c>
      <c r="Y1404" t="s">
        <v>129</v>
      </c>
      <c r="Z1404" t="s">
        <v>111</v>
      </c>
      <c r="AA1404" t="str">
        <f>"13790-2544"</f>
        <v>13790-2544</v>
      </c>
      <c r="AB1404" t="s">
        <v>385</v>
      </c>
      <c r="AC1404" t="s">
        <v>113</v>
      </c>
      <c r="AD1404" t="s">
        <v>108</v>
      </c>
      <c r="AE1404" t="s">
        <v>114</v>
      </c>
      <c r="AF1404" t="s">
        <v>115</v>
      </c>
      <c r="AG1404" t="s">
        <v>116</v>
      </c>
      <c r="AK1404" t="str">
        <f t="shared" si="141"/>
        <v/>
      </c>
      <c r="AL1404" t="s">
        <v>1545</v>
      </c>
      <c r="AM1404">
        <v>0</v>
      </c>
      <c r="AN1404">
        <v>0</v>
      </c>
      <c r="AO1404">
        <v>0</v>
      </c>
      <c r="AP1404">
        <v>0</v>
      </c>
      <c r="AQ1404">
        <v>0</v>
      </c>
      <c r="AR1404">
        <v>0</v>
      </c>
      <c r="AS1404">
        <v>0</v>
      </c>
      <c r="AT1404">
        <v>0</v>
      </c>
      <c r="AU1404">
        <v>0</v>
      </c>
      <c r="AV1404">
        <v>0</v>
      </c>
      <c r="AW1404">
        <v>0</v>
      </c>
      <c r="AX1404" s="24" t="str">
        <f t="shared" si="145"/>
        <v/>
      </c>
      <c r="AY1404" s="24" t="str">
        <f t="shared" si="145"/>
        <v/>
      </c>
      <c r="AZ1404" s="24" t="str">
        <f t="shared" si="146"/>
        <v/>
      </c>
      <c r="BA1404" s="24" t="str">
        <f t="shared" si="146"/>
        <v/>
      </c>
      <c r="BB1404" s="24" t="str">
        <f t="shared" si="146"/>
        <v/>
      </c>
      <c r="BC1404" s="24" t="str">
        <f t="shared" si="146"/>
        <v/>
      </c>
      <c r="BD1404" s="24" t="str">
        <f t="shared" si="146"/>
        <v/>
      </c>
      <c r="BE1404" s="24" t="str">
        <f t="shared" si="146"/>
        <v/>
      </c>
      <c r="BF1404" s="24" t="str">
        <f t="shared" si="146"/>
        <v/>
      </c>
      <c r="BG1404" s="24" t="str">
        <f t="shared" si="146"/>
        <v/>
      </c>
      <c r="BH1404" s="24" t="str">
        <f t="shared" si="142"/>
        <v/>
      </c>
      <c r="BI1404" s="24">
        <f t="shared" si="146"/>
        <v>1</v>
      </c>
      <c r="BJ1404" s="24" t="str">
        <f t="shared" si="143"/>
        <v/>
      </c>
    </row>
    <row r="1405" spans="1:62" ht="15" customHeight="1" x14ac:dyDescent="0.25">
      <c r="C1405" t="s">
        <v>3877</v>
      </c>
      <c r="G1405" t="s">
        <v>7172</v>
      </c>
      <c r="H1405" t="s">
        <v>7173</v>
      </c>
      <c r="J1405" t="s">
        <v>7174</v>
      </c>
      <c r="K1405" t="s">
        <v>780</v>
      </c>
      <c r="L1405" t="s">
        <v>781</v>
      </c>
      <c r="M1405" t="s">
        <v>108</v>
      </c>
      <c r="N1405" t="s">
        <v>3878</v>
      </c>
      <c r="O1405" t="s">
        <v>1096</v>
      </c>
      <c r="P1405" t="s">
        <v>111</v>
      </c>
      <c r="Q1405" t="str">
        <f>"13902-0550"</f>
        <v>13902-0550</v>
      </c>
      <c r="AC1405" t="s">
        <v>113</v>
      </c>
      <c r="AD1405" t="s">
        <v>108</v>
      </c>
      <c r="AE1405" t="s">
        <v>784</v>
      </c>
      <c r="AF1405" t="s">
        <v>115</v>
      </c>
      <c r="AG1405" t="s">
        <v>116</v>
      </c>
      <c r="AK1405" t="str">
        <f t="shared" si="141"/>
        <v/>
      </c>
      <c r="AL1405" t="s">
        <v>3877</v>
      </c>
      <c r="AM1405">
        <v>1</v>
      </c>
      <c r="AP1405">
        <v>1</v>
      </c>
      <c r="AQ1405">
        <v>1</v>
      </c>
      <c r="AR1405" t="s">
        <v>108</v>
      </c>
      <c r="AS1405" t="s">
        <v>108</v>
      </c>
      <c r="AT1405" t="s">
        <v>108</v>
      </c>
      <c r="AU1405" t="s">
        <v>108</v>
      </c>
      <c r="AV1405" t="s">
        <v>108</v>
      </c>
      <c r="AW1405" t="s">
        <v>108</v>
      </c>
      <c r="AX1405" s="24" t="str">
        <f t="shared" si="145"/>
        <v/>
      </c>
      <c r="AY1405" s="24" t="str">
        <f t="shared" si="145"/>
        <v/>
      </c>
      <c r="AZ1405" s="24" t="str">
        <f t="shared" si="146"/>
        <v/>
      </c>
      <c r="BA1405" s="24" t="str">
        <f t="shared" si="146"/>
        <v/>
      </c>
      <c r="BB1405" s="24" t="str">
        <f t="shared" si="146"/>
        <v/>
      </c>
      <c r="BC1405" s="24" t="str">
        <f t="shared" si="146"/>
        <v/>
      </c>
      <c r="BD1405" s="24" t="str">
        <f t="shared" si="146"/>
        <v/>
      </c>
      <c r="BE1405" s="24" t="str">
        <f t="shared" si="146"/>
        <v/>
      </c>
      <c r="BF1405" s="24" t="str">
        <f t="shared" si="146"/>
        <v/>
      </c>
      <c r="BG1405" s="24" t="str">
        <f t="shared" si="146"/>
        <v/>
      </c>
      <c r="BH1405" s="24">
        <f t="shared" si="142"/>
        <v>1</v>
      </c>
      <c r="BI1405" s="24" t="str">
        <f t="shared" si="146"/>
        <v/>
      </c>
      <c r="BJ1405" s="24" t="str">
        <f t="shared" si="143"/>
        <v/>
      </c>
    </row>
    <row r="1406" spans="1:62" ht="15" customHeight="1" x14ac:dyDescent="0.25">
      <c r="B1406" t="str">
        <f>"02743626"</f>
        <v>02743626</v>
      </c>
      <c r="C1406" t="s">
        <v>4966</v>
      </c>
      <c r="D1406" t="s">
        <v>4967</v>
      </c>
      <c r="E1406" t="s">
        <v>4968</v>
      </c>
      <c r="F1406">
        <v>161081372</v>
      </c>
      <c r="G1406" t="s">
        <v>4964</v>
      </c>
      <c r="H1406" t="s">
        <v>4965</v>
      </c>
      <c r="L1406" t="s">
        <v>68</v>
      </c>
      <c r="M1406" t="s">
        <v>108</v>
      </c>
      <c r="W1406" t="s">
        <v>4966</v>
      </c>
      <c r="X1406" t="s">
        <v>1186</v>
      </c>
      <c r="Y1406" t="s">
        <v>293</v>
      </c>
      <c r="Z1406" t="s">
        <v>111</v>
      </c>
      <c r="AA1406" t="str">
        <f>"14850-9999"</f>
        <v>14850-9999</v>
      </c>
      <c r="AB1406" t="s">
        <v>165</v>
      </c>
      <c r="AC1406" t="s">
        <v>113</v>
      </c>
      <c r="AD1406" t="s">
        <v>108</v>
      </c>
      <c r="AE1406" t="s">
        <v>114</v>
      </c>
      <c r="AF1406" t="s">
        <v>142</v>
      </c>
      <c r="AG1406" t="s">
        <v>116</v>
      </c>
      <c r="AK1406" t="str">
        <f t="shared" si="141"/>
        <v/>
      </c>
      <c r="AL1406" t="s">
        <v>4967</v>
      </c>
      <c r="AM1406">
        <v>0</v>
      </c>
      <c r="AN1406">
        <v>0</v>
      </c>
      <c r="AO1406">
        <v>0</v>
      </c>
      <c r="AP1406">
        <v>0</v>
      </c>
      <c r="AQ1406">
        <v>0</v>
      </c>
      <c r="AR1406">
        <v>0</v>
      </c>
      <c r="AS1406">
        <v>0</v>
      </c>
      <c r="AT1406">
        <v>0</v>
      </c>
      <c r="AU1406">
        <v>0</v>
      </c>
      <c r="AV1406">
        <v>0</v>
      </c>
      <c r="AW1406">
        <v>0</v>
      </c>
      <c r="AX1406" s="24" t="str">
        <f t="shared" si="145"/>
        <v/>
      </c>
      <c r="AY1406" s="24" t="str">
        <f t="shared" si="145"/>
        <v/>
      </c>
      <c r="AZ1406" s="24" t="str">
        <f t="shared" si="146"/>
        <v/>
      </c>
      <c r="BA1406" s="24" t="str">
        <f t="shared" si="146"/>
        <v/>
      </c>
      <c r="BB1406" s="24" t="str">
        <f t="shared" si="146"/>
        <v/>
      </c>
      <c r="BC1406" s="24" t="str">
        <f t="shared" si="146"/>
        <v/>
      </c>
      <c r="BD1406" s="24" t="str">
        <f t="shared" si="146"/>
        <v/>
      </c>
      <c r="BE1406" s="24" t="str">
        <f t="shared" si="146"/>
        <v/>
      </c>
      <c r="BF1406" s="24" t="str">
        <f t="shared" si="146"/>
        <v/>
      </c>
      <c r="BG1406" s="24" t="str">
        <f t="shared" si="146"/>
        <v/>
      </c>
      <c r="BH1406" s="24" t="str">
        <f t="shared" si="142"/>
        <v/>
      </c>
      <c r="BI1406" s="24">
        <f t="shared" si="146"/>
        <v>1</v>
      </c>
      <c r="BJ1406" s="24" t="str">
        <f t="shared" si="143"/>
        <v/>
      </c>
    </row>
    <row r="1407" spans="1:62" ht="15" customHeight="1" x14ac:dyDescent="0.25">
      <c r="B1407" t="str">
        <f>"02252862"</f>
        <v>02252862</v>
      </c>
      <c r="C1407" t="s">
        <v>4962</v>
      </c>
      <c r="D1407" t="s">
        <v>4963</v>
      </c>
      <c r="E1407" t="s">
        <v>4962</v>
      </c>
      <c r="F1407">
        <v>161081372</v>
      </c>
      <c r="G1407" t="s">
        <v>4964</v>
      </c>
      <c r="H1407" t="s">
        <v>4965</v>
      </c>
      <c r="L1407" t="s">
        <v>68</v>
      </c>
      <c r="M1407" t="s">
        <v>108</v>
      </c>
      <c r="W1407" t="s">
        <v>4962</v>
      </c>
      <c r="X1407" t="s">
        <v>170</v>
      </c>
      <c r="Y1407" t="s">
        <v>1272</v>
      </c>
      <c r="Z1407" t="s">
        <v>111</v>
      </c>
      <c r="AA1407" t="str">
        <f>"13021-4838"</f>
        <v>13021-4838</v>
      </c>
      <c r="AB1407" t="s">
        <v>165</v>
      </c>
      <c r="AC1407" t="s">
        <v>113</v>
      </c>
      <c r="AD1407" t="s">
        <v>108</v>
      </c>
      <c r="AE1407" t="s">
        <v>114</v>
      </c>
      <c r="AF1407" t="s">
        <v>142</v>
      </c>
      <c r="AG1407" t="s">
        <v>116</v>
      </c>
      <c r="AK1407" t="str">
        <f t="shared" si="141"/>
        <v/>
      </c>
      <c r="AL1407" t="s">
        <v>4963</v>
      </c>
      <c r="AM1407">
        <v>0</v>
      </c>
      <c r="AN1407">
        <v>0</v>
      </c>
      <c r="AO1407">
        <v>0</v>
      </c>
      <c r="AP1407">
        <v>0</v>
      </c>
      <c r="AQ1407">
        <v>0</v>
      </c>
      <c r="AR1407">
        <v>0</v>
      </c>
      <c r="AS1407">
        <v>0</v>
      </c>
      <c r="AT1407">
        <v>0</v>
      </c>
      <c r="AU1407">
        <v>0</v>
      </c>
      <c r="AV1407">
        <v>0</v>
      </c>
      <c r="AW1407">
        <v>0</v>
      </c>
      <c r="AX1407" s="24" t="str">
        <f t="shared" si="145"/>
        <v/>
      </c>
      <c r="AY1407" s="24" t="str">
        <f t="shared" si="145"/>
        <v/>
      </c>
      <c r="AZ1407" s="24" t="str">
        <f t="shared" si="146"/>
        <v/>
      </c>
      <c r="BA1407" s="24" t="str">
        <f t="shared" si="146"/>
        <v/>
      </c>
      <c r="BB1407" s="24" t="str">
        <f t="shared" si="146"/>
        <v/>
      </c>
      <c r="BC1407" s="24" t="str">
        <f t="shared" si="146"/>
        <v/>
      </c>
      <c r="BD1407" s="24" t="str">
        <f t="shared" si="146"/>
        <v/>
      </c>
      <c r="BE1407" s="24" t="str">
        <f t="shared" si="146"/>
        <v/>
      </c>
      <c r="BF1407" s="24" t="str">
        <f t="shared" si="146"/>
        <v/>
      </c>
      <c r="BG1407" s="24" t="str">
        <f t="shared" si="146"/>
        <v/>
      </c>
      <c r="BH1407" s="24" t="str">
        <f t="shared" si="142"/>
        <v/>
      </c>
      <c r="BI1407" s="24">
        <f t="shared" si="146"/>
        <v>1</v>
      </c>
      <c r="BJ1407" s="24" t="str">
        <f t="shared" si="143"/>
        <v/>
      </c>
    </row>
    <row r="1408" spans="1:62" ht="15" customHeight="1" x14ac:dyDescent="0.25">
      <c r="A1408" t="str">
        <f>"1700070927"</f>
        <v>1700070927</v>
      </c>
      <c r="B1408" t="str">
        <f>"02996945"</f>
        <v>02996945</v>
      </c>
      <c r="C1408" t="s">
        <v>4977</v>
      </c>
      <c r="D1408" t="s">
        <v>4978</v>
      </c>
      <c r="E1408" t="s">
        <v>4979</v>
      </c>
      <c r="G1408" t="s">
        <v>4964</v>
      </c>
      <c r="H1408" t="s">
        <v>4965</v>
      </c>
      <c r="L1408" t="s">
        <v>14</v>
      </c>
      <c r="M1408" t="s">
        <v>139</v>
      </c>
      <c r="R1408" t="s">
        <v>4977</v>
      </c>
      <c r="W1408" t="s">
        <v>4980</v>
      </c>
      <c r="X1408" t="s">
        <v>4981</v>
      </c>
      <c r="Y1408" t="s">
        <v>1272</v>
      </c>
      <c r="Z1408" t="s">
        <v>111</v>
      </c>
      <c r="AA1408" t="str">
        <f>"13021-2152"</f>
        <v>13021-2152</v>
      </c>
      <c r="AB1408" t="s">
        <v>385</v>
      </c>
      <c r="AC1408" t="s">
        <v>113</v>
      </c>
      <c r="AD1408" t="s">
        <v>108</v>
      </c>
      <c r="AE1408" t="s">
        <v>114</v>
      </c>
      <c r="AF1408" t="s">
        <v>142</v>
      </c>
      <c r="AG1408" t="s">
        <v>116</v>
      </c>
      <c r="AK1408" t="str">
        <f t="shared" si="141"/>
        <v/>
      </c>
      <c r="AL1408" t="s">
        <v>4978</v>
      </c>
      <c r="AM1408">
        <v>0</v>
      </c>
      <c r="AN1408">
        <v>0</v>
      </c>
      <c r="AO1408">
        <v>0</v>
      </c>
      <c r="AP1408">
        <v>0</v>
      </c>
      <c r="AQ1408">
        <v>0</v>
      </c>
      <c r="AR1408">
        <v>0</v>
      </c>
      <c r="AS1408">
        <v>0</v>
      </c>
      <c r="AT1408">
        <v>0</v>
      </c>
      <c r="AU1408">
        <v>0</v>
      </c>
      <c r="AV1408">
        <v>0</v>
      </c>
      <c r="AW1408">
        <v>0</v>
      </c>
      <c r="AX1408" s="24" t="str">
        <f t="shared" si="145"/>
        <v/>
      </c>
      <c r="AY1408" s="24" t="str">
        <f t="shared" si="145"/>
        <v/>
      </c>
      <c r="AZ1408" s="24" t="str">
        <f t="shared" si="146"/>
        <v/>
      </c>
      <c r="BA1408" s="24" t="str">
        <f t="shared" si="146"/>
        <v/>
      </c>
      <c r="BB1408" s="24" t="str">
        <f t="shared" si="146"/>
        <v/>
      </c>
      <c r="BC1408" s="24">
        <f t="shared" si="146"/>
        <v>1</v>
      </c>
      <c r="BD1408" s="24" t="str">
        <f t="shared" si="146"/>
        <v/>
      </c>
      <c r="BE1408" s="24" t="str">
        <f t="shared" si="146"/>
        <v/>
      </c>
      <c r="BF1408" s="24" t="str">
        <f t="shared" si="146"/>
        <v/>
      </c>
      <c r="BG1408" s="24" t="str">
        <f t="shared" si="146"/>
        <v/>
      </c>
      <c r="BH1408" s="24" t="str">
        <f t="shared" si="142"/>
        <v/>
      </c>
      <c r="BI1408" s="24" t="str">
        <f t="shared" si="146"/>
        <v/>
      </c>
      <c r="BJ1408" s="24" t="str">
        <f t="shared" si="143"/>
        <v/>
      </c>
    </row>
    <row r="1409" spans="1:62" ht="15" customHeight="1" x14ac:dyDescent="0.25">
      <c r="B1409" t="str">
        <f>"02169340"</f>
        <v>02169340</v>
      </c>
      <c r="C1409" t="s">
        <v>4973</v>
      </c>
      <c r="D1409" t="s">
        <v>4974</v>
      </c>
      <c r="E1409" t="s">
        <v>4973</v>
      </c>
      <c r="G1409" t="s">
        <v>4964</v>
      </c>
      <c r="H1409" t="s">
        <v>4965</v>
      </c>
      <c r="L1409" t="s">
        <v>68</v>
      </c>
      <c r="M1409" t="s">
        <v>108</v>
      </c>
      <c r="W1409" t="s">
        <v>4973</v>
      </c>
      <c r="X1409" t="s">
        <v>164</v>
      </c>
      <c r="Y1409" t="s">
        <v>1272</v>
      </c>
      <c r="Z1409" t="s">
        <v>111</v>
      </c>
      <c r="AA1409" t="str">
        <f>"13021-4838"</f>
        <v>13021-4838</v>
      </c>
      <c r="AB1409" t="s">
        <v>165</v>
      </c>
      <c r="AC1409" t="s">
        <v>113</v>
      </c>
      <c r="AD1409" t="s">
        <v>108</v>
      </c>
      <c r="AE1409" t="s">
        <v>114</v>
      </c>
      <c r="AF1409" t="s">
        <v>142</v>
      </c>
      <c r="AG1409" t="s">
        <v>116</v>
      </c>
      <c r="AK1409" t="str">
        <f t="shared" si="141"/>
        <v/>
      </c>
      <c r="AL1409" t="s">
        <v>4974</v>
      </c>
      <c r="AM1409">
        <v>0</v>
      </c>
      <c r="AN1409">
        <v>0</v>
      </c>
      <c r="AO1409">
        <v>0</v>
      </c>
      <c r="AP1409">
        <v>0</v>
      </c>
      <c r="AQ1409">
        <v>0</v>
      </c>
      <c r="AR1409">
        <v>0</v>
      </c>
      <c r="AS1409">
        <v>0</v>
      </c>
      <c r="AT1409">
        <v>0</v>
      </c>
      <c r="AU1409">
        <v>0</v>
      </c>
      <c r="AV1409">
        <v>0</v>
      </c>
      <c r="AW1409">
        <v>0</v>
      </c>
      <c r="AX1409" s="24" t="str">
        <f t="shared" si="145"/>
        <v/>
      </c>
      <c r="AY1409" s="24" t="str">
        <f t="shared" si="145"/>
        <v/>
      </c>
      <c r="AZ1409" s="24" t="str">
        <f t="shared" si="146"/>
        <v/>
      </c>
      <c r="BA1409" s="24" t="str">
        <f t="shared" si="146"/>
        <v/>
      </c>
      <c r="BB1409" s="24" t="str">
        <f t="shared" si="146"/>
        <v/>
      </c>
      <c r="BC1409" s="24" t="str">
        <f t="shared" si="146"/>
        <v/>
      </c>
      <c r="BD1409" s="24" t="str">
        <f t="shared" si="146"/>
        <v/>
      </c>
      <c r="BE1409" s="24" t="str">
        <f t="shared" si="146"/>
        <v/>
      </c>
      <c r="BF1409" s="24" t="str">
        <f t="shared" si="146"/>
        <v/>
      </c>
      <c r="BG1409" s="24" t="str">
        <f t="shared" si="146"/>
        <v/>
      </c>
      <c r="BH1409" s="24" t="str">
        <f t="shared" si="142"/>
        <v/>
      </c>
      <c r="BI1409" s="24">
        <f t="shared" si="146"/>
        <v>1</v>
      </c>
      <c r="BJ1409" s="24" t="str">
        <f t="shared" si="143"/>
        <v/>
      </c>
    </row>
    <row r="1410" spans="1:62" ht="15" customHeight="1" x14ac:dyDescent="0.25">
      <c r="B1410" t="str">
        <f>"02703359"</f>
        <v>02703359</v>
      </c>
      <c r="C1410" t="s">
        <v>4975</v>
      </c>
      <c r="D1410" t="s">
        <v>4976</v>
      </c>
      <c r="E1410" t="s">
        <v>4975</v>
      </c>
      <c r="F1410">
        <v>161081372</v>
      </c>
      <c r="G1410" t="s">
        <v>4964</v>
      </c>
      <c r="H1410" t="s">
        <v>4965</v>
      </c>
      <c r="L1410" t="s">
        <v>68</v>
      </c>
      <c r="M1410" t="s">
        <v>108</v>
      </c>
      <c r="W1410" t="s">
        <v>4975</v>
      </c>
      <c r="X1410" t="s">
        <v>173</v>
      </c>
      <c r="Y1410" t="s">
        <v>1272</v>
      </c>
      <c r="Z1410" t="s">
        <v>111</v>
      </c>
      <c r="AA1410" t="str">
        <f>"13021-4838"</f>
        <v>13021-4838</v>
      </c>
      <c r="AB1410" t="s">
        <v>165</v>
      </c>
      <c r="AC1410" t="s">
        <v>113</v>
      </c>
      <c r="AD1410" t="s">
        <v>108</v>
      </c>
      <c r="AE1410" t="s">
        <v>114</v>
      </c>
      <c r="AF1410" t="s">
        <v>142</v>
      </c>
      <c r="AG1410" t="s">
        <v>116</v>
      </c>
      <c r="AK1410" t="str">
        <f t="shared" ref="AK1410:AK1473" si="147">IF(AM1410="No",C1410,"")</f>
        <v/>
      </c>
      <c r="AL1410" t="s">
        <v>4976</v>
      </c>
      <c r="AM1410">
        <v>0</v>
      </c>
      <c r="AN1410">
        <v>0</v>
      </c>
      <c r="AO1410">
        <v>0</v>
      </c>
      <c r="AP1410">
        <v>0</v>
      </c>
      <c r="AQ1410">
        <v>0</v>
      </c>
      <c r="AR1410">
        <v>0</v>
      </c>
      <c r="AS1410">
        <v>0</v>
      </c>
      <c r="AT1410">
        <v>0</v>
      </c>
      <c r="AU1410">
        <v>0</v>
      </c>
      <c r="AV1410">
        <v>0</v>
      </c>
      <c r="AW1410">
        <v>0</v>
      </c>
      <c r="AX1410" s="24" t="str">
        <f t="shared" si="145"/>
        <v/>
      </c>
      <c r="AY1410" s="24" t="str">
        <f t="shared" si="145"/>
        <v/>
      </c>
      <c r="AZ1410" s="24" t="str">
        <f t="shared" si="146"/>
        <v/>
      </c>
      <c r="BA1410" s="24" t="str">
        <f t="shared" si="146"/>
        <v/>
      </c>
      <c r="BB1410" s="24" t="str">
        <f t="shared" si="146"/>
        <v/>
      </c>
      <c r="BC1410" s="24" t="str">
        <f t="shared" si="146"/>
        <v/>
      </c>
      <c r="BD1410" s="24" t="str">
        <f t="shared" si="146"/>
        <v/>
      </c>
      <c r="BE1410" s="24" t="str">
        <f t="shared" si="146"/>
        <v/>
      </c>
      <c r="BF1410" s="24" t="str">
        <f t="shared" si="146"/>
        <v/>
      </c>
      <c r="BG1410" s="24" t="str">
        <f t="shared" si="146"/>
        <v/>
      </c>
      <c r="BH1410" s="24" t="str">
        <f t="shared" si="142"/>
        <v/>
      </c>
      <c r="BI1410" s="24">
        <f t="shared" si="146"/>
        <v>1</v>
      </c>
      <c r="BJ1410" s="24" t="str">
        <f t="shared" si="143"/>
        <v/>
      </c>
    </row>
    <row r="1411" spans="1:62" ht="15" customHeight="1" x14ac:dyDescent="0.25">
      <c r="A1411" t="str">
        <f>"1942565890"</f>
        <v>1942565890</v>
      </c>
      <c r="B1411" t="str">
        <f>"04155693"</f>
        <v>04155693</v>
      </c>
      <c r="C1411" t="s">
        <v>6797</v>
      </c>
      <c r="D1411" t="s">
        <v>7073</v>
      </c>
      <c r="E1411" t="s">
        <v>6935</v>
      </c>
      <c r="G1411" t="s">
        <v>6330</v>
      </c>
      <c r="H1411" t="s">
        <v>6331</v>
      </c>
      <c r="J1411" t="s">
        <v>6332</v>
      </c>
      <c r="L1411" t="s">
        <v>247</v>
      </c>
      <c r="M1411" t="s">
        <v>108</v>
      </c>
      <c r="R1411" t="s">
        <v>6797</v>
      </c>
      <c r="W1411" t="s">
        <v>6935</v>
      </c>
      <c r="X1411" t="s">
        <v>463</v>
      </c>
      <c r="Y1411" t="s">
        <v>129</v>
      </c>
      <c r="Z1411" t="s">
        <v>111</v>
      </c>
      <c r="AA1411" t="str">
        <f>"13790-2107"</f>
        <v>13790-2107</v>
      </c>
      <c r="AB1411" t="s">
        <v>123</v>
      </c>
      <c r="AC1411" t="s">
        <v>113</v>
      </c>
      <c r="AD1411" t="s">
        <v>108</v>
      </c>
      <c r="AE1411" t="s">
        <v>114</v>
      </c>
      <c r="AF1411" t="s">
        <v>115</v>
      </c>
      <c r="AG1411" t="s">
        <v>116</v>
      </c>
      <c r="AK1411" t="str">
        <f t="shared" si="147"/>
        <v>VAHEDI MITHAQ DR.</v>
      </c>
      <c r="AL1411" t="s">
        <v>7073</v>
      </c>
      <c r="AM1411" t="s">
        <v>108</v>
      </c>
      <c r="AN1411" t="s">
        <v>108</v>
      </c>
      <c r="AO1411" t="s">
        <v>108</v>
      </c>
      <c r="AP1411" t="s">
        <v>108</v>
      </c>
      <c r="AQ1411" t="s">
        <v>108</v>
      </c>
      <c r="AR1411" t="s">
        <v>108</v>
      </c>
      <c r="AS1411" t="s">
        <v>108</v>
      </c>
      <c r="AT1411" t="s">
        <v>108</v>
      </c>
      <c r="AU1411" t="s">
        <v>108</v>
      </c>
      <c r="AV1411" t="s">
        <v>108</v>
      </c>
      <c r="AW1411" t="s">
        <v>108</v>
      </c>
      <c r="AX1411" s="24" t="str">
        <f t="shared" si="145"/>
        <v/>
      </c>
      <c r="AY1411" s="24">
        <f t="shared" si="145"/>
        <v>1</v>
      </c>
      <c r="AZ1411" s="24" t="str">
        <f t="shared" si="146"/>
        <v/>
      </c>
      <c r="BA1411" s="24" t="str">
        <f t="shared" si="146"/>
        <v/>
      </c>
      <c r="BB1411" s="24" t="str">
        <f t="shared" si="146"/>
        <v/>
      </c>
      <c r="BC1411" s="24" t="str">
        <f t="shared" si="146"/>
        <v/>
      </c>
      <c r="BD1411" s="24" t="str">
        <f t="shared" si="146"/>
        <v/>
      </c>
      <c r="BE1411" s="24" t="str">
        <f t="shared" si="146"/>
        <v/>
      </c>
      <c r="BF1411" s="24" t="str">
        <f t="shared" si="146"/>
        <v/>
      </c>
      <c r="BG1411" s="24" t="str">
        <f t="shared" si="146"/>
        <v/>
      </c>
      <c r="BH1411" s="24" t="str">
        <f t="shared" ref="BH1411:BH1474" si="148">IF(ISERROR(FIND("CBO",$L1411,1)),"",1)</f>
        <v/>
      </c>
      <c r="BI1411" s="24" t="str">
        <f t="shared" si="146"/>
        <v/>
      </c>
      <c r="BJ1411" s="24" t="str">
        <f t="shared" si="143"/>
        <v/>
      </c>
    </row>
    <row r="1412" spans="1:62" ht="15" customHeight="1" x14ac:dyDescent="0.25">
      <c r="A1412" t="str">
        <f>"1568442721"</f>
        <v>1568442721</v>
      </c>
      <c r="B1412" t="str">
        <f>"03912576"</f>
        <v>03912576</v>
      </c>
      <c r="C1412" t="s">
        <v>1618</v>
      </c>
      <c r="D1412" t="s">
        <v>1619</v>
      </c>
      <c r="E1412" t="s">
        <v>1620</v>
      </c>
      <c r="G1412" t="s">
        <v>638</v>
      </c>
      <c r="H1412" t="s">
        <v>645</v>
      </c>
      <c r="J1412" t="s">
        <v>1621</v>
      </c>
      <c r="L1412" t="s">
        <v>138</v>
      </c>
      <c r="M1412" t="s">
        <v>108</v>
      </c>
      <c r="R1412" t="s">
        <v>1622</v>
      </c>
      <c r="W1412" t="s">
        <v>1620</v>
      </c>
      <c r="X1412" t="s">
        <v>655</v>
      </c>
      <c r="Y1412" t="s">
        <v>239</v>
      </c>
      <c r="Z1412" t="s">
        <v>111</v>
      </c>
      <c r="AA1412" t="str">
        <f>"13045-1651"</f>
        <v>13045-1651</v>
      </c>
      <c r="AB1412" t="s">
        <v>123</v>
      </c>
      <c r="AC1412" t="s">
        <v>113</v>
      </c>
      <c r="AD1412" t="s">
        <v>108</v>
      </c>
      <c r="AE1412" t="s">
        <v>114</v>
      </c>
      <c r="AF1412" t="s">
        <v>142</v>
      </c>
      <c r="AG1412" t="s">
        <v>116</v>
      </c>
      <c r="AK1412" t="str">
        <f t="shared" si="147"/>
        <v/>
      </c>
      <c r="AL1412" t="s">
        <v>1619</v>
      </c>
      <c r="AM1412">
        <v>1</v>
      </c>
      <c r="AN1412">
        <v>1</v>
      </c>
      <c r="AO1412">
        <v>0</v>
      </c>
      <c r="AP1412">
        <v>0</v>
      </c>
      <c r="AQ1412">
        <v>0</v>
      </c>
      <c r="AR1412">
        <v>0</v>
      </c>
      <c r="AS1412">
        <v>0</v>
      </c>
      <c r="AT1412">
        <v>0</v>
      </c>
      <c r="AU1412">
        <v>0</v>
      </c>
      <c r="AV1412">
        <v>0</v>
      </c>
      <c r="AW1412">
        <v>0</v>
      </c>
      <c r="AX1412" s="24" t="str">
        <f t="shared" si="145"/>
        <v/>
      </c>
      <c r="AY1412" s="24">
        <f t="shared" si="145"/>
        <v>1</v>
      </c>
      <c r="AZ1412" s="24" t="str">
        <f t="shared" si="146"/>
        <v/>
      </c>
      <c r="BA1412" s="24" t="str">
        <f t="shared" si="146"/>
        <v/>
      </c>
      <c r="BB1412" s="24" t="str">
        <f t="shared" si="146"/>
        <v/>
      </c>
      <c r="BC1412" s="24" t="str">
        <f t="shared" si="146"/>
        <v/>
      </c>
      <c r="BD1412" s="24" t="str">
        <f t="shared" si="146"/>
        <v/>
      </c>
      <c r="BE1412" s="24" t="str">
        <f t="shared" si="146"/>
        <v/>
      </c>
      <c r="BF1412" s="24" t="str">
        <f t="shared" si="146"/>
        <v/>
      </c>
      <c r="BG1412" s="24" t="str">
        <f t="shared" si="146"/>
        <v/>
      </c>
      <c r="BH1412" s="24" t="str">
        <f t="shared" si="148"/>
        <v/>
      </c>
      <c r="BI1412" s="24">
        <f t="shared" si="146"/>
        <v>1</v>
      </c>
      <c r="BJ1412" s="24" t="str">
        <f t="shared" si="143"/>
        <v/>
      </c>
    </row>
    <row r="1413" spans="1:62" ht="15" customHeight="1" x14ac:dyDescent="0.25">
      <c r="A1413" t="str">
        <f>"1770685166"</f>
        <v>1770685166</v>
      </c>
      <c r="B1413" t="str">
        <f>"02509828"</f>
        <v>02509828</v>
      </c>
      <c r="C1413" t="s">
        <v>3630</v>
      </c>
      <c r="D1413" t="s">
        <v>3631</v>
      </c>
      <c r="E1413" t="s">
        <v>3632</v>
      </c>
      <c r="G1413" t="s">
        <v>2412</v>
      </c>
      <c r="H1413" t="s">
        <v>2413</v>
      </c>
      <c r="I1413">
        <v>2359</v>
      </c>
      <c r="J1413" t="s">
        <v>3633</v>
      </c>
      <c r="L1413" t="s">
        <v>120</v>
      </c>
      <c r="M1413" t="s">
        <v>108</v>
      </c>
      <c r="R1413" t="s">
        <v>3632</v>
      </c>
      <c r="W1413" t="s">
        <v>3632</v>
      </c>
      <c r="X1413" t="s">
        <v>3014</v>
      </c>
      <c r="Y1413" t="s">
        <v>1655</v>
      </c>
      <c r="Z1413" t="s">
        <v>111</v>
      </c>
      <c r="AA1413" t="str">
        <f>"14865-9740"</f>
        <v>14865-9740</v>
      </c>
      <c r="AB1413" t="s">
        <v>123</v>
      </c>
      <c r="AC1413" t="s">
        <v>113</v>
      </c>
      <c r="AD1413" t="s">
        <v>108</v>
      </c>
      <c r="AE1413" t="s">
        <v>114</v>
      </c>
      <c r="AF1413" t="s">
        <v>142</v>
      </c>
      <c r="AG1413" t="s">
        <v>116</v>
      </c>
      <c r="AK1413" t="str">
        <f t="shared" si="147"/>
        <v/>
      </c>
      <c r="AL1413" t="s">
        <v>3631</v>
      </c>
      <c r="AM1413">
        <v>1</v>
      </c>
      <c r="AN1413">
        <v>1</v>
      </c>
      <c r="AO1413">
        <v>0</v>
      </c>
      <c r="AP1413">
        <v>0</v>
      </c>
      <c r="AQ1413">
        <v>0</v>
      </c>
      <c r="AR1413">
        <v>0</v>
      </c>
      <c r="AS1413">
        <v>0</v>
      </c>
      <c r="AT1413">
        <v>0</v>
      </c>
      <c r="AU1413">
        <v>0</v>
      </c>
      <c r="AV1413">
        <v>0</v>
      </c>
      <c r="AW1413">
        <v>0</v>
      </c>
      <c r="AX1413" s="24">
        <f t="shared" si="145"/>
        <v>1</v>
      </c>
      <c r="AY1413" s="24" t="str">
        <f t="shared" si="145"/>
        <v/>
      </c>
      <c r="AZ1413" s="24" t="str">
        <f t="shared" si="146"/>
        <v/>
      </c>
      <c r="BA1413" s="24" t="str">
        <f t="shared" si="146"/>
        <v/>
      </c>
      <c r="BB1413" s="24" t="str">
        <f t="shared" si="146"/>
        <v/>
      </c>
      <c r="BC1413" s="24" t="str">
        <f t="shared" si="146"/>
        <v/>
      </c>
      <c r="BD1413" s="24" t="str">
        <f t="shared" si="146"/>
        <v/>
      </c>
      <c r="BE1413" s="24" t="str">
        <f t="shared" si="146"/>
        <v/>
      </c>
      <c r="BF1413" s="24" t="str">
        <f t="shared" si="146"/>
        <v/>
      </c>
      <c r="BG1413" s="24" t="str">
        <f t="shared" si="146"/>
        <v/>
      </c>
      <c r="BH1413" s="24" t="str">
        <f t="shared" si="148"/>
        <v/>
      </c>
      <c r="BI1413" s="24">
        <f t="shared" si="146"/>
        <v>1</v>
      </c>
      <c r="BJ1413" s="24" t="str">
        <f t="shared" si="143"/>
        <v/>
      </c>
    </row>
    <row r="1414" spans="1:62" ht="15" customHeight="1" x14ac:dyDescent="0.25">
      <c r="A1414" t="str">
        <f>"1407949027"</f>
        <v>1407949027</v>
      </c>
      <c r="C1414" t="s">
        <v>5701</v>
      </c>
      <c r="G1414" t="s">
        <v>5702</v>
      </c>
      <c r="H1414" t="s">
        <v>5703</v>
      </c>
      <c r="J1414" t="s">
        <v>5704</v>
      </c>
      <c r="K1414" t="s">
        <v>5705</v>
      </c>
      <c r="L1414" t="s">
        <v>133</v>
      </c>
      <c r="M1414" t="s">
        <v>108</v>
      </c>
      <c r="R1414" t="s">
        <v>5701</v>
      </c>
      <c r="S1414" t="s">
        <v>5706</v>
      </c>
      <c r="T1414" t="s">
        <v>141</v>
      </c>
      <c r="U1414" t="s">
        <v>111</v>
      </c>
      <c r="V1414" t="str">
        <f>"13210"</f>
        <v>13210</v>
      </c>
      <c r="AC1414" t="s">
        <v>113</v>
      </c>
      <c r="AD1414" t="s">
        <v>108</v>
      </c>
      <c r="AE1414" t="s">
        <v>775</v>
      </c>
      <c r="AF1414" t="s">
        <v>115</v>
      </c>
      <c r="AG1414" t="s">
        <v>116</v>
      </c>
      <c r="AK1414" t="str">
        <f t="shared" si="147"/>
        <v>VALLONE JENNIFER MS.</v>
      </c>
      <c r="AM1414" t="s">
        <v>108</v>
      </c>
      <c r="AN1414" t="s">
        <v>108</v>
      </c>
      <c r="AO1414" t="s">
        <v>108</v>
      </c>
      <c r="AP1414" t="s">
        <v>108</v>
      </c>
      <c r="AQ1414" t="s">
        <v>108</v>
      </c>
      <c r="AR1414" t="s">
        <v>108</v>
      </c>
      <c r="AS1414" t="s">
        <v>108</v>
      </c>
      <c r="AT1414" t="s">
        <v>108</v>
      </c>
      <c r="AU1414" t="s">
        <v>108</v>
      </c>
      <c r="AV1414" t="s">
        <v>108</v>
      </c>
      <c r="AW1414" t="s">
        <v>108</v>
      </c>
      <c r="AX1414" s="24" t="str">
        <f t="shared" si="145"/>
        <v/>
      </c>
      <c r="AY1414" s="24" t="str">
        <f t="shared" si="145"/>
        <v/>
      </c>
      <c r="AZ1414" s="24" t="str">
        <f t="shared" si="146"/>
        <v/>
      </c>
      <c r="BA1414" s="24" t="str">
        <f t="shared" si="146"/>
        <v/>
      </c>
      <c r="BB1414" s="24" t="str">
        <f t="shared" si="146"/>
        <v/>
      </c>
      <c r="BC1414" s="24" t="str">
        <f t="shared" si="146"/>
        <v/>
      </c>
      <c r="BD1414" s="24" t="str">
        <f t="shared" si="146"/>
        <v/>
      </c>
      <c r="BE1414" s="24" t="str">
        <f t="shared" si="146"/>
        <v/>
      </c>
      <c r="BF1414" s="24" t="str">
        <f t="shared" si="146"/>
        <v/>
      </c>
      <c r="BG1414" s="24" t="str">
        <f t="shared" si="146"/>
        <v/>
      </c>
      <c r="BH1414" s="24" t="str">
        <f t="shared" si="148"/>
        <v/>
      </c>
      <c r="BI1414" s="24" t="str">
        <f t="shared" si="146"/>
        <v/>
      </c>
      <c r="BJ1414" s="24">
        <f t="shared" si="143"/>
        <v>1</v>
      </c>
    </row>
    <row r="1415" spans="1:62" ht="15" customHeight="1" x14ac:dyDescent="0.25">
      <c r="A1415" t="str">
        <f>"1508096181"</f>
        <v>1508096181</v>
      </c>
      <c r="B1415" t="str">
        <f>"03174650"</f>
        <v>03174650</v>
      </c>
      <c r="C1415" t="s">
        <v>6772</v>
      </c>
      <c r="D1415" t="s">
        <v>7044</v>
      </c>
      <c r="E1415" t="s">
        <v>6900</v>
      </c>
      <c r="G1415" t="s">
        <v>7184</v>
      </c>
      <c r="H1415" t="s">
        <v>2379</v>
      </c>
      <c r="J1415" t="s">
        <v>7185</v>
      </c>
      <c r="L1415" t="s">
        <v>138</v>
      </c>
      <c r="M1415" t="s">
        <v>108</v>
      </c>
      <c r="R1415" t="s">
        <v>6772</v>
      </c>
      <c r="W1415" t="s">
        <v>6900</v>
      </c>
      <c r="X1415" t="s">
        <v>2382</v>
      </c>
      <c r="Y1415" t="s">
        <v>979</v>
      </c>
      <c r="Z1415" t="s">
        <v>111</v>
      </c>
      <c r="AA1415" t="str">
        <f>"13760-3646"</f>
        <v>13760-3646</v>
      </c>
      <c r="AB1415" t="s">
        <v>123</v>
      </c>
      <c r="AC1415" t="s">
        <v>113</v>
      </c>
      <c r="AD1415" t="s">
        <v>108</v>
      </c>
      <c r="AE1415" t="s">
        <v>114</v>
      </c>
      <c r="AF1415" t="s">
        <v>115</v>
      </c>
      <c r="AG1415" t="s">
        <v>116</v>
      </c>
      <c r="AK1415" t="str">
        <f t="shared" si="147"/>
        <v>VAN INGEN LAURIE</v>
      </c>
      <c r="AL1415" t="s">
        <v>7044</v>
      </c>
      <c r="AM1415" t="s">
        <v>108</v>
      </c>
      <c r="AN1415" t="s">
        <v>108</v>
      </c>
      <c r="AO1415" t="s">
        <v>108</v>
      </c>
      <c r="AP1415" t="s">
        <v>108</v>
      </c>
      <c r="AQ1415" t="s">
        <v>108</v>
      </c>
      <c r="AR1415" t="s">
        <v>108</v>
      </c>
      <c r="AS1415" t="s">
        <v>108</v>
      </c>
      <c r="AT1415" t="s">
        <v>108</v>
      </c>
      <c r="AU1415" t="s">
        <v>108</v>
      </c>
      <c r="AV1415" t="s">
        <v>108</v>
      </c>
      <c r="AW1415" t="s">
        <v>108</v>
      </c>
      <c r="AX1415" s="24" t="str">
        <f t="shared" si="145"/>
        <v/>
      </c>
      <c r="AY1415" s="24">
        <f t="shared" si="145"/>
        <v>1</v>
      </c>
      <c r="AZ1415" s="24" t="str">
        <f t="shared" si="146"/>
        <v/>
      </c>
      <c r="BA1415" s="24" t="str">
        <f t="shared" si="146"/>
        <v/>
      </c>
      <c r="BB1415" s="24" t="str">
        <f t="shared" si="146"/>
        <v/>
      </c>
      <c r="BC1415" s="24" t="str">
        <f t="shared" si="146"/>
        <v/>
      </c>
      <c r="BD1415" s="24" t="str">
        <f t="shared" si="146"/>
        <v/>
      </c>
      <c r="BE1415" s="24" t="str">
        <f t="shared" si="146"/>
        <v/>
      </c>
      <c r="BF1415" s="24" t="str">
        <f t="shared" si="146"/>
        <v/>
      </c>
      <c r="BG1415" s="24" t="str">
        <f t="shared" si="146"/>
        <v/>
      </c>
      <c r="BH1415" s="24" t="str">
        <f t="shared" si="148"/>
        <v/>
      </c>
      <c r="BI1415" s="24">
        <f t="shared" si="146"/>
        <v>1</v>
      </c>
      <c r="BJ1415" s="24" t="str">
        <f t="shared" si="143"/>
        <v/>
      </c>
    </row>
    <row r="1416" spans="1:62" ht="15" customHeight="1" x14ac:dyDescent="0.25">
      <c r="A1416" t="str">
        <f>"1063611135"</f>
        <v>1063611135</v>
      </c>
      <c r="B1416" t="str">
        <f>"03053770"</f>
        <v>03053770</v>
      </c>
      <c r="C1416" t="s">
        <v>1250</v>
      </c>
      <c r="D1416" t="s">
        <v>1251</v>
      </c>
      <c r="E1416" t="s">
        <v>1252</v>
      </c>
      <c r="L1416" t="s">
        <v>247</v>
      </c>
      <c r="M1416" t="s">
        <v>108</v>
      </c>
      <c r="R1416" t="s">
        <v>1253</v>
      </c>
      <c r="W1416" t="s">
        <v>1254</v>
      </c>
      <c r="X1416" t="s">
        <v>196</v>
      </c>
      <c r="Y1416" t="s">
        <v>181</v>
      </c>
      <c r="Z1416" t="s">
        <v>182</v>
      </c>
      <c r="AA1416" t="str">
        <f>"18840-1625"</f>
        <v>18840-1625</v>
      </c>
      <c r="AB1416" t="s">
        <v>123</v>
      </c>
      <c r="AC1416" t="s">
        <v>113</v>
      </c>
      <c r="AD1416" t="s">
        <v>108</v>
      </c>
      <c r="AE1416" t="s">
        <v>114</v>
      </c>
      <c r="AF1416" t="s">
        <v>115</v>
      </c>
      <c r="AG1416" t="s">
        <v>116</v>
      </c>
      <c r="AK1416" t="str">
        <f t="shared" si="147"/>
        <v/>
      </c>
      <c r="AL1416" t="s">
        <v>1251</v>
      </c>
      <c r="AM1416">
        <v>0</v>
      </c>
      <c r="AN1416">
        <v>0</v>
      </c>
      <c r="AO1416">
        <v>0</v>
      </c>
      <c r="AP1416">
        <v>0</v>
      </c>
      <c r="AQ1416">
        <v>0</v>
      </c>
      <c r="AR1416">
        <v>0</v>
      </c>
      <c r="AS1416">
        <v>0</v>
      </c>
      <c r="AT1416">
        <v>0</v>
      </c>
      <c r="AU1416">
        <v>0</v>
      </c>
      <c r="AV1416">
        <v>0</v>
      </c>
      <c r="AW1416">
        <v>0</v>
      </c>
      <c r="AX1416" s="24" t="str">
        <f t="shared" si="145"/>
        <v/>
      </c>
      <c r="AY1416" s="24">
        <f t="shared" si="145"/>
        <v>1</v>
      </c>
      <c r="AZ1416" s="24" t="str">
        <f t="shared" si="146"/>
        <v/>
      </c>
      <c r="BA1416" s="24" t="str">
        <f t="shared" ref="AZ1416:BI1441" si="149">IF(ISERROR(FIND(BA$1,$L1416,1)),"",1)</f>
        <v/>
      </c>
      <c r="BB1416" s="24" t="str">
        <f t="shared" si="149"/>
        <v/>
      </c>
      <c r="BC1416" s="24" t="str">
        <f t="shared" si="149"/>
        <v/>
      </c>
      <c r="BD1416" s="24" t="str">
        <f t="shared" si="149"/>
        <v/>
      </c>
      <c r="BE1416" s="24" t="str">
        <f t="shared" si="149"/>
        <v/>
      </c>
      <c r="BF1416" s="24" t="str">
        <f t="shared" si="149"/>
        <v/>
      </c>
      <c r="BG1416" s="24" t="str">
        <f t="shared" si="149"/>
        <v/>
      </c>
      <c r="BH1416" s="24" t="str">
        <f t="shared" si="148"/>
        <v/>
      </c>
      <c r="BI1416" s="24" t="str">
        <f t="shared" si="149"/>
        <v/>
      </c>
      <c r="BJ1416" s="24" t="str">
        <f t="shared" si="143"/>
        <v/>
      </c>
    </row>
    <row r="1417" spans="1:62" ht="15" customHeight="1" x14ac:dyDescent="0.25">
      <c r="A1417" t="str">
        <f>"1215903844"</f>
        <v>1215903844</v>
      </c>
      <c r="B1417" t="str">
        <f>"01876677"</f>
        <v>01876677</v>
      </c>
      <c r="C1417" t="s">
        <v>2955</v>
      </c>
      <c r="D1417" t="s">
        <v>2956</v>
      </c>
      <c r="E1417" t="s">
        <v>2957</v>
      </c>
      <c r="G1417" t="s">
        <v>177</v>
      </c>
      <c r="H1417" t="s">
        <v>178</v>
      </c>
      <c r="J1417" t="s">
        <v>179</v>
      </c>
      <c r="L1417" t="s">
        <v>138</v>
      </c>
      <c r="M1417" t="s">
        <v>108</v>
      </c>
      <c r="R1417" t="s">
        <v>2955</v>
      </c>
      <c r="W1417" t="s">
        <v>2957</v>
      </c>
      <c r="X1417" t="s">
        <v>2958</v>
      </c>
      <c r="Y1417" t="s">
        <v>181</v>
      </c>
      <c r="Z1417" t="s">
        <v>182</v>
      </c>
      <c r="AA1417" t="str">
        <f>"18840"</f>
        <v>18840</v>
      </c>
      <c r="AB1417" t="s">
        <v>123</v>
      </c>
      <c r="AC1417" t="s">
        <v>113</v>
      </c>
      <c r="AD1417" t="s">
        <v>108</v>
      </c>
      <c r="AE1417" t="s">
        <v>114</v>
      </c>
      <c r="AF1417" t="s">
        <v>115</v>
      </c>
      <c r="AG1417" t="s">
        <v>116</v>
      </c>
      <c r="AK1417" t="str">
        <f t="shared" si="147"/>
        <v/>
      </c>
      <c r="AL1417" t="s">
        <v>2956</v>
      </c>
      <c r="AM1417">
        <v>1</v>
      </c>
      <c r="AN1417">
        <v>1</v>
      </c>
      <c r="AO1417">
        <v>0</v>
      </c>
      <c r="AP1417">
        <v>0</v>
      </c>
      <c r="AQ1417">
        <v>0</v>
      </c>
      <c r="AR1417">
        <v>0</v>
      </c>
      <c r="AS1417">
        <v>0</v>
      </c>
      <c r="AT1417">
        <v>0</v>
      </c>
      <c r="AU1417">
        <v>0</v>
      </c>
      <c r="AV1417">
        <v>1</v>
      </c>
      <c r="AW1417">
        <v>0</v>
      </c>
      <c r="AX1417" s="24" t="str">
        <f t="shared" si="145"/>
        <v/>
      </c>
      <c r="AY1417" s="24">
        <f t="shared" si="145"/>
        <v>1</v>
      </c>
      <c r="AZ1417" s="24" t="str">
        <f t="shared" si="149"/>
        <v/>
      </c>
      <c r="BA1417" s="24" t="str">
        <f t="shared" si="149"/>
        <v/>
      </c>
      <c r="BB1417" s="24" t="str">
        <f t="shared" si="149"/>
        <v/>
      </c>
      <c r="BC1417" s="24" t="str">
        <f t="shared" si="149"/>
        <v/>
      </c>
      <c r="BD1417" s="24" t="str">
        <f t="shared" si="149"/>
        <v/>
      </c>
      <c r="BE1417" s="24" t="str">
        <f t="shared" si="149"/>
        <v/>
      </c>
      <c r="BF1417" s="24" t="str">
        <f t="shared" si="149"/>
        <v/>
      </c>
      <c r="BG1417" s="24" t="str">
        <f t="shared" si="149"/>
        <v/>
      </c>
      <c r="BH1417" s="24" t="str">
        <f t="shared" si="148"/>
        <v/>
      </c>
      <c r="BI1417" s="24">
        <f t="shared" si="149"/>
        <v>1</v>
      </c>
      <c r="BJ1417" s="24" t="str">
        <f t="shared" si="143"/>
        <v/>
      </c>
    </row>
    <row r="1418" spans="1:62" ht="15" customHeight="1" x14ac:dyDescent="0.25">
      <c r="A1418" t="str">
        <f>"1629048921"</f>
        <v>1629048921</v>
      </c>
      <c r="B1418" t="str">
        <f>"01480395"</f>
        <v>01480395</v>
      </c>
      <c r="C1418" t="s">
        <v>6637</v>
      </c>
      <c r="D1418" t="s">
        <v>6638</v>
      </c>
      <c r="E1418" t="s">
        <v>6639</v>
      </c>
      <c r="G1418" t="s">
        <v>6279</v>
      </c>
      <c r="H1418" t="s">
        <v>5843</v>
      </c>
      <c r="J1418" t="s">
        <v>6280</v>
      </c>
      <c r="L1418" t="s">
        <v>120</v>
      </c>
      <c r="M1418" t="s">
        <v>108</v>
      </c>
      <c r="R1418" t="s">
        <v>6640</v>
      </c>
      <c r="W1418" t="s">
        <v>6641</v>
      </c>
      <c r="X1418" t="s">
        <v>2759</v>
      </c>
      <c r="Y1418" t="s">
        <v>293</v>
      </c>
      <c r="Z1418" t="s">
        <v>111</v>
      </c>
      <c r="AA1418" t="str">
        <f>"14850-1863"</f>
        <v>14850-1863</v>
      </c>
      <c r="AB1418" t="s">
        <v>123</v>
      </c>
      <c r="AC1418" t="s">
        <v>113</v>
      </c>
      <c r="AD1418" t="s">
        <v>108</v>
      </c>
      <c r="AE1418" t="s">
        <v>114</v>
      </c>
      <c r="AF1418" t="s">
        <v>142</v>
      </c>
      <c r="AG1418" t="s">
        <v>116</v>
      </c>
      <c r="AK1418" t="str">
        <f t="shared" si="147"/>
        <v>Varn Marianne</v>
      </c>
      <c r="AL1418" t="s">
        <v>6638</v>
      </c>
      <c r="AM1418" t="s">
        <v>108</v>
      </c>
      <c r="AN1418" t="s">
        <v>108</v>
      </c>
      <c r="AO1418" t="s">
        <v>108</v>
      </c>
      <c r="AP1418" t="s">
        <v>108</v>
      </c>
      <c r="AQ1418" t="s">
        <v>108</v>
      </c>
      <c r="AR1418" t="s">
        <v>108</v>
      </c>
      <c r="AS1418" t="s">
        <v>108</v>
      </c>
      <c r="AT1418" t="s">
        <v>108</v>
      </c>
      <c r="AU1418" t="s">
        <v>108</v>
      </c>
      <c r="AV1418" t="s">
        <v>108</v>
      </c>
      <c r="AW1418" t="s">
        <v>108</v>
      </c>
      <c r="AX1418" s="24">
        <f t="shared" si="145"/>
        <v>1</v>
      </c>
      <c r="AY1418" s="24" t="str">
        <f t="shared" si="145"/>
        <v/>
      </c>
      <c r="AZ1418" s="24" t="str">
        <f t="shared" si="149"/>
        <v/>
      </c>
      <c r="BA1418" s="24" t="str">
        <f t="shared" si="149"/>
        <v/>
      </c>
      <c r="BB1418" s="24" t="str">
        <f t="shared" si="149"/>
        <v/>
      </c>
      <c r="BC1418" s="24" t="str">
        <f t="shared" si="149"/>
        <v/>
      </c>
      <c r="BD1418" s="24" t="str">
        <f t="shared" si="149"/>
        <v/>
      </c>
      <c r="BE1418" s="24" t="str">
        <f t="shared" si="149"/>
        <v/>
      </c>
      <c r="BF1418" s="24" t="str">
        <f t="shared" si="149"/>
        <v/>
      </c>
      <c r="BG1418" s="24" t="str">
        <f t="shared" si="149"/>
        <v/>
      </c>
      <c r="BH1418" s="24" t="str">
        <f t="shared" si="148"/>
        <v/>
      </c>
      <c r="BI1418" s="24">
        <f t="shared" si="149"/>
        <v>1</v>
      </c>
      <c r="BJ1418" s="24" t="str">
        <f t="shared" si="143"/>
        <v/>
      </c>
    </row>
    <row r="1419" spans="1:62" ht="15" customHeight="1" x14ac:dyDescent="0.25">
      <c r="A1419" t="str">
        <f>"1457466567"</f>
        <v>1457466567</v>
      </c>
      <c r="B1419" t="str">
        <f>"02796472"</f>
        <v>02796472</v>
      </c>
      <c r="C1419" t="s">
        <v>1453</v>
      </c>
      <c r="D1419" t="s">
        <v>1454</v>
      </c>
      <c r="E1419" t="s">
        <v>1455</v>
      </c>
      <c r="G1419" t="s">
        <v>1453</v>
      </c>
      <c r="H1419" t="s">
        <v>1456</v>
      </c>
      <c r="J1419" t="s">
        <v>1457</v>
      </c>
      <c r="L1419" t="s">
        <v>120</v>
      </c>
      <c r="M1419" t="s">
        <v>108</v>
      </c>
      <c r="R1419" t="s">
        <v>1458</v>
      </c>
      <c r="W1419" t="s">
        <v>1455</v>
      </c>
      <c r="X1419" t="s">
        <v>238</v>
      </c>
      <c r="Y1419" t="s">
        <v>239</v>
      </c>
      <c r="Z1419" t="s">
        <v>111</v>
      </c>
      <c r="AA1419" t="str">
        <f>"13045-1206"</f>
        <v>13045-1206</v>
      </c>
      <c r="AB1419" t="s">
        <v>123</v>
      </c>
      <c r="AC1419" t="s">
        <v>113</v>
      </c>
      <c r="AD1419" t="s">
        <v>108</v>
      </c>
      <c r="AE1419" t="s">
        <v>114</v>
      </c>
      <c r="AF1419" t="s">
        <v>142</v>
      </c>
      <c r="AG1419" t="s">
        <v>116</v>
      </c>
      <c r="AK1419" t="str">
        <f t="shared" si="147"/>
        <v/>
      </c>
      <c r="AL1419" t="s">
        <v>1454</v>
      </c>
      <c r="AM1419">
        <v>1</v>
      </c>
      <c r="AN1419">
        <v>1</v>
      </c>
      <c r="AO1419">
        <v>0</v>
      </c>
      <c r="AP1419">
        <v>1</v>
      </c>
      <c r="AQ1419">
        <v>1</v>
      </c>
      <c r="AR1419">
        <v>0</v>
      </c>
      <c r="AS1419">
        <v>0</v>
      </c>
      <c r="AT1419">
        <v>1</v>
      </c>
      <c r="AU1419">
        <v>0</v>
      </c>
      <c r="AV1419">
        <v>0</v>
      </c>
      <c r="AW1419">
        <v>1</v>
      </c>
      <c r="AX1419" s="24">
        <f t="shared" si="145"/>
        <v>1</v>
      </c>
      <c r="AY1419" s="24" t="str">
        <f t="shared" si="145"/>
        <v/>
      </c>
      <c r="AZ1419" s="24" t="str">
        <f t="shared" si="149"/>
        <v/>
      </c>
      <c r="BA1419" s="24" t="str">
        <f t="shared" si="149"/>
        <v/>
      </c>
      <c r="BB1419" s="24" t="str">
        <f t="shared" si="149"/>
        <v/>
      </c>
      <c r="BC1419" s="24" t="str">
        <f t="shared" si="149"/>
        <v/>
      </c>
      <c r="BD1419" s="24" t="str">
        <f t="shared" si="149"/>
        <v/>
      </c>
      <c r="BE1419" s="24" t="str">
        <f t="shared" si="149"/>
        <v/>
      </c>
      <c r="BF1419" s="24" t="str">
        <f t="shared" si="149"/>
        <v/>
      </c>
      <c r="BG1419" s="24" t="str">
        <f t="shared" si="149"/>
        <v/>
      </c>
      <c r="BH1419" s="24" t="str">
        <f t="shared" si="148"/>
        <v/>
      </c>
      <c r="BI1419" s="24">
        <f t="shared" si="149"/>
        <v>1</v>
      </c>
      <c r="BJ1419" s="24" t="str">
        <f t="shared" si="143"/>
        <v/>
      </c>
    </row>
    <row r="1420" spans="1:62" ht="15" customHeight="1" x14ac:dyDescent="0.25">
      <c r="A1420" t="str">
        <f>"1356317648"</f>
        <v>1356317648</v>
      </c>
      <c r="B1420" t="str">
        <f>"02379248"</f>
        <v>02379248</v>
      </c>
      <c r="C1420" t="s">
        <v>2971</v>
      </c>
      <c r="D1420" t="s">
        <v>2972</v>
      </c>
      <c r="E1420" t="s">
        <v>2973</v>
      </c>
      <c r="G1420" t="s">
        <v>177</v>
      </c>
      <c r="H1420" t="s">
        <v>178</v>
      </c>
      <c r="J1420" t="s">
        <v>179</v>
      </c>
      <c r="L1420" t="s">
        <v>138</v>
      </c>
      <c r="M1420" t="s">
        <v>108</v>
      </c>
      <c r="R1420" t="s">
        <v>2974</v>
      </c>
      <c r="W1420" t="s">
        <v>2973</v>
      </c>
      <c r="X1420" t="s">
        <v>180</v>
      </c>
      <c r="Y1420" t="s">
        <v>181</v>
      </c>
      <c r="Z1420" t="s">
        <v>182</v>
      </c>
      <c r="AA1420" t="str">
        <f>"18840"</f>
        <v>18840</v>
      </c>
      <c r="AB1420" t="s">
        <v>123</v>
      </c>
      <c r="AC1420" t="s">
        <v>113</v>
      </c>
      <c r="AD1420" t="s">
        <v>108</v>
      </c>
      <c r="AE1420" t="s">
        <v>114</v>
      </c>
      <c r="AF1420" t="s">
        <v>115</v>
      </c>
      <c r="AG1420" t="s">
        <v>116</v>
      </c>
      <c r="AK1420" t="str">
        <f t="shared" si="147"/>
        <v/>
      </c>
      <c r="AL1420" t="s">
        <v>2972</v>
      </c>
      <c r="AM1420">
        <v>0</v>
      </c>
      <c r="AN1420">
        <v>0</v>
      </c>
      <c r="AO1420">
        <v>0</v>
      </c>
      <c r="AP1420">
        <v>0</v>
      </c>
      <c r="AQ1420">
        <v>0</v>
      </c>
      <c r="AR1420">
        <v>0</v>
      </c>
      <c r="AS1420">
        <v>0</v>
      </c>
      <c r="AT1420">
        <v>0</v>
      </c>
      <c r="AU1420">
        <v>0</v>
      </c>
      <c r="AV1420">
        <v>0</v>
      </c>
      <c r="AW1420">
        <v>0</v>
      </c>
      <c r="AX1420" s="24" t="str">
        <f t="shared" si="145"/>
        <v/>
      </c>
      <c r="AY1420" s="24">
        <f t="shared" si="145"/>
        <v>1</v>
      </c>
      <c r="AZ1420" s="24" t="str">
        <f t="shared" si="149"/>
        <v/>
      </c>
      <c r="BA1420" s="24" t="str">
        <f t="shared" si="149"/>
        <v/>
      </c>
      <c r="BB1420" s="24" t="str">
        <f t="shared" si="149"/>
        <v/>
      </c>
      <c r="BC1420" s="24" t="str">
        <f t="shared" si="149"/>
        <v/>
      </c>
      <c r="BD1420" s="24" t="str">
        <f t="shared" si="149"/>
        <v/>
      </c>
      <c r="BE1420" s="24" t="str">
        <f t="shared" si="149"/>
        <v/>
      </c>
      <c r="BF1420" s="24" t="str">
        <f t="shared" si="149"/>
        <v/>
      </c>
      <c r="BG1420" s="24" t="str">
        <f t="shared" si="149"/>
        <v/>
      </c>
      <c r="BH1420" s="24" t="str">
        <f t="shared" si="148"/>
        <v/>
      </c>
      <c r="BI1420" s="24">
        <f t="shared" si="149"/>
        <v>1</v>
      </c>
      <c r="BJ1420" s="24" t="str">
        <f t="shared" si="143"/>
        <v/>
      </c>
    </row>
    <row r="1421" spans="1:62" ht="15" customHeight="1" x14ac:dyDescent="0.25">
      <c r="A1421" t="str">
        <f>"1013207372"</f>
        <v>1013207372</v>
      </c>
      <c r="B1421" t="str">
        <f>"00474704"</f>
        <v>00474704</v>
      </c>
      <c r="C1421" t="s">
        <v>2383</v>
      </c>
      <c r="D1421" t="s">
        <v>2384</v>
      </c>
      <c r="E1421" t="s">
        <v>2385</v>
      </c>
      <c r="G1421" t="s">
        <v>2386</v>
      </c>
      <c r="H1421" t="s">
        <v>2387</v>
      </c>
      <c r="J1421" t="s">
        <v>2388</v>
      </c>
      <c r="L1421" t="s">
        <v>1382</v>
      </c>
      <c r="M1421" t="s">
        <v>139</v>
      </c>
      <c r="R1421" t="s">
        <v>2389</v>
      </c>
      <c r="W1421" t="s">
        <v>2390</v>
      </c>
      <c r="X1421" t="s">
        <v>2391</v>
      </c>
      <c r="Y1421" t="s">
        <v>966</v>
      </c>
      <c r="Z1421" t="s">
        <v>111</v>
      </c>
      <c r="AA1421" t="str">
        <f>"13850-3334"</f>
        <v>13850-3334</v>
      </c>
      <c r="AB1421" t="s">
        <v>312</v>
      </c>
      <c r="AC1421" t="s">
        <v>113</v>
      </c>
      <c r="AD1421" t="s">
        <v>108</v>
      </c>
      <c r="AE1421" t="s">
        <v>114</v>
      </c>
      <c r="AF1421" t="s">
        <v>115</v>
      </c>
      <c r="AG1421" t="s">
        <v>116</v>
      </c>
      <c r="AK1421" t="str">
        <f t="shared" si="147"/>
        <v/>
      </c>
      <c r="AL1421" t="s">
        <v>2384</v>
      </c>
      <c r="AM1421">
        <v>1</v>
      </c>
      <c r="AN1421">
        <v>0</v>
      </c>
      <c r="AO1421">
        <v>1</v>
      </c>
      <c r="AP1421">
        <v>0</v>
      </c>
      <c r="AQ1421">
        <v>0</v>
      </c>
      <c r="AR1421">
        <v>0</v>
      </c>
      <c r="AS1421">
        <v>0</v>
      </c>
      <c r="AT1421">
        <v>0</v>
      </c>
      <c r="AU1421">
        <v>0</v>
      </c>
      <c r="AV1421">
        <v>0</v>
      </c>
      <c r="AW1421">
        <v>0</v>
      </c>
      <c r="AX1421" s="24" t="str">
        <f t="shared" si="145"/>
        <v/>
      </c>
      <c r="AY1421" s="24" t="str">
        <f t="shared" si="145"/>
        <v/>
      </c>
      <c r="AZ1421" s="24" t="str">
        <f t="shared" si="149"/>
        <v/>
      </c>
      <c r="BA1421" s="24" t="str">
        <f t="shared" si="149"/>
        <v/>
      </c>
      <c r="BB1421" s="24" t="str">
        <f t="shared" si="149"/>
        <v/>
      </c>
      <c r="BC1421" s="24" t="str">
        <f t="shared" si="149"/>
        <v/>
      </c>
      <c r="BD1421" s="24" t="str">
        <f t="shared" si="149"/>
        <v/>
      </c>
      <c r="BE1421" s="24">
        <f t="shared" si="149"/>
        <v>1</v>
      </c>
      <c r="BF1421" s="24" t="str">
        <f t="shared" si="149"/>
        <v/>
      </c>
      <c r="BG1421" s="24" t="str">
        <f t="shared" si="149"/>
        <v/>
      </c>
      <c r="BH1421" s="24" t="str">
        <f t="shared" si="148"/>
        <v/>
      </c>
      <c r="BI1421" s="24">
        <f t="shared" si="149"/>
        <v>1</v>
      </c>
      <c r="BJ1421" s="24" t="str">
        <f t="shared" si="143"/>
        <v/>
      </c>
    </row>
    <row r="1422" spans="1:62" ht="15" customHeight="1" x14ac:dyDescent="0.25">
      <c r="A1422" t="str">
        <f>"1104914894"</f>
        <v>1104914894</v>
      </c>
      <c r="B1422" t="str">
        <f>"02601783"</f>
        <v>02601783</v>
      </c>
      <c r="C1422" t="s">
        <v>2335</v>
      </c>
      <c r="D1422" t="s">
        <v>2336</v>
      </c>
      <c r="E1422" t="s">
        <v>2337</v>
      </c>
      <c r="G1422" t="s">
        <v>2335</v>
      </c>
      <c r="H1422" t="s">
        <v>440</v>
      </c>
      <c r="J1422" t="s">
        <v>2338</v>
      </c>
      <c r="L1422" t="s">
        <v>442</v>
      </c>
      <c r="M1422" t="s">
        <v>108</v>
      </c>
      <c r="R1422" t="s">
        <v>2339</v>
      </c>
      <c r="W1422" t="s">
        <v>2337</v>
      </c>
      <c r="X1422" t="s">
        <v>2340</v>
      </c>
      <c r="Y1422" t="s">
        <v>592</v>
      </c>
      <c r="Z1422" t="s">
        <v>111</v>
      </c>
      <c r="AA1422" t="str">
        <f>"10467-2490"</f>
        <v>10467-2490</v>
      </c>
      <c r="AB1422" t="s">
        <v>123</v>
      </c>
      <c r="AC1422" t="s">
        <v>113</v>
      </c>
      <c r="AD1422" t="s">
        <v>108</v>
      </c>
      <c r="AE1422" t="s">
        <v>114</v>
      </c>
      <c r="AF1422" t="s">
        <v>115</v>
      </c>
      <c r="AG1422" t="s">
        <v>116</v>
      </c>
      <c r="AK1422" t="str">
        <f t="shared" si="147"/>
        <v/>
      </c>
      <c r="AL1422" t="s">
        <v>2336</v>
      </c>
      <c r="AM1422">
        <v>0</v>
      </c>
      <c r="AN1422">
        <v>0</v>
      </c>
      <c r="AO1422">
        <v>0</v>
      </c>
      <c r="AP1422">
        <v>0</v>
      </c>
      <c r="AQ1422">
        <v>0</v>
      </c>
      <c r="AR1422">
        <v>0</v>
      </c>
      <c r="AS1422">
        <v>0</v>
      </c>
      <c r="AT1422">
        <v>0</v>
      </c>
      <c r="AU1422">
        <v>0</v>
      </c>
      <c r="AV1422">
        <v>0</v>
      </c>
      <c r="AW1422">
        <v>0</v>
      </c>
      <c r="AX1422" s="24">
        <f t="shared" si="145"/>
        <v>1</v>
      </c>
      <c r="AY1422" s="24" t="str">
        <f t="shared" si="145"/>
        <v/>
      </c>
      <c r="AZ1422" s="24" t="str">
        <f t="shared" si="149"/>
        <v/>
      </c>
      <c r="BA1422" s="24" t="str">
        <f t="shared" si="149"/>
        <v/>
      </c>
      <c r="BB1422" s="24" t="str">
        <f t="shared" si="149"/>
        <v/>
      </c>
      <c r="BC1422" s="24" t="str">
        <f t="shared" si="149"/>
        <v/>
      </c>
      <c r="BD1422" s="24" t="str">
        <f t="shared" si="149"/>
        <v/>
      </c>
      <c r="BE1422" s="24" t="str">
        <f t="shared" si="149"/>
        <v/>
      </c>
      <c r="BF1422" s="24" t="str">
        <f t="shared" si="149"/>
        <v/>
      </c>
      <c r="BG1422" s="24" t="str">
        <f t="shared" si="149"/>
        <v/>
      </c>
      <c r="BH1422" s="24" t="str">
        <f t="shared" si="148"/>
        <v/>
      </c>
      <c r="BI1422" s="24" t="str">
        <f t="shared" si="149"/>
        <v/>
      </c>
      <c r="BJ1422" s="24" t="str">
        <f t="shared" si="143"/>
        <v/>
      </c>
    </row>
    <row r="1423" spans="1:62" ht="15" customHeight="1" x14ac:dyDescent="0.25">
      <c r="A1423" t="str">
        <f>"1538389440"</f>
        <v>1538389440</v>
      </c>
      <c r="B1423" t="str">
        <f>"03218893"</f>
        <v>03218893</v>
      </c>
      <c r="C1423" t="s">
        <v>4424</v>
      </c>
      <c r="D1423" t="s">
        <v>4425</v>
      </c>
      <c r="E1423" t="s">
        <v>4426</v>
      </c>
      <c r="G1423" t="s">
        <v>786</v>
      </c>
      <c r="H1423" t="s">
        <v>787</v>
      </c>
      <c r="J1423" t="s">
        <v>788</v>
      </c>
      <c r="L1423" t="s">
        <v>247</v>
      </c>
      <c r="M1423" t="s">
        <v>139</v>
      </c>
      <c r="R1423" t="s">
        <v>4427</v>
      </c>
      <c r="W1423" t="s">
        <v>4426</v>
      </c>
      <c r="X1423" t="s">
        <v>3364</v>
      </c>
      <c r="Y1423" t="s">
        <v>141</v>
      </c>
      <c r="Z1423" t="s">
        <v>111</v>
      </c>
      <c r="AA1423" t="str">
        <f>"13204-2809"</f>
        <v>13204-2809</v>
      </c>
      <c r="AB1423" t="s">
        <v>1872</v>
      </c>
      <c r="AC1423" t="s">
        <v>113</v>
      </c>
      <c r="AD1423" t="s">
        <v>108</v>
      </c>
      <c r="AE1423" t="s">
        <v>114</v>
      </c>
      <c r="AF1423" t="s">
        <v>142</v>
      </c>
      <c r="AG1423" t="s">
        <v>116</v>
      </c>
      <c r="AK1423" t="str">
        <f t="shared" si="147"/>
        <v/>
      </c>
      <c r="AL1423" t="s">
        <v>4425</v>
      </c>
      <c r="AM1423">
        <v>0</v>
      </c>
      <c r="AN1423">
        <v>0</v>
      </c>
      <c r="AO1423">
        <v>0</v>
      </c>
      <c r="AP1423">
        <v>0</v>
      </c>
      <c r="AQ1423">
        <v>0</v>
      </c>
      <c r="AR1423">
        <v>0</v>
      </c>
      <c r="AS1423">
        <v>0</v>
      </c>
      <c r="AT1423">
        <v>0</v>
      </c>
      <c r="AU1423">
        <v>0</v>
      </c>
      <c r="AV1423">
        <v>0</v>
      </c>
      <c r="AW1423">
        <v>0</v>
      </c>
      <c r="AX1423" s="24" t="str">
        <f t="shared" si="145"/>
        <v/>
      </c>
      <c r="AY1423" s="24">
        <f t="shared" si="145"/>
        <v>1</v>
      </c>
      <c r="AZ1423" s="24" t="str">
        <f t="shared" si="149"/>
        <v/>
      </c>
      <c r="BA1423" s="24" t="str">
        <f t="shared" si="149"/>
        <v/>
      </c>
      <c r="BB1423" s="24" t="str">
        <f t="shared" si="149"/>
        <v/>
      </c>
      <c r="BC1423" s="24" t="str">
        <f t="shared" si="149"/>
        <v/>
      </c>
      <c r="BD1423" s="24" t="str">
        <f t="shared" si="149"/>
        <v/>
      </c>
      <c r="BE1423" s="24" t="str">
        <f t="shared" si="149"/>
        <v/>
      </c>
      <c r="BF1423" s="24" t="str">
        <f t="shared" si="149"/>
        <v/>
      </c>
      <c r="BG1423" s="24" t="str">
        <f t="shared" si="149"/>
        <v/>
      </c>
      <c r="BH1423" s="24" t="str">
        <f t="shared" si="148"/>
        <v/>
      </c>
      <c r="BI1423" s="24" t="str">
        <f t="shared" si="149"/>
        <v/>
      </c>
      <c r="BJ1423" s="24" t="str">
        <f t="shared" si="143"/>
        <v/>
      </c>
    </row>
    <row r="1424" spans="1:62" ht="15" customHeight="1" x14ac:dyDescent="0.25">
      <c r="A1424" t="str">
        <f>"1881607406"</f>
        <v>1881607406</v>
      </c>
      <c r="B1424" t="str">
        <f>"03200566"</f>
        <v>03200566</v>
      </c>
      <c r="C1424" t="s">
        <v>1259</v>
      </c>
      <c r="D1424" t="s">
        <v>1260</v>
      </c>
      <c r="E1424" t="s">
        <v>1259</v>
      </c>
      <c r="L1424" t="s">
        <v>809</v>
      </c>
      <c r="M1424" t="s">
        <v>108</v>
      </c>
      <c r="R1424" t="s">
        <v>1259</v>
      </c>
      <c r="W1424" t="s">
        <v>1259</v>
      </c>
      <c r="X1424" t="s">
        <v>810</v>
      </c>
      <c r="Y1424" t="s">
        <v>110</v>
      </c>
      <c r="Z1424" t="s">
        <v>111</v>
      </c>
      <c r="AA1424" t="str">
        <f>"13905-2522"</f>
        <v>13905-2522</v>
      </c>
      <c r="AB1424" t="s">
        <v>811</v>
      </c>
      <c r="AC1424" t="s">
        <v>113</v>
      </c>
      <c r="AD1424" t="s">
        <v>108</v>
      </c>
      <c r="AE1424" t="s">
        <v>114</v>
      </c>
      <c r="AF1424" t="s">
        <v>115</v>
      </c>
      <c r="AG1424" t="s">
        <v>116</v>
      </c>
      <c r="AK1424" t="str">
        <f t="shared" si="147"/>
        <v/>
      </c>
      <c r="AL1424" t="s">
        <v>1260</v>
      </c>
      <c r="AM1424">
        <v>0</v>
      </c>
      <c r="AN1424">
        <v>0</v>
      </c>
      <c r="AO1424">
        <v>0</v>
      </c>
      <c r="AP1424">
        <v>0</v>
      </c>
      <c r="AQ1424">
        <v>0</v>
      </c>
      <c r="AR1424">
        <v>0</v>
      </c>
      <c r="AS1424">
        <v>0</v>
      </c>
      <c r="AT1424">
        <v>0</v>
      </c>
      <c r="AU1424">
        <v>0</v>
      </c>
      <c r="AV1424">
        <v>0</v>
      </c>
      <c r="AW1424">
        <v>0</v>
      </c>
      <c r="AX1424" s="24" t="str">
        <f t="shared" si="145"/>
        <v/>
      </c>
      <c r="AY1424" s="24">
        <f t="shared" si="145"/>
        <v>1</v>
      </c>
      <c r="AZ1424" s="24" t="str">
        <f t="shared" si="149"/>
        <v/>
      </c>
      <c r="BA1424" s="24" t="str">
        <f t="shared" si="149"/>
        <v/>
      </c>
      <c r="BB1424" s="24" t="str">
        <f t="shared" si="149"/>
        <v/>
      </c>
      <c r="BC1424" s="24">
        <f t="shared" si="149"/>
        <v>1</v>
      </c>
      <c r="BD1424" s="24" t="str">
        <f t="shared" si="149"/>
        <v/>
      </c>
      <c r="BE1424" s="24" t="str">
        <f t="shared" si="149"/>
        <v/>
      </c>
      <c r="BF1424" s="24" t="str">
        <f t="shared" si="149"/>
        <v/>
      </c>
      <c r="BG1424" s="24" t="str">
        <f t="shared" si="149"/>
        <v/>
      </c>
      <c r="BH1424" s="24" t="str">
        <f t="shared" si="148"/>
        <v/>
      </c>
      <c r="BI1424" s="24" t="str">
        <f t="shared" si="149"/>
        <v/>
      </c>
      <c r="BJ1424" s="24" t="str">
        <f t="shared" si="143"/>
        <v/>
      </c>
    </row>
    <row r="1425" spans="1:62" ht="15" customHeight="1" x14ac:dyDescent="0.25">
      <c r="A1425" t="str">
        <f>"1114903135"</f>
        <v>1114903135</v>
      </c>
      <c r="B1425" t="str">
        <f>"00845703"</f>
        <v>00845703</v>
      </c>
      <c r="C1425" t="s">
        <v>954</v>
      </c>
      <c r="D1425" t="s">
        <v>955</v>
      </c>
      <c r="E1425" t="s">
        <v>956</v>
      </c>
      <c r="G1425" t="s">
        <v>638</v>
      </c>
      <c r="H1425" t="s">
        <v>639</v>
      </c>
      <c r="J1425" t="s">
        <v>957</v>
      </c>
      <c r="L1425" t="s">
        <v>120</v>
      </c>
      <c r="M1425" t="s">
        <v>108</v>
      </c>
      <c r="R1425" t="s">
        <v>958</v>
      </c>
      <c r="W1425" t="s">
        <v>956</v>
      </c>
      <c r="X1425" t="s">
        <v>959</v>
      </c>
      <c r="Y1425" t="s">
        <v>960</v>
      </c>
      <c r="Z1425" t="s">
        <v>111</v>
      </c>
      <c r="AA1425" t="str">
        <f>"12078-1203"</f>
        <v>12078-1203</v>
      </c>
      <c r="AB1425" t="s">
        <v>123</v>
      </c>
      <c r="AC1425" t="s">
        <v>113</v>
      </c>
      <c r="AD1425" t="s">
        <v>108</v>
      </c>
      <c r="AE1425" t="s">
        <v>114</v>
      </c>
      <c r="AF1425" t="s">
        <v>115</v>
      </c>
      <c r="AG1425" t="s">
        <v>116</v>
      </c>
      <c r="AK1425" t="str">
        <f t="shared" si="147"/>
        <v/>
      </c>
      <c r="AL1425" t="s">
        <v>955</v>
      </c>
      <c r="AM1425">
        <v>1</v>
      </c>
      <c r="AN1425">
        <v>1</v>
      </c>
      <c r="AO1425">
        <v>0</v>
      </c>
      <c r="AP1425">
        <v>1</v>
      </c>
      <c r="AQ1425">
        <v>1</v>
      </c>
      <c r="AR1425">
        <v>1</v>
      </c>
      <c r="AS1425">
        <v>0</v>
      </c>
      <c r="AT1425">
        <v>0</v>
      </c>
      <c r="AU1425">
        <v>0</v>
      </c>
      <c r="AV1425">
        <v>0</v>
      </c>
      <c r="AW1425">
        <v>0</v>
      </c>
      <c r="AX1425" s="24">
        <f t="shared" si="145"/>
        <v>1</v>
      </c>
      <c r="AY1425" s="24" t="str">
        <f t="shared" si="145"/>
        <v/>
      </c>
      <c r="AZ1425" s="24" t="str">
        <f t="shared" si="149"/>
        <v/>
      </c>
      <c r="BA1425" s="24" t="str">
        <f t="shared" si="149"/>
        <v/>
      </c>
      <c r="BB1425" s="24" t="str">
        <f t="shared" si="149"/>
        <v/>
      </c>
      <c r="BC1425" s="24" t="str">
        <f t="shared" si="149"/>
        <v/>
      </c>
      <c r="BD1425" s="24" t="str">
        <f t="shared" si="149"/>
        <v/>
      </c>
      <c r="BE1425" s="24" t="str">
        <f t="shared" si="149"/>
        <v/>
      </c>
      <c r="BF1425" s="24" t="str">
        <f t="shared" si="149"/>
        <v/>
      </c>
      <c r="BG1425" s="24" t="str">
        <f t="shared" si="149"/>
        <v/>
      </c>
      <c r="BH1425" s="24" t="str">
        <f t="shared" si="148"/>
        <v/>
      </c>
      <c r="BI1425" s="24">
        <f t="shared" si="149"/>
        <v>1</v>
      </c>
      <c r="BJ1425" s="24" t="str">
        <f t="shared" si="143"/>
        <v/>
      </c>
    </row>
    <row r="1426" spans="1:62" ht="15" customHeight="1" x14ac:dyDescent="0.25">
      <c r="A1426" t="str">
        <f>"1245339142"</f>
        <v>1245339142</v>
      </c>
      <c r="B1426" t="str">
        <f>"02040595"</f>
        <v>02040595</v>
      </c>
      <c r="C1426" t="s">
        <v>4271</v>
      </c>
      <c r="D1426" t="s">
        <v>4272</v>
      </c>
      <c r="E1426" t="s">
        <v>4273</v>
      </c>
      <c r="G1426" t="s">
        <v>4266</v>
      </c>
      <c r="H1426" t="s">
        <v>4267</v>
      </c>
      <c r="J1426" t="s">
        <v>4274</v>
      </c>
      <c r="L1426" t="s">
        <v>442</v>
      </c>
      <c r="M1426" t="s">
        <v>108</v>
      </c>
      <c r="R1426" t="s">
        <v>4275</v>
      </c>
      <c r="W1426" t="s">
        <v>4273</v>
      </c>
      <c r="X1426" t="s">
        <v>4276</v>
      </c>
      <c r="Y1426" t="s">
        <v>1718</v>
      </c>
      <c r="Z1426" t="s">
        <v>111</v>
      </c>
      <c r="AA1426" t="str">
        <f>"14521-9701"</f>
        <v>14521-9701</v>
      </c>
      <c r="AB1426" t="s">
        <v>123</v>
      </c>
      <c r="AC1426" t="s">
        <v>113</v>
      </c>
      <c r="AD1426" t="s">
        <v>108</v>
      </c>
      <c r="AE1426" t="s">
        <v>114</v>
      </c>
      <c r="AF1426" t="s">
        <v>142</v>
      </c>
      <c r="AG1426" t="s">
        <v>116</v>
      </c>
      <c r="AK1426" t="str">
        <f t="shared" si="147"/>
        <v/>
      </c>
      <c r="AL1426" t="s">
        <v>4272</v>
      </c>
      <c r="AM1426">
        <v>1</v>
      </c>
      <c r="AN1426">
        <v>1</v>
      </c>
      <c r="AO1426">
        <v>0</v>
      </c>
      <c r="AP1426">
        <v>0</v>
      </c>
      <c r="AQ1426">
        <v>0</v>
      </c>
      <c r="AR1426">
        <v>0</v>
      </c>
      <c r="AS1426">
        <v>0</v>
      </c>
      <c r="AT1426">
        <v>0</v>
      </c>
      <c r="AU1426">
        <v>0</v>
      </c>
      <c r="AV1426">
        <v>0</v>
      </c>
      <c r="AW1426">
        <v>0</v>
      </c>
      <c r="AX1426" s="24">
        <f t="shared" si="145"/>
        <v>1</v>
      </c>
      <c r="AY1426" s="24" t="str">
        <f t="shared" si="145"/>
        <v/>
      </c>
      <c r="AZ1426" s="24" t="str">
        <f t="shared" si="149"/>
        <v/>
      </c>
      <c r="BA1426" s="24" t="str">
        <f t="shared" si="149"/>
        <v/>
      </c>
      <c r="BB1426" s="24" t="str">
        <f t="shared" si="149"/>
        <v/>
      </c>
      <c r="BC1426" s="24" t="str">
        <f t="shared" si="149"/>
        <v/>
      </c>
      <c r="BD1426" s="24" t="str">
        <f t="shared" si="149"/>
        <v/>
      </c>
      <c r="BE1426" s="24" t="str">
        <f t="shared" si="149"/>
        <v/>
      </c>
      <c r="BF1426" s="24" t="str">
        <f t="shared" si="149"/>
        <v/>
      </c>
      <c r="BG1426" s="24" t="str">
        <f t="shared" si="149"/>
        <v/>
      </c>
      <c r="BH1426" s="24" t="str">
        <f t="shared" si="148"/>
        <v/>
      </c>
      <c r="BI1426" s="24" t="str">
        <f t="shared" si="149"/>
        <v/>
      </c>
      <c r="BJ1426" s="24" t="str">
        <f t="shared" ref="BJ1426:BJ1489" si="150">IF(ISERROR(FIND(BJ$1,$L1426,1)),"",1)</f>
        <v/>
      </c>
    </row>
    <row r="1427" spans="1:62" ht="15" customHeight="1" x14ac:dyDescent="0.25">
      <c r="A1427" t="str">
        <f>"1447257928"</f>
        <v>1447257928</v>
      </c>
      <c r="B1427" t="str">
        <f>"02995673"</f>
        <v>02995673</v>
      </c>
      <c r="C1427" t="s">
        <v>4764</v>
      </c>
      <c r="D1427" t="s">
        <v>4765</v>
      </c>
      <c r="E1427" t="s">
        <v>4766</v>
      </c>
      <c r="G1427" t="s">
        <v>4767</v>
      </c>
      <c r="H1427" t="s">
        <v>4768</v>
      </c>
      <c r="I1427">
        <v>306</v>
      </c>
      <c r="J1427" t="s">
        <v>4769</v>
      </c>
      <c r="L1427" t="s">
        <v>68</v>
      </c>
      <c r="M1427" t="s">
        <v>139</v>
      </c>
      <c r="R1427" t="s">
        <v>4770</v>
      </c>
      <c r="W1427" t="s">
        <v>4766</v>
      </c>
      <c r="X1427" t="s">
        <v>4771</v>
      </c>
      <c r="Y1427" t="s">
        <v>293</v>
      </c>
      <c r="Z1427" t="s">
        <v>111</v>
      </c>
      <c r="AA1427" t="str">
        <f>"14850-5124"</f>
        <v>14850-5124</v>
      </c>
      <c r="AB1427" t="s">
        <v>165</v>
      </c>
      <c r="AC1427" t="s">
        <v>113</v>
      </c>
      <c r="AD1427" t="s">
        <v>108</v>
      </c>
      <c r="AE1427" t="s">
        <v>114</v>
      </c>
      <c r="AF1427" t="s">
        <v>142</v>
      </c>
      <c r="AG1427" t="s">
        <v>116</v>
      </c>
      <c r="AK1427" t="str">
        <f t="shared" si="147"/>
        <v/>
      </c>
      <c r="AL1427" t="s">
        <v>4765</v>
      </c>
      <c r="AM1427">
        <v>1</v>
      </c>
      <c r="AN1427">
        <v>1</v>
      </c>
      <c r="AO1427">
        <v>0</v>
      </c>
      <c r="AP1427">
        <v>1</v>
      </c>
      <c r="AQ1427">
        <v>0</v>
      </c>
      <c r="AR1427">
        <v>0</v>
      </c>
      <c r="AS1427">
        <v>0</v>
      </c>
      <c r="AT1427">
        <v>0</v>
      </c>
      <c r="AU1427">
        <v>0</v>
      </c>
      <c r="AV1427">
        <v>0</v>
      </c>
      <c r="AW1427">
        <v>0</v>
      </c>
      <c r="AX1427" s="24" t="str">
        <f t="shared" si="145"/>
        <v/>
      </c>
      <c r="AY1427" s="24" t="str">
        <f t="shared" si="145"/>
        <v/>
      </c>
      <c r="AZ1427" s="24" t="str">
        <f t="shared" si="149"/>
        <v/>
      </c>
      <c r="BA1427" s="24" t="str">
        <f t="shared" si="149"/>
        <v/>
      </c>
      <c r="BB1427" s="24" t="str">
        <f t="shared" si="149"/>
        <v/>
      </c>
      <c r="BC1427" s="24" t="str">
        <f t="shared" si="149"/>
        <v/>
      </c>
      <c r="BD1427" s="24" t="str">
        <f t="shared" si="149"/>
        <v/>
      </c>
      <c r="BE1427" s="24" t="str">
        <f t="shared" si="149"/>
        <v/>
      </c>
      <c r="BF1427" s="24" t="str">
        <f t="shared" si="149"/>
        <v/>
      </c>
      <c r="BG1427" s="24" t="str">
        <f t="shared" si="149"/>
        <v/>
      </c>
      <c r="BH1427" s="24" t="str">
        <f t="shared" si="148"/>
        <v/>
      </c>
      <c r="BI1427" s="24">
        <f t="shared" si="149"/>
        <v>1</v>
      </c>
      <c r="BJ1427" s="24" t="str">
        <f t="shared" si="150"/>
        <v/>
      </c>
    </row>
    <row r="1428" spans="1:62" ht="15" customHeight="1" x14ac:dyDescent="0.25">
      <c r="A1428" t="str">
        <f>"1023252293"</f>
        <v>1023252293</v>
      </c>
      <c r="B1428" t="str">
        <f>"03950790"</f>
        <v>03950790</v>
      </c>
      <c r="C1428" t="s">
        <v>6783</v>
      </c>
      <c r="D1428" t="s">
        <v>7057</v>
      </c>
      <c r="E1428" t="s">
        <v>6913</v>
      </c>
      <c r="G1428" t="s">
        <v>6330</v>
      </c>
      <c r="H1428" t="s">
        <v>6331</v>
      </c>
      <c r="J1428" t="s">
        <v>6332</v>
      </c>
      <c r="L1428" t="s">
        <v>247</v>
      </c>
      <c r="M1428" t="s">
        <v>108</v>
      </c>
      <c r="R1428" t="s">
        <v>6783</v>
      </c>
      <c r="W1428" t="s">
        <v>6913</v>
      </c>
      <c r="X1428" t="s">
        <v>6914</v>
      </c>
      <c r="Y1428" t="s">
        <v>129</v>
      </c>
      <c r="Z1428" t="s">
        <v>111</v>
      </c>
      <c r="AA1428" t="str">
        <f>"13790-2161"</f>
        <v>13790-2161</v>
      </c>
      <c r="AB1428" t="s">
        <v>123</v>
      </c>
      <c r="AC1428" t="s">
        <v>113</v>
      </c>
      <c r="AD1428" t="s">
        <v>108</v>
      </c>
      <c r="AE1428" t="s">
        <v>114</v>
      </c>
      <c r="AF1428" t="s">
        <v>115</v>
      </c>
      <c r="AG1428" t="s">
        <v>116</v>
      </c>
      <c r="AK1428" t="str">
        <f t="shared" si="147"/>
        <v>VITELLAS MICHAIL DR.</v>
      </c>
      <c r="AL1428" t="s">
        <v>7057</v>
      </c>
      <c r="AM1428" t="s">
        <v>108</v>
      </c>
      <c r="AN1428" t="s">
        <v>108</v>
      </c>
      <c r="AO1428" t="s">
        <v>108</v>
      </c>
      <c r="AP1428" t="s">
        <v>108</v>
      </c>
      <c r="AQ1428" t="s">
        <v>108</v>
      </c>
      <c r="AR1428" t="s">
        <v>108</v>
      </c>
      <c r="AS1428" t="s">
        <v>108</v>
      </c>
      <c r="AT1428" t="s">
        <v>108</v>
      </c>
      <c r="AU1428" t="s">
        <v>108</v>
      </c>
      <c r="AV1428" t="s">
        <v>108</v>
      </c>
      <c r="AW1428" t="s">
        <v>108</v>
      </c>
      <c r="AX1428" s="24" t="str">
        <f t="shared" si="145"/>
        <v/>
      </c>
      <c r="AY1428" s="24">
        <f t="shared" si="145"/>
        <v>1</v>
      </c>
      <c r="AZ1428" s="24" t="str">
        <f t="shared" si="149"/>
        <v/>
      </c>
      <c r="BA1428" s="24" t="str">
        <f t="shared" si="149"/>
        <v/>
      </c>
      <c r="BB1428" s="24" t="str">
        <f t="shared" si="149"/>
        <v/>
      </c>
      <c r="BC1428" s="24" t="str">
        <f t="shared" si="149"/>
        <v/>
      </c>
      <c r="BD1428" s="24" t="str">
        <f t="shared" si="149"/>
        <v/>
      </c>
      <c r="BE1428" s="24" t="str">
        <f t="shared" si="149"/>
        <v/>
      </c>
      <c r="BF1428" s="24" t="str">
        <f t="shared" si="149"/>
        <v/>
      </c>
      <c r="BG1428" s="24" t="str">
        <f t="shared" si="149"/>
        <v/>
      </c>
      <c r="BH1428" s="24" t="str">
        <f t="shared" si="148"/>
        <v/>
      </c>
      <c r="BI1428" s="24" t="str">
        <f t="shared" si="149"/>
        <v/>
      </c>
      <c r="BJ1428" s="24" t="str">
        <f t="shared" si="150"/>
        <v/>
      </c>
    </row>
    <row r="1429" spans="1:62" ht="15" customHeight="1" x14ac:dyDescent="0.25">
      <c r="A1429" t="str">
        <f>"1760622971"</f>
        <v>1760622971</v>
      </c>
      <c r="B1429" t="str">
        <f>"03355837"</f>
        <v>03355837</v>
      </c>
      <c r="C1429" t="s">
        <v>1448</v>
      </c>
      <c r="D1429" t="s">
        <v>1449</v>
      </c>
      <c r="E1429" t="s">
        <v>1450</v>
      </c>
      <c r="G1429" t="s">
        <v>1448</v>
      </c>
      <c r="H1429" t="s">
        <v>440</v>
      </c>
      <c r="J1429" t="s">
        <v>1451</v>
      </c>
      <c r="L1429" t="s">
        <v>138</v>
      </c>
      <c r="M1429" t="s">
        <v>108</v>
      </c>
      <c r="R1429" t="s">
        <v>1452</v>
      </c>
      <c r="W1429" t="s">
        <v>1450</v>
      </c>
      <c r="X1429" t="s">
        <v>406</v>
      </c>
      <c r="Y1429" t="s">
        <v>129</v>
      </c>
      <c r="Z1429" t="s">
        <v>111</v>
      </c>
      <c r="AA1429" t="str">
        <f>"13790-2107"</f>
        <v>13790-2107</v>
      </c>
      <c r="AB1429" t="s">
        <v>123</v>
      </c>
      <c r="AC1429" t="s">
        <v>113</v>
      </c>
      <c r="AD1429" t="s">
        <v>108</v>
      </c>
      <c r="AE1429" t="s">
        <v>114</v>
      </c>
      <c r="AF1429" t="s">
        <v>115</v>
      </c>
      <c r="AG1429" t="s">
        <v>116</v>
      </c>
      <c r="AK1429" t="str">
        <f t="shared" si="147"/>
        <v/>
      </c>
      <c r="AL1429" t="s">
        <v>1449</v>
      </c>
      <c r="AM1429">
        <v>1</v>
      </c>
      <c r="AN1429">
        <v>1</v>
      </c>
      <c r="AO1429">
        <v>0</v>
      </c>
      <c r="AP1429">
        <v>1</v>
      </c>
      <c r="AQ1429">
        <v>1</v>
      </c>
      <c r="AR1429">
        <v>0</v>
      </c>
      <c r="AS1429">
        <v>0</v>
      </c>
      <c r="AT1429">
        <v>1</v>
      </c>
      <c r="AU1429">
        <v>0</v>
      </c>
      <c r="AV1429">
        <v>0</v>
      </c>
      <c r="AW1429">
        <v>1</v>
      </c>
      <c r="AX1429" s="24" t="str">
        <f t="shared" si="145"/>
        <v/>
      </c>
      <c r="AY1429" s="24">
        <f t="shared" si="145"/>
        <v>1</v>
      </c>
      <c r="AZ1429" s="24" t="str">
        <f t="shared" si="149"/>
        <v/>
      </c>
      <c r="BA1429" s="24" t="str">
        <f t="shared" si="149"/>
        <v/>
      </c>
      <c r="BB1429" s="24" t="str">
        <f t="shared" si="149"/>
        <v/>
      </c>
      <c r="BC1429" s="24" t="str">
        <f t="shared" si="149"/>
        <v/>
      </c>
      <c r="BD1429" s="24" t="str">
        <f t="shared" si="149"/>
        <v/>
      </c>
      <c r="BE1429" s="24" t="str">
        <f t="shared" si="149"/>
        <v/>
      </c>
      <c r="BF1429" s="24" t="str">
        <f t="shared" si="149"/>
        <v/>
      </c>
      <c r="BG1429" s="24" t="str">
        <f t="shared" si="149"/>
        <v/>
      </c>
      <c r="BH1429" s="24" t="str">
        <f t="shared" si="148"/>
        <v/>
      </c>
      <c r="BI1429" s="24">
        <f t="shared" si="149"/>
        <v>1</v>
      </c>
      <c r="BJ1429" s="24" t="str">
        <f t="shared" si="150"/>
        <v/>
      </c>
    </row>
    <row r="1430" spans="1:62" ht="15" customHeight="1" x14ac:dyDescent="0.25">
      <c r="A1430" t="str">
        <f>"1932196284"</f>
        <v>1932196284</v>
      </c>
      <c r="B1430" t="str">
        <f>"01565544"</f>
        <v>01565544</v>
      </c>
      <c r="C1430" t="s">
        <v>2008</v>
      </c>
      <c r="D1430" t="s">
        <v>2009</v>
      </c>
      <c r="E1430" t="s">
        <v>2010</v>
      </c>
      <c r="G1430" t="s">
        <v>6330</v>
      </c>
      <c r="H1430" t="s">
        <v>6331</v>
      </c>
      <c r="J1430" t="s">
        <v>6332</v>
      </c>
      <c r="L1430" t="s">
        <v>120</v>
      </c>
      <c r="M1430" t="s">
        <v>108</v>
      </c>
      <c r="R1430" t="s">
        <v>2008</v>
      </c>
      <c r="W1430" t="s">
        <v>2010</v>
      </c>
      <c r="X1430" t="s">
        <v>2011</v>
      </c>
      <c r="Y1430" t="s">
        <v>129</v>
      </c>
      <c r="Z1430" t="s">
        <v>111</v>
      </c>
      <c r="AA1430" t="str">
        <f>"13790-2102"</f>
        <v>13790-2102</v>
      </c>
      <c r="AB1430" t="s">
        <v>123</v>
      </c>
      <c r="AC1430" t="s">
        <v>113</v>
      </c>
      <c r="AD1430" t="s">
        <v>108</v>
      </c>
      <c r="AE1430" t="s">
        <v>114</v>
      </c>
      <c r="AF1430" t="s">
        <v>115</v>
      </c>
      <c r="AG1430" t="s">
        <v>116</v>
      </c>
      <c r="AK1430" t="str">
        <f t="shared" si="147"/>
        <v/>
      </c>
      <c r="AL1430" t="s">
        <v>2009</v>
      </c>
      <c r="AM1430">
        <v>1</v>
      </c>
      <c r="AN1430">
        <v>1</v>
      </c>
      <c r="AO1430">
        <v>0</v>
      </c>
      <c r="AP1430">
        <v>1</v>
      </c>
      <c r="AQ1430">
        <v>1</v>
      </c>
      <c r="AR1430">
        <v>1</v>
      </c>
      <c r="AS1430">
        <v>0</v>
      </c>
      <c r="AT1430">
        <v>0</v>
      </c>
      <c r="AU1430">
        <v>0</v>
      </c>
      <c r="AV1430">
        <v>0</v>
      </c>
      <c r="AW1430">
        <v>0</v>
      </c>
      <c r="AX1430" s="24">
        <f t="shared" si="145"/>
        <v>1</v>
      </c>
      <c r="AY1430" s="24" t="str">
        <f t="shared" si="145"/>
        <v/>
      </c>
      <c r="AZ1430" s="24" t="str">
        <f t="shared" si="149"/>
        <v/>
      </c>
      <c r="BA1430" s="24" t="str">
        <f t="shared" si="149"/>
        <v/>
      </c>
      <c r="BB1430" s="24" t="str">
        <f t="shared" si="149"/>
        <v/>
      </c>
      <c r="BC1430" s="24" t="str">
        <f t="shared" si="149"/>
        <v/>
      </c>
      <c r="BD1430" s="24" t="str">
        <f t="shared" si="149"/>
        <v/>
      </c>
      <c r="BE1430" s="24" t="str">
        <f t="shared" si="149"/>
        <v/>
      </c>
      <c r="BF1430" s="24" t="str">
        <f t="shared" si="149"/>
        <v/>
      </c>
      <c r="BG1430" s="24" t="str">
        <f t="shared" si="149"/>
        <v/>
      </c>
      <c r="BH1430" s="24" t="str">
        <f t="shared" si="148"/>
        <v/>
      </c>
      <c r="BI1430" s="24">
        <f t="shared" si="149"/>
        <v>1</v>
      </c>
      <c r="BJ1430" s="24" t="str">
        <f t="shared" si="150"/>
        <v/>
      </c>
    </row>
    <row r="1431" spans="1:62" ht="15" customHeight="1" x14ac:dyDescent="0.25">
      <c r="A1431" t="str">
        <f>"1730198136"</f>
        <v>1730198136</v>
      </c>
      <c r="B1431" t="str">
        <f>"02795866"</f>
        <v>02795866</v>
      </c>
      <c r="C1431" t="s">
        <v>1144</v>
      </c>
      <c r="D1431" t="s">
        <v>1145</v>
      </c>
      <c r="E1431" t="s">
        <v>1146</v>
      </c>
      <c r="G1431" t="s">
        <v>1147</v>
      </c>
      <c r="H1431" t="s">
        <v>1148</v>
      </c>
      <c r="J1431" t="s">
        <v>1149</v>
      </c>
      <c r="L1431" t="s">
        <v>138</v>
      </c>
      <c r="M1431" t="s">
        <v>108</v>
      </c>
      <c r="R1431" t="s">
        <v>1150</v>
      </c>
      <c r="W1431" t="s">
        <v>1146</v>
      </c>
      <c r="X1431" t="s">
        <v>1151</v>
      </c>
      <c r="Y1431" t="s">
        <v>1152</v>
      </c>
      <c r="Z1431" t="s">
        <v>111</v>
      </c>
      <c r="AA1431" t="str">
        <f>"13326-1301"</f>
        <v>13326-1301</v>
      </c>
      <c r="AB1431" t="s">
        <v>123</v>
      </c>
      <c r="AC1431" t="s">
        <v>113</v>
      </c>
      <c r="AD1431" t="s">
        <v>108</v>
      </c>
      <c r="AE1431" t="s">
        <v>114</v>
      </c>
      <c r="AF1431" t="s">
        <v>124</v>
      </c>
      <c r="AG1431" t="s">
        <v>116</v>
      </c>
      <c r="AK1431" t="str">
        <f t="shared" si="147"/>
        <v/>
      </c>
      <c r="AL1431" t="s">
        <v>1145</v>
      </c>
      <c r="AM1431">
        <v>1</v>
      </c>
      <c r="AN1431">
        <v>1</v>
      </c>
      <c r="AO1431">
        <v>0</v>
      </c>
      <c r="AP1431">
        <v>0</v>
      </c>
      <c r="AQ1431">
        <v>0</v>
      </c>
      <c r="AR1431">
        <v>0</v>
      </c>
      <c r="AS1431">
        <v>0</v>
      </c>
      <c r="AT1431">
        <v>0</v>
      </c>
      <c r="AU1431">
        <v>0</v>
      </c>
      <c r="AV1431">
        <v>0</v>
      </c>
      <c r="AW1431">
        <v>0</v>
      </c>
      <c r="AX1431" s="24" t="str">
        <f t="shared" si="145"/>
        <v/>
      </c>
      <c r="AY1431" s="24">
        <f t="shared" si="145"/>
        <v>1</v>
      </c>
      <c r="AZ1431" s="24" t="str">
        <f t="shared" si="149"/>
        <v/>
      </c>
      <c r="BA1431" s="24" t="str">
        <f t="shared" si="149"/>
        <v/>
      </c>
      <c r="BB1431" s="24" t="str">
        <f t="shared" si="149"/>
        <v/>
      </c>
      <c r="BC1431" s="24" t="str">
        <f t="shared" si="149"/>
        <v/>
      </c>
      <c r="BD1431" s="24" t="str">
        <f t="shared" si="149"/>
        <v/>
      </c>
      <c r="BE1431" s="24" t="str">
        <f t="shared" si="149"/>
        <v/>
      </c>
      <c r="BF1431" s="24" t="str">
        <f t="shared" si="149"/>
        <v/>
      </c>
      <c r="BG1431" s="24" t="str">
        <f t="shared" si="149"/>
        <v/>
      </c>
      <c r="BH1431" s="24" t="str">
        <f t="shared" si="148"/>
        <v/>
      </c>
      <c r="BI1431" s="24">
        <f t="shared" si="149"/>
        <v>1</v>
      </c>
      <c r="BJ1431" s="24" t="str">
        <f t="shared" si="150"/>
        <v/>
      </c>
    </row>
    <row r="1432" spans="1:62" ht="15" customHeight="1" x14ac:dyDescent="0.25">
      <c r="A1432" t="str">
        <f>"1932393147"</f>
        <v>1932393147</v>
      </c>
      <c r="B1432" t="str">
        <f>"03040131"</f>
        <v>03040131</v>
      </c>
      <c r="C1432" t="s">
        <v>1623</v>
      </c>
      <c r="D1432" t="s">
        <v>1624</v>
      </c>
      <c r="E1432" t="s">
        <v>1625</v>
      </c>
      <c r="G1432" t="s">
        <v>638</v>
      </c>
      <c r="H1432" t="s">
        <v>645</v>
      </c>
      <c r="J1432" t="s">
        <v>1626</v>
      </c>
      <c r="L1432" t="s">
        <v>247</v>
      </c>
      <c r="M1432" t="s">
        <v>108</v>
      </c>
      <c r="R1432" t="s">
        <v>1627</v>
      </c>
      <c r="W1432" t="s">
        <v>1628</v>
      </c>
      <c r="X1432" t="s">
        <v>1629</v>
      </c>
      <c r="Y1432" t="s">
        <v>293</v>
      </c>
      <c r="Z1432" t="s">
        <v>111</v>
      </c>
      <c r="AA1432" t="str">
        <f>"14850-1857"</f>
        <v>14850-1857</v>
      </c>
      <c r="AB1432" t="s">
        <v>123</v>
      </c>
      <c r="AC1432" t="s">
        <v>113</v>
      </c>
      <c r="AD1432" t="s">
        <v>108</v>
      </c>
      <c r="AE1432" t="s">
        <v>114</v>
      </c>
      <c r="AF1432" t="s">
        <v>142</v>
      </c>
      <c r="AG1432" t="s">
        <v>116</v>
      </c>
      <c r="AK1432" t="str">
        <f t="shared" si="147"/>
        <v/>
      </c>
      <c r="AL1432" t="s">
        <v>1624</v>
      </c>
      <c r="AM1432">
        <v>1</v>
      </c>
      <c r="AN1432">
        <v>1</v>
      </c>
      <c r="AO1432">
        <v>0</v>
      </c>
      <c r="AP1432">
        <v>0</v>
      </c>
      <c r="AQ1432">
        <v>0</v>
      </c>
      <c r="AR1432">
        <v>0</v>
      </c>
      <c r="AS1432">
        <v>0</v>
      </c>
      <c r="AT1432">
        <v>0</v>
      </c>
      <c r="AU1432">
        <v>0</v>
      </c>
      <c r="AV1432">
        <v>0</v>
      </c>
      <c r="AW1432">
        <v>0</v>
      </c>
      <c r="AX1432" s="24" t="str">
        <f t="shared" si="145"/>
        <v/>
      </c>
      <c r="AY1432" s="24">
        <f t="shared" si="145"/>
        <v>1</v>
      </c>
      <c r="AZ1432" s="24" t="str">
        <f t="shared" si="149"/>
        <v/>
      </c>
      <c r="BA1432" s="24" t="str">
        <f t="shared" si="149"/>
        <v/>
      </c>
      <c r="BB1432" s="24" t="str">
        <f t="shared" si="149"/>
        <v/>
      </c>
      <c r="BC1432" s="24" t="str">
        <f t="shared" si="149"/>
        <v/>
      </c>
      <c r="BD1432" s="24" t="str">
        <f t="shared" si="149"/>
        <v/>
      </c>
      <c r="BE1432" s="24" t="str">
        <f t="shared" si="149"/>
        <v/>
      </c>
      <c r="BF1432" s="24" t="str">
        <f t="shared" si="149"/>
        <v/>
      </c>
      <c r="BG1432" s="24" t="str">
        <f t="shared" si="149"/>
        <v/>
      </c>
      <c r="BH1432" s="24" t="str">
        <f t="shared" si="148"/>
        <v/>
      </c>
      <c r="BI1432" s="24" t="str">
        <f t="shared" si="149"/>
        <v/>
      </c>
      <c r="BJ1432" s="24" t="str">
        <f t="shared" si="150"/>
        <v/>
      </c>
    </row>
    <row r="1433" spans="1:62" ht="15" customHeight="1" x14ac:dyDescent="0.25">
      <c r="A1433" t="str">
        <f>"1235110826"</f>
        <v>1235110826</v>
      </c>
      <c r="B1433" t="str">
        <f>"02177764"</f>
        <v>02177764</v>
      </c>
      <c r="C1433" t="s">
        <v>4467</v>
      </c>
      <c r="D1433" t="s">
        <v>4468</v>
      </c>
      <c r="E1433" t="s">
        <v>4469</v>
      </c>
      <c r="G1433" t="s">
        <v>4447</v>
      </c>
      <c r="H1433" t="s">
        <v>4448</v>
      </c>
      <c r="J1433" t="s">
        <v>4449</v>
      </c>
      <c r="L1433" t="s">
        <v>6868</v>
      </c>
      <c r="M1433" t="s">
        <v>108</v>
      </c>
      <c r="R1433" t="s">
        <v>4467</v>
      </c>
      <c r="W1433" t="s">
        <v>4469</v>
      </c>
      <c r="X1433" t="s">
        <v>4470</v>
      </c>
      <c r="Y1433" t="s">
        <v>1570</v>
      </c>
      <c r="Z1433" t="s">
        <v>111</v>
      </c>
      <c r="AA1433" t="str">
        <f>"13830"</f>
        <v>13830</v>
      </c>
      <c r="AB1433" t="s">
        <v>123</v>
      </c>
      <c r="AC1433" t="s">
        <v>113</v>
      </c>
      <c r="AD1433" t="s">
        <v>108</v>
      </c>
      <c r="AE1433" t="s">
        <v>114</v>
      </c>
      <c r="AF1433" t="s">
        <v>124</v>
      </c>
      <c r="AG1433" t="s">
        <v>116</v>
      </c>
      <c r="AK1433" t="str">
        <f t="shared" si="147"/>
        <v/>
      </c>
      <c r="AL1433" t="s">
        <v>4468</v>
      </c>
      <c r="AM1433">
        <v>0</v>
      </c>
      <c r="AN1433">
        <v>0</v>
      </c>
      <c r="AO1433">
        <v>0</v>
      </c>
      <c r="AP1433">
        <v>0</v>
      </c>
      <c r="AQ1433">
        <v>0</v>
      </c>
      <c r="AR1433">
        <v>0</v>
      </c>
      <c r="AS1433">
        <v>0</v>
      </c>
      <c r="AT1433">
        <v>0</v>
      </c>
      <c r="AU1433">
        <v>0</v>
      </c>
      <c r="AV1433">
        <v>0</v>
      </c>
      <c r="AW1433">
        <v>0</v>
      </c>
      <c r="AX1433" s="24">
        <f t="shared" si="145"/>
        <v>1</v>
      </c>
      <c r="AY1433" s="24">
        <f t="shared" si="145"/>
        <v>1</v>
      </c>
      <c r="AZ1433" s="24" t="str">
        <f t="shared" si="149"/>
        <v/>
      </c>
      <c r="BA1433" s="24" t="str">
        <f t="shared" si="149"/>
        <v/>
      </c>
      <c r="BB1433" s="24" t="str">
        <f t="shared" si="149"/>
        <v/>
      </c>
      <c r="BC1433" s="24" t="str">
        <f t="shared" si="149"/>
        <v/>
      </c>
      <c r="BD1433" s="24" t="str">
        <f t="shared" si="149"/>
        <v/>
      </c>
      <c r="BE1433" s="24" t="str">
        <f t="shared" si="149"/>
        <v/>
      </c>
      <c r="BF1433" s="24" t="str">
        <f t="shared" si="149"/>
        <v/>
      </c>
      <c r="BG1433" s="24" t="str">
        <f t="shared" si="149"/>
        <v/>
      </c>
      <c r="BH1433" s="24" t="str">
        <f t="shared" si="148"/>
        <v/>
      </c>
      <c r="BI1433" s="24" t="str">
        <f t="shared" si="149"/>
        <v/>
      </c>
      <c r="BJ1433" s="24" t="str">
        <f t="shared" si="150"/>
        <v/>
      </c>
    </row>
    <row r="1434" spans="1:62" ht="15" customHeight="1" x14ac:dyDescent="0.25">
      <c r="A1434" t="str">
        <f>"1790834638"</f>
        <v>1790834638</v>
      </c>
      <c r="B1434" t="str">
        <f>"02946032"</f>
        <v>02946032</v>
      </c>
      <c r="C1434" t="s">
        <v>4301</v>
      </c>
      <c r="D1434" t="s">
        <v>4302</v>
      </c>
      <c r="E1434" t="s">
        <v>4303</v>
      </c>
      <c r="G1434" t="s">
        <v>4304</v>
      </c>
      <c r="H1434" t="s">
        <v>4305</v>
      </c>
      <c r="J1434" t="s">
        <v>4306</v>
      </c>
      <c r="L1434" t="s">
        <v>120</v>
      </c>
      <c r="M1434" t="s">
        <v>108</v>
      </c>
      <c r="R1434" t="s">
        <v>4303</v>
      </c>
      <c r="W1434" t="s">
        <v>4307</v>
      </c>
      <c r="X1434" t="s">
        <v>4308</v>
      </c>
      <c r="Y1434" t="s">
        <v>293</v>
      </c>
      <c r="Z1434" t="s">
        <v>111</v>
      </c>
      <c r="AA1434" t="str">
        <f>"14850-5429"</f>
        <v>14850-5429</v>
      </c>
      <c r="AB1434" t="s">
        <v>123</v>
      </c>
      <c r="AC1434" t="s">
        <v>113</v>
      </c>
      <c r="AD1434" t="s">
        <v>108</v>
      </c>
      <c r="AE1434" t="s">
        <v>114</v>
      </c>
      <c r="AF1434" t="s">
        <v>142</v>
      </c>
      <c r="AG1434" t="s">
        <v>116</v>
      </c>
      <c r="AK1434" t="str">
        <f t="shared" si="147"/>
        <v/>
      </c>
      <c r="AL1434" t="s">
        <v>4302</v>
      </c>
      <c r="AM1434">
        <v>0</v>
      </c>
      <c r="AN1434">
        <v>0</v>
      </c>
      <c r="AO1434">
        <v>0</v>
      </c>
      <c r="AP1434">
        <v>0</v>
      </c>
      <c r="AQ1434">
        <v>0</v>
      </c>
      <c r="AR1434">
        <v>0</v>
      </c>
      <c r="AS1434">
        <v>0</v>
      </c>
      <c r="AT1434">
        <v>0</v>
      </c>
      <c r="AU1434">
        <v>0</v>
      </c>
      <c r="AV1434">
        <v>0</v>
      </c>
      <c r="AW1434">
        <v>0</v>
      </c>
      <c r="AX1434" s="24">
        <f t="shared" si="145"/>
        <v>1</v>
      </c>
      <c r="AY1434" s="24" t="str">
        <f t="shared" si="145"/>
        <v/>
      </c>
      <c r="AZ1434" s="24" t="str">
        <f t="shared" si="149"/>
        <v/>
      </c>
      <c r="BA1434" s="24" t="str">
        <f t="shared" si="149"/>
        <v/>
      </c>
      <c r="BB1434" s="24" t="str">
        <f t="shared" si="149"/>
        <v/>
      </c>
      <c r="BC1434" s="24" t="str">
        <f t="shared" si="149"/>
        <v/>
      </c>
      <c r="BD1434" s="24" t="str">
        <f t="shared" si="149"/>
        <v/>
      </c>
      <c r="BE1434" s="24" t="str">
        <f t="shared" si="149"/>
        <v/>
      </c>
      <c r="BF1434" s="24" t="str">
        <f t="shared" si="149"/>
        <v/>
      </c>
      <c r="BG1434" s="24" t="str">
        <f t="shared" si="149"/>
        <v/>
      </c>
      <c r="BH1434" s="24" t="str">
        <f t="shared" si="148"/>
        <v/>
      </c>
      <c r="BI1434" s="24">
        <f t="shared" si="149"/>
        <v>1</v>
      </c>
      <c r="BJ1434" s="24" t="str">
        <f t="shared" si="150"/>
        <v/>
      </c>
    </row>
    <row r="1435" spans="1:62" ht="15" customHeight="1" x14ac:dyDescent="0.25">
      <c r="A1435" t="str">
        <f>"1790751089"</f>
        <v>1790751089</v>
      </c>
      <c r="B1435" t="str">
        <f>"01326856"</f>
        <v>01326856</v>
      </c>
      <c r="C1435" t="s">
        <v>2975</v>
      </c>
      <c r="D1435" t="s">
        <v>2976</v>
      </c>
      <c r="E1435" t="s">
        <v>2977</v>
      </c>
      <c r="G1435" t="s">
        <v>177</v>
      </c>
      <c r="H1435" t="s">
        <v>178</v>
      </c>
      <c r="J1435" t="s">
        <v>179</v>
      </c>
      <c r="L1435" t="s">
        <v>247</v>
      </c>
      <c r="M1435" t="s">
        <v>108</v>
      </c>
      <c r="R1435" t="s">
        <v>2978</v>
      </c>
      <c r="W1435" t="s">
        <v>2977</v>
      </c>
      <c r="X1435" t="s">
        <v>740</v>
      </c>
      <c r="Y1435" t="s">
        <v>181</v>
      </c>
      <c r="Z1435" t="s">
        <v>182</v>
      </c>
      <c r="AA1435" t="str">
        <f>"18840"</f>
        <v>18840</v>
      </c>
      <c r="AB1435" t="s">
        <v>123</v>
      </c>
      <c r="AC1435" t="s">
        <v>113</v>
      </c>
      <c r="AD1435" t="s">
        <v>108</v>
      </c>
      <c r="AE1435" t="s">
        <v>114</v>
      </c>
      <c r="AF1435" t="s">
        <v>115</v>
      </c>
      <c r="AG1435" t="s">
        <v>116</v>
      </c>
      <c r="AK1435" t="str">
        <f t="shared" si="147"/>
        <v/>
      </c>
      <c r="AL1435" t="s">
        <v>2976</v>
      </c>
      <c r="AM1435">
        <v>1</v>
      </c>
      <c r="AN1435">
        <v>1</v>
      </c>
      <c r="AO1435">
        <v>0</v>
      </c>
      <c r="AP1435">
        <v>0</v>
      </c>
      <c r="AQ1435">
        <v>0</v>
      </c>
      <c r="AR1435">
        <v>0</v>
      </c>
      <c r="AS1435">
        <v>0</v>
      </c>
      <c r="AT1435">
        <v>0</v>
      </c>
      <c r="AU1435">
        <v>0</v>
      </c>
      <c r="AV1435">
        <v>1</v>
      </c>
      <c r="AW1435">
        <v>0</v>
      </c>
      <c r="AX1435" s="24" t="str">
        <f t="shared" si="145"/>
        <v/>
      </c>
      <c r="AY1435" s="24">
        <f t="shared" si="145"/>
        <v>1</v>
      </c>
      <c r="AZ1435" s="24" t="str">
        <f t="shared" si="149"/>
        <v/>
      </c>
      <c r="BA1435" s="24" t="str">
        <f t="shared" si="149"/>
        <v/>
      </c>
      <c r="BB1435" s="24" t="str">
        <f t="shared" si="149"/>
        <v/>
      </c>
      <c r="BC1435" s="24" t="str">
        <f t="shared" si="149"/>
        <v/>
      </c>
      <c r="BD1435" s="24" t="str">
        <f t="shared" si="149"/>
        <v/>
      </c>
      <c r="BE1435" s="24" t="str">
        <f t="shared" si="149"/>
        <v/>
      </c>
      <c r="BF1435" s="24" t="str">
        <f t="shared" si="149"/>
        <v/>
      </c>
      <c r="BG1435" s="24" t="str">
        <f t="shared" si="149"/>
        <v/>
      </c>
      <c r="BH1435" s="24" t="str">
        <f t="shared" si="148"/>
        <v/>
      </c>
      <c r="BI1435" s="24" t="str">
        <f t="shared" si="149"/>
        <v/>
      </c>
      <c r="BJ1435" s="24" t="str">
        <f t="shared" si="150"/>
        <v/>
      </c>
    </row>
    <row r="1436" spans="1:62" ht="15" customHeight="1" x14ac:dyDescent="0.25">
      <c r="A1436" t="str">
        <f>"1205817566"</f>
        <v>1205817566</v>
      </c>
      <c r="B1436" t="str">
        <f>"02846688"</f>
        <v>02846688</v>
      </c>
      <c r="C1436" t="s">
        <v>2017</v>
      </c>
      <c r="D1436" t="s">
        <v>2018</v>
      </c>
      <c r="E1436" t="s">
        <v>2019</v>
      </c>
      <c r="L1436" t="s">
        <v>247</v>
      </c>
      <c r="M1436" t="s">
        <v>108</v>
      </c>
      <c r="R1436" t="s">
        <v>2017</v>
      </c>
      <c r="W1436" t="s">
        <v>2019</v>
      </c>
      <c r="X1436" t="s">
        <v>810</v>
      </c>
      <c r="Y1436" t="s">
        <v>110</v>
      </c>
      <c r="Z1436" t="s">
        <v>111</v>
      </c>
      <c r="AA1436" t="str">
        <f>"13905-2522"</f>
        <v>13905-2522</v>
      </c>
      <c r="AB1436" t="s">
        <v>811</v>
      </c>
      <c r="AC1436" t="s">
        <v>113</v>
      </c>
      <c r="AD1436" t="s">
        <v>108</v>
      </c>
      <c r="AE1436" t="s">
        <v>114</v>
      </c>
      <c r="AF1436" t="s">
        <v>115</v>
      </c>
      <c r="AG1436" t="s">
        <v>116</v>
      </c>
      <c r="AK1436" t="str">
        <f t="shared" si="147"/>
        <v/>
      </c>
      <c r="AL1436" t="s">
        <v>2018</v>
      </c>
      <c r="AM1436">
        <v>0</v>
      </c>
      <c r="AN1436">
        <v>0</v>
      </c>
      <c r="AO1436">
        <v>0</v>
      </c>
      <c r="AP1436">
        <v>0</v>
      </c>
      <c r="AQ1436">
        <v>0</v>
      </c>
      <c r="AR1436">
        <v>0</v>
      </c>
      <c r="AS1436">
        <v>0</v>
      </c>
      <c r="AT1436">
        <v>0</v>
      </c>
      <c r="AU1436">
        <v>0</v>
      </c>
      <c r="AV1436">
        <v>0</v>
      </c>
      <c r="AW1436">
        <v>0</v>
      </c>
      <c r="AX1436" s="24" t="str">
        <f t="shared" si="145"/>
        <v/>
      </c>
      <c r="AY1436" s="24">
        <f t="shared" si="145"/>
        <v>1</v>
      </c>
      <c r="AZ1436" s="24" t="str">
        <f t="shared" si="149"/>
        <v/>
      </c>
      <c r="BA1436" s="24" t="str">
        <f t="shared" si="149"/>
        <v/>
      </c>
      <c r="BB1436" s="24" t="str">
        <f t="shared" si="149"/>
        <v/>
      </c>
      <c r="BC1436" s="24" t="str">
        <f t="shared" si="149"/>
        <v/>
      </c>
      <c r="BD1436" s="24" t="str">
        <f t="shared" si="149"/>
        <v/>
      </c>
      <c r="BE1436" s="24" t="str">
        <f t="shared" si="149"/>
        <v/>
      </c>
      <c r="BF1436" s="24" t="str">
        <f t="shared" si="149"/>
        <v/>
      </c>
      <c r="BG1436" s="24" t="str">
        <f t="shared" si="149"/>
        <v/>
      </c>
      <c r="BH1436" s="24" t="str">
        <f t="shared" si="148"/>
        <v/>
      </c>
      <c r="BI1436" s="24" t="str">
        <f t="shared" si="149"/>
        <v/>
      </c>
      <c r="BJ1436" s="24" t="str">
        <f t="shared" si="150"/>
        <v/>
      </c>
    </row>
    <row r="1437" spans="1:62" ht="15" customHeight="1" x14ac:dyDescent="0.25">
      <c r="A1437" t="str">
        <f>"1942207790"</f>
        <v>1942207790</v>
      </c>
      <c r="B1437" t="str">
        <f>"02073292"</f>
        <v>02073292</v>
      </c>
      <c r="C1437" t="s">
        <v>944</v>
      </c>
      <c r="D1437" t="s">
        <v>945</v>
      </c>
      <c r="E1437" t="s">
        <v>946</v>
      </c>
      <c r="G1437" t="s">
        <v>638</v>
      </c>
      <c r="H1437" t="s">
        <v>639</v>
      </c>
      <c r="J1437" t="s">
        <v>947</v>
      </c>
      <c r="L1437" t="s">
        <v>138</v>
      </c>
      <c r="M1437" t="s">
        <v>108</v>
      </c>
      <c r="R1437" t="s">
        <v>948</v>
      </c>
      <c r="W1437" t="s">
        <v>946</v>
      </c>
      <c r="X1437" t="s">
        <v>893</v>
      </c>
      <c r="Y1437" t="s">
        <v>141</v>
      </c>
      <c r="Z1437" t="s">
        <v>111</v>
      </c>
      <c r="AA1437" t="str">
        <f>"13203-1807"</f>
        <v>13203-1807</v>
      </c>
      <c r="AB1437" t="s">
        <v>123</v>
      </c>
      <c r="AC1437" t="s">
        <v>113</v>
      </c>
      <c r="AD1437" t="s">
        <v>108</v>
      </c>
      <c r="AE1437" t="s">
        <v>114</v>
      </c>
      <c r="AF1437" t="s">
        <v>142</v>
      </c>
      <c r="AG1437" t="s">
        <v>116</v>
      </c>
      <c r="AK1437" t="str">
        <f t="shared" si="147"/>
        <v/>
      </c>
      <c r="AL1437" t="s">
        <v>945</v>
      </c>
      <c r="AM1437">
        <v>1</v>
      </c>
      <c r="AN1437">
        <v>1</v>
      </c>
      <c r="AO1437">
        <v>0</v>
      </c>
      <c r="AP1437">
        <v>0</v>
      </c>
      <c r="AQ1437">
        <v>0</v>
      </c>
      <c r="AR1437">
        <v>0</v>
      </c>
      <c r="AS1437">
        <v>0</v>
      </c>
      <c r="AT1437">
        <v>0</v>
      </c>
      <c r="AU1437">
        <v>0</v>
      </c>
      <c r="AV1437">
        <v>0</v>
      </c>
      <c r="AW1437">
        <v>0</v>
      </c>
      <c r="AX1437" s="24" t="str">
        <f t="shared" si="145"/>
        <v/>
      </c>
      <c r="AY1437" s="24">
        <f t="shared" si="145"/>
        <v>1</v>
      </c>
      <c r="AZ1437" s="24" t="str">
        <f t="shared" si="149"/>
        <v/>
      </c>
      <c r="BA1437" s="24" t="str">
        <f t="shared" si="149"/>
        <v/>
      </c>
      <c r="BB1437" s="24" t="str">
        <f t="shared" si="149"/>
        <v/>
      </c>
      <c r="BC1437" s="24" t="str">
        <f t="shared" si="149"/>
        <v/>
      </c>
      <c r="BD1437" s="24" t="str">
        <f t="shared" si="149"/>
        <v/>
      </c>
      <c r="BE1437" s="24" t="str">
        <f t="shared" si="149"/>
        <v/>
      </c>
      <c r="BF1437" s="24" t="str">
        <f t="shared" si="149"/>
        <v/>
      </c>
      <c r="BG1437" s="24" t="str">
        <f t="shared" si="149"/>
        <v/>
      </c>
      <c r="BH1437" s="24" t="str">
        <f t="shared" si="148"/>
        <v/>
      </c>
      <c r="BI1437" s="24">
        <f t="shared" si="149"/>
        <v>1</v>
      </c>
      <c r="BJ1437" s="24" t="str">
        <f t="shared" si="150"/>
        <v/>
      </c>
    </row>
    <row r="1438" spans="1:62" ht="15" customHeight="1" x14ac:dyDescent="0.25">
      <c r="A1438" t="str">
        <f>"1427033349"</f>
        <v>1427033349</v>
      </c>
      <c r="B1438" t="str">
        <f>"01172605"</f>
        <v>01172605</v>
      </c>
      <c r="C1438" t="s">
        <v>3544</v>
      </c>
      <c r="D1438" t="s">
        <v>3545</v>
      </c>
      <c r="E1438" t="s">
        <v>3546</v>
      </c>
      <c r="G1438" t="s">
        <v>2755</v>
      </c>
      <c r="H1438" t="s">
        <v>2756</v>
      </c>
      <c r="J1438" t="s">
        <v>3547</v>
      </c>
      <c r="L1438" t="s">
        <v>120</v>
      </c>
      <c r="M1438" t="s">
        <v>108</v>
      </c>
      <c r="R1438" t="s">
        <v>3548</v>
      </c>
      <c r="W1438" t="s">
        <v>3546</v>
      </c>
      <c r="X1438" t="s">
        <v>3549</v>
      </c>
      <c r="Y1438" t="s">
        <v>293</v>
      </c>
      <c r="Z1438" t="s">
        <v>111</v>
      </c>
      <c r="AA1438" t="str">
        <f>"14850-0000"</f>
        <v>14850-0000</v>
      </c>
      <c r="AB1438" t="s">
        <v>123</v>
      </c>
      <c r="AC1438" t="s">
        <v>113</v>
      </c>
      <c r="AD1438" t="s">
        <v>108</v>
      </c>
      <c r="AE1438" t="s">
        <v>114</v>
      </c>
      <c r="AF1438" t="s">
        <v>142</v>
      </c>
      <c r="AG1438" t="s">
        <v>116</v>
      </c>
      <c r="AK1438" t="str">
        <f t="shared" si="147"/>
        <v/>
      </c>
      <c r="AL1438" t="s">
        <v>3545</v>
      </c>
      <c r="AM1438">
        <v>1</v>
      </c>
      <c r="AN1438">
        <v>1</v>
      </c>
      <c r="AO1438">
        <v>0</v>
      </c>
      <c r="AP1438">
        <v>0</v>
      </c>
      <c r="AQ1438">
        <v>0</v>
      </c>
      <c r="AR1438">
        <v>0</v>
      </c>
      <c r="AS1438">
        <v>0</v>
      </c>
      <c r="AT1438">
        <v>0</v>
      </c>
      <c r="AU1438">
        <v>0</v>
      </c>
      <c r="AV1438">
        <v>0</v>
      </c>
      <c r="AW1438">
        <v>0</v>
      </c>
      <c r="AX1438" s="24">
        <f t="shared" si="145"/>
        <v>1</v>
      </c>
      <c r="AY1438" s="24" t="str">
        <f t="shared" si="145"/>
        <v/>
      </c>
      <c r="AZ1438" s="24" t="str">
        <f t="shared" si="149"/>
        <v/>
      </c>
      <c r="BA1438" s="24" t="str">
        <f t="shared" si="149"/>
        <v/>
      </c>
      <c r="BB1438" s="24" t="str">
        <f t="shared" si="149"/>
        <v/>
      </c>
      <c r="BC1438" s="24" t="str">
        <f t="shared" si="149"/>
        <v/>
      </c>
      <c r="BD1438" s="24" t="str">
        <f t="shared" si="149"/>
        <v/>
      </c>
      <c r="BE1438" s="24" t="str">
        <f t="shared" si="149"/>
        <v/>
      </c>
      <c r="BF1438" s="24" t="str">
        <f t="shared" si="149"/>
        <v/>
      </c>
      <c r="BG1438" s="24" t="str">
        <f t="shared" si="149"/>
        <v/>
      </c>
      <c r="BH1438" s="24" t="str">
        <f t="shared" si="148"/>
        <v/>
      </c>
      <c r="BI1438" s="24">
        <f t="shared" si="149"/>
        <v>1</v>
      </c>
      <c r="BJ1438" s="24" t="str">
        <f t="shared" si="150"/>
        <v/>
      </c>
    </row>
    <row r="1439" spans="1:62" ht="15" customHeight="1" x14ac:dyDescent="0.25">
      <c r="A1439" t="str">
        <f>"1578591749"</f>
        <v>1578591749</v>
      </c>
      <c r="B1439" t="str">
        <f>"02672062"</f>
        <v>02672062</v>
      </c>
      <c r="C1439" t="s">
        <v>1130</v>
      </c>
      <c r="D1439" t="s">
        <v>1131</v>
      </c>
      <c r="E1439" t="s">
        <v>1132</v>
      </c>
      <c r="G1439" t="s">
        <v>1126</v>
      </c>
      <c r="H1439" t="s">
        <v>1127</v>
      </c>
      <c r="J1439" t="s">
        <v>1133</v>
      </c>
      <c r="L1439" t="s">
        <v>138</v>
      </c>
      <c r="M1439" t="s">
        <v>108</v>
      </c>
      <c r="R1439" t="s">
        <v>1134</v>
      </c>
      <c r="W1439" t="s">
        <v>1132</v>
      </c>
      <c r="X1439" t="s">
        <v>1135</v>
      </c>
      <c r="Y1439" t="s">
        <v>239</v>
      </c>
      <c r="Z1439" t="s">
        <v>111</v>
      </c>
      <c r="AA1439" t="str">
        <f>"13045-1644"</f>
        <v>13045-1644</v>
      </c>
      <c r="AB1439" t="s">
        <v>123</v>
      </c>
      <c r="AC1439" t="s">
        <v>113</v>
      </c>
      <c r="AD1439" t="s">
        <v>108</v>
      </c>
      <c r="AE1439" t="s">
        <v>114</v>
      </c>
      <c r="AF1439" t="s">
        <v>142</v>
      </c>
      <c r="AG1439" t="s">
        <v>116</v>
      </c>
      <c r="AK1439" t="str">
        <f t="shared" si="147"/>
        <v/>
      </c>
      <c r="AL1439" t="s">
        <v>1131</v>
      </c>
      <c r="AM1439">
        <v>1</v>
      </c>
      <c r="AN1439">
        <v>1</v>
      </c>
      <c r="AO1439">
        <v>0</v>
      </c>
      <c r="AP1439">
        <v>0</v>
      </c>
      <c r="AQ1439">
        <v>0</v>
      </c>
      <c r="AR1439">
        <v>0</v>
      </c>
      <c r="AS1439">
        <v>0</v>
      </c>
      <c r="AT1439">
        <v>0</v>
      </c>
      <c r="AU1439">
        <v>0</v>
      </c>
      <c r="AV1439">
        <v>0</v>
      </c>
      <c r="AW1439">
        <v>0</v>
      </c>
      <c r="AX1439" s="24" t="str">
        <f t="shared" si="145"/>
        <v/>
      </c>
      <c r="AY1439" s="24">
        <f t="shared" si="145"/>
        <v>1</v>
      </c>
      <c r="AZ1439" s="24" t="str">
        <f t="shared" si="149"/>
        <v/>
      </c>
      <c r="BA1439" s="24" t="str">
        <f t="shared" si="149"/>
        <v/>
      </c>
      <c r="BB1439" s="24" t="str">
        <f t="shared" si="149"/>
        <v/>
      </c>
      <c r="BC1439" s="24" t="str">
        <f t="shared" si="149"/>
        <v/>
      </c>
      <c r="BD1439" s="24" t="str">
        <f t="shared" si="149"/>
        <v/>
      </c>
      <c r="BE1439" s="24" t="str">
        <f t="shared" si="149"/>
        <v/>
      </c>
      <c r="BF1439" s="24" t="str">
        <f t="shared" si="149"/>
        <v/>
      </c>
      <c r="BG1439" s="24" t="str">
        <f t="shared" si="149"/>
        <v/>
      </c>
      <c r="BH1439" s="24" t="str">
        <f t="shared" si="148"/>
        <v/>
      </c>
      <c r="BI1439" s="24">
        <f t="shared" si="149"/>
        <v>1</v>
      </c>
      <c r="BJ1439" s="24" t="str">
        <f t="shared" si="150"/>
        <v/>
      </c>
    </row>
    <row r="1440" spans="1:62" ht="15" customHeight="1" x14ac:dyDescent="0.25">
      <c r="A1440" t="str">
        <f>"1215135496"</f>
        <v>1215135496</v>
      </c>
      <c r="B1440" t="str">
        <f>"02910089"</f>
        <v>02910089</v>
      </c>
      <c r="C1440" t="s">
        <v>2290</v>
      </c>
      <c r="D1440" t="s">
        <v>2291</v>
      </c>
      <c r="E1440" t="s">
        <v>2292</v>
      </c>
      <c r="G1440" t="s">
        <v>177</v>
      </c>
      <c r="H1440" t="s">
        <v>178</v>
      </c>
      <c r="J1440" t="s">
        <v>179</v>
      </c>
      <c r="L1440" t="s">
        <v>138</v>
      </c>
      <c r="M1440" t="s">
        <v>108</v>
      </c>
      <c r="R1440" t="s">
        <v>2290</v>
      </c>
      <c r="W1440" t="s">
        <v>2292</v>
      </c>
      <c r="X1440" t="s">
        <v>196</v>
      </c>
      <c r="Y1440" t="s">
        <v>181</v>
      </c>
      <c r="Z1440" t="s">
        <v>182</v>
      </c>
      <c r="AA1440" t="str">
        <f>"18840-1625"</f>
        <v>18840-1625</v>
      </c>
      <c r="AB1440" t="s">
        <v>123</v>
      </c>
      <c r="AC1440" t="s">
        <v>113</v>
      </c>
      <c r="AD1440" t="s">
        <v>108</v>
      </c>
      <c r="AE1440" t="s">
        <v>114</v>
      </c>
      <c r="AF1440" t="s">
        <v>115</v>
      </c>
      <c r="AG1440" t="s">
        <v>116</v>
      </c>
      <c r="AK1440" t="str">
        <f t="shared" si="147"/>
        <v/>
      </c>
      <c r="AL1440" t="s">
        <v>2291</v>
      </c>
      <c r="AM1440">
        <v>0</v>
      </c>
      <c r="AN1440">
        <v>0</v>
      </c>
      <c r="AO1440">
        <v>0</v>
      </c>
      <c r="AP1440">
        <v>0</v>
      </c>
      <c r="AQ1440">
        <v>0</v>
      </c>
      <c r="AR1440">
        <v>0</v>
      </c>
      <c r="AS1440">
        <v>0</v>
      </c>
      <c r="AT1440">
        <v>0</v>
      </c>
      <c r="AU1440">
        <v>0</v>
      </c>
      <c r="AV1440">
        <v>0</v>
      </c>
      <c r="AW1440">
        <v>0</v>
      </c>
      <c r="AX1440" s="24" t="str">
        <f t="shared" si="145"/>
        <v/>
      </c>
      <c r="AY1440" s="24">
        <f t="shared" si="145"/>
        <v>1</v>
      </c>
      <c r="AZ1440" s="24" t="str">
        <f t="shared" si="149"/>
        <v/>
      </c>
      <c r="BA1440" s="24" t="str">
        <f t="shared" si="149"/>
        <v/>
      </c>
      <c r="BB1440" s="24" t="str">
        <f t="shared" si="149"/>
        <v/>
      </c>
      <c r="BC1440" s="24" t="str">
        <f t="shared" si="149"/>
        <v/>
      </c>
      <c r="BD1440" s="24" t="str">
        <f t="shared" si="149"/>
        <v/>
      </c>
      <c r="BE1440" s="24" t="str">
        <f t="shared" si="149"/>
        <v/>
      </c>
      <c r="BF1440" s="24" t="str">
        <f t="shared" si="149"/>
        <v/>
      </c>
      <c r="BG1440" s="24" t="str">
        <f t="shared" si="149"/>
        <v/>
      </c>
      <c r="BH1440" s="24" t="str">
        <f t="shared" si="148"/>
        <v/>
      </c>
      <c r="BI1440" s="24">
        <f t="shared" si="149"/>
        <v>1</v>
      </c>
      <c r="BJ1440" s="24" t="str">
        <f t="shared" si="150"/>
        <v/>
      </c>
    </row>
    <row r="1441" spans="1:62" ht="15" customHeight="1" x14ac:dyDescent="0.25">
      <c r="A1441" t="str">
        <f>"1154402808"</f>
        <v>1154402808</v>
      </c>
      <c r="B1441" t="str">
        <f>"01610475"</f>
        <v>01610475</v>
      </c>
      <c r="C1441" t="s">
        <v>2020</v>
      </c>
      <c r="D1441" t="s">
        <v>2021</v>
      </c>
      <c r="E1441" t="s">
        <v>2022</v>
      </c>
      <c r="L1441" t="s">
        <v>120</v>
      </c>
      <c r="M1441" t="s">
        <v>108</v>
      </c>
      <c r="R1441" t="s">
        <v>2020</v>
      </c>
      <c r="W1441" t="s">
        <v>2022</v>
      </c>
      <c r="X1441" t="s">
        <v>121</v>
      </c>
      <c r="Y1441" t="s">
        <v>122</v>
      </c>
      <c r="Z1441" t="s">
        <v>111</v>
      </c>
      <c r="AA1441" t="str">
        <f>"13815-1019"</f>
        <v>13815-1019</v>
      </c>
      <c r="AB1441" t="s">
        <v>123</v>
      </c>
      <c r="AC1441" t="s">
        <v>113</v>
      </c>
      <c r="AD1441" t="s">
        <v>108</v>
      </c>
      <c r="AE1441" t="s">
        <v>114</v>
      </c>
      <c r="AF1441" t="s">
        <v>124</v>
      </c>
      <c r="AG1441" t="s">
        <v>116</v>
      </c>
      <c r="AK1441" t="str">
        <f t="shared" si="147"/>
        <v/>
      </c>
      <c r="AL1441" t="s">
        <v>2021</v>
      </c>
      <c r="AM1441">
        <v>1</v>
      </c>
      <c r="AN1441">
        <v>1</v>
      </c>
      <c r="AO1441">
        <v>0</v>
      </c>
      <c r="AP1441">
        <v>1</v>
      </c>
      <c r="AQ1441">
        <v>1</v>
      </c>
      <c r="AR1441">
        <v>0</v>
      </c>
      <c r="AS1441">
        <v>0</v>
      </c>
      <c r="AT1441">
        <v>0</v>
      </c>
      <c r="AU1441">
        <v>0</v>
      </c>
      <c r="AV1441">
        <v>0</v>
      </c>
      <c r="AW1441">
        <v>0</v>
      </c>
      <c r="AX1441" s="24">
        <f t="shared" si="145"/>
        <v>1</v>
      </c>
      <c r="AY1441" s="24" t="str">
        <f t="shared" si="145"/>
        <v/>
      </c>
      <c r="AZ1441" s="24" t="str">
        <f t="shared" si="149"/>
        <v/>
      </c>
      <c r="BA1441" s="24" t="str">
        <f t="shared" si="149"/>
        <v/>
      </c>
      <c r="BB1441" s="24" t="str">
        <f t="shared" si="149"/>
        <v/>
      </c>
      <c r="BC1441" s="24" t="str">
        <f t="shared" si="149"/>
        <v/>
      </c>
      <c r="BD1441" s="24" t="str">
        <f t="shared" si="149"/>
        <v/>
      </c>
      <c r="BE1441" s="24" t="str">
        <f t="shared" si="149"/>
        <v/>
      </c>
      <c r="BF1441" s="24" t="str">
        <f t="shared" ref="AZ1441:BI1467" si="151">IF(ISERROR(FIND(BF$1,$L1441,1)),"",1)</f>
        <v/>
      </c>
      <c r="BG1441" s="24" t="str">
        <f t="shared" si="151"/>
        <v/>
      </c>
      <c r="BH1441" s="24" t="str">
        <f t="shared" si="148"/>
        <v/>
      </c>
      <c r="BI1441" s="24">
        <f t="shared" si="151"/>
        <v>1</v>
      </c>
      <c r="BJ1441" s="24" t="str">
        <f t="shared" si="150"/>
        <v/>
      </c>
    </row>
    <row r="1442" spans="1:62" ht="15" customHeight="1" x14ac:dyDescent="0.25">
      <c r="A1442" t="str">
        <f>"1750345682"</f>
        <v>1750345682</v>
      </c>
      <c r="B1442" t="str">
        <f>"02569657"</f>
        <v>02569657</v>
      </c>
      <c r="C1442" t="s">
        <v>2023</v>
      </c>
      <c r="D1442" t="s">
        <v>2024</v>
      </c>
      <c r="E1442" t="s">
        <v>2025</v>
      </c>
      <c r="L1442" t="s">
        <v>138</v>
      </c>
      <c r="M1442" t="s">
        <v>139</v>
      </c>
      <c r="R1442" t="s">
        <v>2023</v>
      </c>
      <c r="W1442" t="s">
        <v>2025</v>
      </c>
      <c r="X1442" t="s">
        <v>2026</v>
      </c>
      <c r="Y1442" t="s">
        <v>141</v>
      </c>
      <c r="Z1442" t="s">
        <v>111</v>
      </c>
      <c r="AA1442" t="str">
        <f>"13210"</f>
        <v>13210</v>
      </c>
      <c r="AB1442" t="s">
        <v>2027</v>
      </c>
      <c r="AC1442" t="s">
        <v>113</v>
      </c>
      <c r="AD1442" t="s">
        <v>108</v>
      </c>
      <c r="AE1442" t="s">
        <v>114</v>
      </c>
      <c r="AF1442" t="s">
        <v>142</v>
      </c>
      <c r="AG1442" t="s">
        <v>116</v>
      </c>
      <c r="AK1442" t="str">
        <f t="shared" si="147"/>
        <v/>
      </c>
      <c r="AL1442" t="s">
        <v>2024</v>
      </c>
      <c r="AM1442">
        <v>1</v>
      </c>
      <c r="AN1442">
        <v>1</v>
      </c>
      <c r="AO1442">
        <v>0</v>
      </c>
      <c r="AP1442">
        <v>0</v>
      </c>
      <c r="AQ1442">
        <v>1</v>
      </c>
      <c r="AR1442">
        <v>0</v>
      </c>
      <c r="AS1442">
        <v>0</v>
      </c>
      <c r="AT1442">
        <v>0</v>
      </c>
      <c r="AU1442">
        <v>0</v>
      </c>
      <c r="AV1442">
        <v>0</v>
      </c>
      <c r="AW1442">
        <v>0</v>
      </c>
      <c r="AX1442" s="24" t="str">
        <f t="shared" si="145"/>
        <v/>
      </c>
      <c r="AY1442" s="24">
        <f t="shared" si="145"/>
        <v>1</v>
      </c>
      <c r="AZ1442" s="24" t="str">
        <f t="shared" si="151"/>
        <v/>
      </c>
      <c r="BA1442" s="24" t="str">
        <f t="shared" si="151"/>
        <v/>
      </c>
      <c r="BB1442" s="24" t="str">
        <f t="shared" si="151"/>
        <v/>
      </c>
      <c r="BC1442" s="24" t="str">
        <f t="shared" si="151"/>
        <v/>
      </c>
      <c r="BD1442" s="24" t="str">
        <f t="shared" si="151"/>
        <v/>
      </c>
      <c r="BE1442" s="24" t="str">
        <f t="shared" si="151"/>
        <v/>
      </c>
      <c r="BF1442" s="24" t="str">
        <f t="shared" si="151"/>
        <v/>
      </c>
      <c r="BG1442" s="24" t="str">
        <f t="shared" si="151"/>
        <v/>
      </c>
      <c r="BH1442" s="24" t="str">
        <f t="shared" si="148"/>
        <v/>
      </c>
      <c r="BI1442" s="24">
        <f t="shared" si="151"/>
        <v>1</v>
      </c>
      <c r="BJ1442" s="24" t="str">
        <f t="shared" si="150"/>
        <v/>
      </c>
    </row>
    <row r="1443" spans="1:62" ht="15" customHeight="1" x14ac:dyDescent="0.25">
      <c r="A1443" t="str">
        <f>"1780747642"</f>
        <v>1780747642</v>
      </c>
      <c r="B1443" t="str">
        <f>"03174187"</f>
        <v>03174187</v>
      </c>
      <c r="C1443" t="s">
        <v>2699</v>
      </c>
      <c r="D1443" t="s">
        <v>2700</v>
      </c>
      <c r="E1443" t="s">
        <v>2701</v>
      </c>
      <c r="L1443" t="s">
        <v>809</v>
      </c>
      <c r="M1443" t="s">
        <v>108</v>
      </c>
      <c r="R1443" t="s">
        <v>2699</v>
      </c>
      <c r="W1443" t="s">
        <v>2701</v>
      </c>
      <c r="X1443" t="s">
        <v>810</v>
      </c>
      <c r="Y1443" t="s">
        <v>110</v>
      </c>
      <c r="Z1443" t="s">
        <v>111</v>
      </c>
      <c r="AA1443" t="str">
        <f>"13905-2522"</f>
        <v>13905-2522</v>
      </c>
      <c r="AB1443" t="s">
        <v>811</v>
      </c>
      <c r="AC1443" t="s">
        <v>113</v>
      </c>
      <c r="AD1443" t="s">
        <v>108</v>
      </c>
      <c r="AE1443" t="s">
        <v>114</v>
      </c>
      <c r="AF1443" t="s">
        <v>115</v>
      </c>
      <c r="AG1443" t="s">
        <v>116</v>
      </c>
      <c r="AK1443" t="str">
        <f t="shared" si="147"/>
        <v/>
      </c>
      <c r="AL1443" t="s">
        <v>2700</v>
      </c>
      <c r="AM1443">
        <v>0</v>
      </c>
      <c r="AN1443">
        <v>0</v>
      </c>
      <c r="AO1443">
        <v>0</v>
      </c>
      <c r="AP1443">
        <v>0</v>
      </c>
      <c r="AQ1443">
        <v>0</v>
      </c>
      <c r="AR1443">
        <v>0</v>
      </c>
      <c r="AS1443">
        <v>0</v>
      </c>
      <c r="AT1443">
        <v>0</v>
      </c>
      <c r="AU1443">
        <v>0</v>
      </c>
      <c r="AV1443">
        <v>0</v>
      </c>
      <c r="AW1443">
        <v>0</v>
      </c>
      <c r="AX1443" s="24" t="str">
        <f t="shared" si="145"/>
        <v/>
      </c>
      <c r="AY1443" s="24">
        <f t="shared" si="145"/>
        <v>1</v>
      </c>
      <c r="AZ1443" s="24" t="str">
        <f t="shared" si="151"/>
        <v/>
      </c>
      <c r="BA1443" s="24" t="str">
        <f t="shared" si="151"/>
        <v/>
      </c>
      <c r="BB1443" s="24" t="str">
        <f t="shared" si="151"/>
        <v/>
      </c>
      <c r="BC1443" s="24">
        <f t="shared" si="151"/>
        <v>1</v>
      </c>
      <c r="BD1443" s="24" t="str">
        <f t="shared" si="151"/>
        <v/>
      </c>
      <c r="BE1443" s="24" t="str">
        <f t="shared" si="151"/>
        <v/>
      </c>
      <c r="BF1443" s="24" t="str">
        <f t="shared" si="151"/>
        <v/>
      </c>
      <c r="BG1443" s="24" t="str">
        <f t="shared" si="151"/>
        <v/>
      </c>
      <c r="BH1443" s="24" t="str">
        <f t="shared" si="148"/>
        <v/>
      </c>
      <c r="BI1443" s="24" t="str">
        <f t="shared" si="151"/>
        <v/>
      </c>
      <c r="BJ1443" s="24" t="str">
        <f t="shared" si="150"/>
        <v/>
      </c>
    </row>
    <row r="1444" spans="1:62" ht="15" customHeight="1" x14ac:dyDescent="0.25">
      <c r="A1444" t="str">
        <f>"1457443343"</f>
        <v>1457443343</v>
      </c>
      <c r="B1444" t="str">
        <f>"02592152"</f>
        <v>02592152</v>
      </c>
      <c r="C1444" t="s">
        <v>6850</v>
      </c>
      <c r="D1444" t="s">
        <v>7144</v>
      </c>
      <c r="E1444" t="s">
        <v>6996</v>
      </c>
      <c r="G1444" t="s">
        <v>6330</v>
      </c>
      <c r="H1444" t="s">
        <v>6331</v>
      </c>
      <c r="J1444" t="s">
        <v>6332</v>
      </c>
      <c r="L1444" t="s">
        <v>120</v>
      </c>
      <c r="M1444" t="s">
        <v>108</v>
      </c>
      <c r="R1444" t="s">
        <v>6850</v>
      </c>
      <c r="W1444" t="s">
        <v>6996</v>
      </c>
      <c r="X1444" t="s">
        <v>6997</v>
      </c>
      <c r="Y1444" t="s">
        <v>991</v>
      </c>
      <c r="Z1444" t="s">
        <v>111</v>
      </c>
      <c r="AA1444" t="str">
        <f>"13838-1325"</f>
        <v>13838-1325</v>
      </c>
      <c r="AB1444" t="s">
        <v>123</v>
      </c>
      <c r="AC1444" t="s">
        <v>113</v>
      </c>
      <c r="AD1444" t="s">
        <v>108</v>
      </c>
      <c r="AE1444" t="s">
        <v>114</v>
      </c>
      <c r="AF1444" t="s">
        <v>115</v>
      </c>
      <c r="AG1444" t="s">
        <v>116</v>
      </c>
      <c r="AK1444" t="str">
        <f t="shared" si="147"/>
        <v>WARNAKULASURIYA MANUJA</v>
      </c>
      <c r="AL1444" t="s">
        <v>7144</v>
      </c>
      <c r="AM1444" t="s">
        <v>108</v>
      </c>
      <c r="AN1444" t="s">
        <v>108</v>
      </c>
      <c r="AO1444" t="s">
        <v>108</v>
      </c>
      <c r="AP1444" t="s">
        <v>108</v>
      </c>
      <c r="AQ1444" t="s">
        <v>108</v>
      </c>
      <c r="AR1444" t="s">
        <v>108</v>
      </c>
      <c r="AS1444" t="s">
        <v>108</v>
      </c>
      <c r="AT1444" t="s">
        <v>108</v>
      </c>
      <c r="AU1444" t="s">
        <v>108</v>
      </c>
      <c r="AV1444" t="s">
        <v>108</v>
      </c>
      <c r="AW1444" t="s">
        <v>108</v>
      </c>
      <c r="AX1444" s="24">
        <f t="shared" si="145"/>
        <v>1</v>
      </c>
      <c r="AY1444" s="24" t="str">
        <f t="shared" si="145"/>
        <v/>
      </c>
      <c r="AZ1444" s="24" t="str">
        <f t="shared" si="151"/>
        <v/>
      </c>
      <c r="BA1444" s="24" t="str">
        <f t="shared" si="151"/>
        <v/>
      </c>
      <c r="BB1444" s="24" t="str">
        <f t="shared" si="151"/>
        <v/>
      </c>
      <c r="BC1444" s="24" t="str">
        <f t="shared" si="151"/>
        <v/>
      </c>
      <c r="BD1444" s="24" t="str">
        <f t="shared" si="151"/>
        <v/>
      </c>
      <c r="BE1444" s="24" t="str">
        <f t="shared" si="151"/>
        <v/>
      </c>
      <c r="BF1444" s="24" t="str">
        <f t="shared" si="151"/>
        <v/>
      </c>
      <c r="BG1444" s="24" t="str">
        <f t="shared" si="151"/>
        <v/>
      </c>
      <c r="BH1444" s="24" t="str">
        <f t="shared" si="148"/>
        <v/>
      </c>
      <c r="BI1444" s="24">
        <f t="shared" si="151"/>
        <v>1</v>
      </c>
      <c r="BJ1444" s="24" t="str">
        <f t="shared" si="150"/>
        <v/>
      </c>
    </row>
    <row r="1445" spans="1:62" ht="15" customHeight="1" x14ac:dyDescent="0.25">
      <c r="A1445" t="str">
        <f>"1790763142"</f>
        <v>1790763142</v>
      </c>
      <c r="B1445" t="str">
        <f>"01683738"</f>
        <v>01683738</v>
      </c>
      <c r="C1445" t="s">
        <v>4428</v>
      </c>
      <c r="D1445" t="s">
        <v>4429</v>
      </c>
      <c r="E1445" t="s">
        <v>4428</v>
      </c>
      <c r="G1445" t="s">
        <v>786</v>
      </c>
      <c r="H1445" t="s">
        <v>787</v>
      </c>
      <c r="J1445" t="s">
        <v>788</v>
      </c>
      <c r="L1445" t="s">
        <v>6867</v>
      </c>
      <c r="M1445" t="s">
        <v>139</v>
      </c>
      <c r="R1445" t="s">
        <v>4428</v>
      </c>
      <c r="W1445" t="s">
        <v>4430</v>
      </c>
      <c r="X1445" t="s">
        <v>3745</v>
      </c>
      <c r="Y1445" t="s">
        <v>239</v>
      </c>
      <c r="Z1445" t="s">
        <v>111</v>
      </c>
      <c r="AA1445" t="str">
        <f>"13045-2708"</f>
        <v>13045-2708</v>
      </c>
      <c r="AB1445" t="s">
        <v>385</v>
      </c>
      <c r="AC1445" t="s">
        <v>113</v>
      </c>
      <c r="AD1445" t="s">
        <v>108</v>
      </c>
      <c r="AE1445" t="s">
        <v>114</v>
      </c>
      <c r="AF1445" t="s">
        <v>142</v>
      </c>
      <c r="AG1445" t="s">
        <v>116</v>
      </c>
      <c r="AK1445" t="str">
        <f t="shared" si="147"/>
        <v/>
      </c>
      <c r="AL1445" t="s">
        <v>4429</v>
      </c>
      <c r="AM1445">
        <v>0</v>
      </c>
      <c r="AN1445">
        <v>0</v>
      </c>
      <c r="AO1445">
        <v>0</v>
      </c>
      <c r="AP1445">
        <v>0</v>
      </c>
      <c r="AQ1445">
        <v>0</v>
      </c>
      <c r="AR1445">
        <v>0</v>
      </c>
      <c r="AS1445">
        <v>0</v>
      </c>
      <c r="AT1445">
        <v>0</v>
      </c>
      <c r="AU1445">
        <v>0</v>
      </c>
      <c r="AV1445">
        <v>0</v>
      </c>
      <c r="AW1445">
        <v>0</v>
      </c>
      <c r="AX1445" s="24">
        <f t="shared" si="145"/>
        <v>1</v>
      </c>
      <c r="AY1445" s="24">
        <f t="shared" si="145"/>
        <v>1</v>
      </c>
      <c r="AZ1445" s="24" t="str">
        <f t="shared" si="151"/>
        <v/>
      </c>
      <c r="BA1445" s="24" t="str">
        <f t="shared" si="151"/>
        <v/>
      </c>
      <c r="BB1445" s="24" t="str">
        <f t="shared" si="151"/>
        <v/>
      </c>
      <c r="BC1445" s="24" t="str">
        <f t="shared" si="151"/>
        <v/>
      </c>
      <c r="BD1445" s="24" t="str">
        <f t="shared" si="151"/>
        <v/>
      </c>
      <c r="BE1445" s="24" t="str">
        <f t="shared" si="151"/>
        <v/>
      </c>
      <c r="BF1445" s="24" t="str">
        <f t="shared" si="151"/>
        <v/>
      </c>
      <c r="BG1445" s="24" t="str">
        <f t="shared" si="151"/>
        <v/>
      </c>
      <c r="BH1445" s="24" t="str">
        <f t="shared" si="148"/>
        <v/>
      </c>
      <c r="BI1445" s="24">
        <f t="shared" si="151"/>
        <v>1</v>
      </c>
      <c r="BJ1445" s="24" t="str">
        <f t="shared" si="150"/>
        <v/>
      </c>
    </row>
    <row r="1446" spans="1:62" ht="15" customHeight="1" x14ac:dyDescent="0.25">
      <c r="A1446" t="str">
        <f>"1205917937"</f>
        <v>1205917937</v>
      </c>
      <c r="B1446" t="str">
        <f>"00851529"</f>
        <v>00851529</v>
      </c>
      <c r="C1446" t="s">
        <v>2028</v>
      </c>
      <c r="D1446" t="s">
        <v>2029</v>
      </c>
      <c r="E1446" t="s">
        <v>2030</v>
      </c>
      <c r="L1446" t="s">
        <v>247</v>
      </c>
      <c r="M1446" t="s">
        <v>108</v>
      </c>
      <c r="R1446" t="s">
        <v>2028</v>
      </c>
      <c r="W1446" t="s">
        <v>2030</v>
      </c>
      <c r="X1446" t="s">
        <v>1246</v>
      </c>
      <c r="Y1446" t="s">
        <v>122</v>
      </c>
      <c r="Z1446" t="s">
        <v>111</v>
      </c>
      <c r="AA1446" t="str">
        <f>"13815-1741"</f>
        <v>13815-1741</v>
      </c>
      <c r="AB1446" t="s">
        <v>609</v>
      </c>
      <c r="AC1446" t="s">
        <v>113</v>
      </c>
      <c r="AD1446" t="s">
        <v>108</v>
      </c>
      <c r="AE1446" t="s">
        <v>114</v>
      </c>
      <c r="AF1446" t="s">
        <v>124</v>
      </c>
      <c r="AG1446" t="s">
        <v>116</v>
      </c>
      <c r="AK1446" t="str">
        <f t="shared" si="147"/>
        <v/>
      </c>
      <c r="AL1446" t="s">
        <v>2029</v>
      </c>
      <c r="AM1446">
        <v>1</v>
      </c>
      <c r="AN1446">
        <v>1</v>
      </c>
      <c r="AO1446">
        <v>0</v>
      </c>
      <c r="AP1446">
        <v>1</v>
      </c>
      <c r="AQ1446">
        <v>1</v>
      </c>
      <c r="AR1446">
        <v>0</v>
      </c>
      <c r="AS1446">
        <v>0</v>
      </c>
      <c r="AT1446">
        <v>0</v>
      </c>
      <c r="AU1446">
        <v>0</v>
      </c>
      <c r="AV1446">
        <v>0</v>
      </c>
      <c r="AW1446">
        <v>0</v>
      </c>
      <c r="AX1446" s="24" t="str">
        <f t="shared" si="145"/>
        <v/>
      </c>
      <c r="AY1446" s="24">
        <f t="shared" si="145"/>
        <v>1</v>
      </c>
      <c r="AZ1446" s="24" t="str">
        <f t="shared" si="151"/>
        <v/>
      </c>
      <c r="BA1446" s="24" t="str">
        <f t="shared" si="151"/>
        <v/>
      </c>
      <c r="BB1446" s="24" t="str">
        <f t="shared" si="151"/>
        <v/>
      </c>
      <c r="BC1446" s="24" t="str">
        <f t="shared" si="151"/>
        <v/>
      </c>
      <c r="BD1446" s="24" t="str">
        <f t="shared" si="151"/>
        <v/>
      </c>
      <c r="BE1446" s="24" t="str">
        <f t="shared" si="151"/>
        <v/>
      </c>
      <c r="BF1446" s="24" t="str">
        <f t="shared" si="151"/>
        <v/>
      </c>
      <c r="BG1446" s="24" t="str">
        <f t="shared" si="151"/>
        <v/>
      </c>
      <c r="BH1446" s="24" t="str">
        <f t="shared" si="148"/>
        <v/>
      </c>
      <c r="BI1446" s="24" t="str">
        <f t="shared" si="151"/>
        <v/>
      </c>
      <c r="BJ1446" s="24" t="str">
        <f t="shared" si="150"/>
        <v/>
      </c>
    </row>
    <row r="1447" spans="1:62" ht="15" customHeight="1" x14ac:dyDescent="0.25">
      <c r="A1447" t="str">
        <f>"1730250697"</f>
        <v>1730250697</v>
      </c>
      <c r="B1447" t="str">
        <f>"00522409"</f>
        <v>00522409</v>
      </c>
      <c r="C1447" t="s">
        <v>1766</v>
      </c>
      <c r="D1447" t="s">
        <v>1767</v>
      </c>
      <c r="E1447" t="s">
        <v>1768</v>
      </c>
      <c r="G1447" t="s">
        <v>815</v>
      </c>
      <c r="H1447" t="s">
        <v>816</v>
      </c>
      <c r="J1447" t="s">
        <v>817</v>
      </c>
      <c r="L1447" t="s">
        <v>120</v>
      </c>
      <c r="M1447" t="s">
        <v>108</v>
      </c>
      <c r="R1447" t="s">
        <v>1766</v>
      </c>
      <c r="W1447" t="s">
        <v>1768</v>
      </c>
      <c r="X1447" t="s">
        <v>1769</v>
      </c>
      <c r="Y1447" t="s">
        <v>110</v>
      </c>
      <c r="Z1447" t="s">
        <v>111</v>
      </c>
      <c r="AA1447" t="str">
        <f>"13904-1505"</f>
        <v>13904-1505</v>
      </c>
      <c r="AB1447" t="s">
        <v>123</v>
      </c>
      <c r="AC1447" t="s">
        <v>113</v>
      </c>
      <c r="AD1447" t="s">
        <v>108</v>
      </c>
      <c r="AE1447" t="s">
        <v>114</v>
      </c>
      <c r="AF1447" t="s">
        <v>115</v>
      </c>
      <c r="AG1447" t="s">
        <v>116</v>
      </c>
      <c r="AK1447" t="str">
        <f t="shared" si="147"/>
        <v/>
      </c>
      <c r="AL1447" t="s">
        <v>1767</v>
      </c>
      <c r="AM1447">
        <v>0</v>
      </c>
      <c r="AN1447">
        <v>0</v>
      </c>
      <c r="AO1447">
        <v>0</v>
      </c>
      <c r="AP1447">
        <v>0</v>
      </c>
      <c r="AQ1447">
        <v>0</v>
      </c>
      <c r="AR1447">
        <v>0</v>
      </c>
      <c r="AS1447">
        <v>0</v>
      </c>
      <c r="AT1447">
        <v>0</v>
      </c>
      <c r="AU1447">
        <v>0</v>
      </c>
      <c r="AV1447">
        <v>0</v>
      </c>
      <c r="AW1447">
        <v>0</v>
      </c>
      <c r="AX1447" s="24">
        <f t="shared" si="145"/>
        <v>1</v>
      </c>
      <c r="AY1447" s="24" t="str">
        <f t="shared" si="145"/>
        <v/>
      </c>
      <c r="AZ1447" s="24" t="str">
        <f t="shared" si="151"/>
        <v/>
      </c>
      <c r="BA1447" s="24" t="str">
        <f t="shared" si="151"/>
        <v/>
      </c>
      <c r="BB1447" s="24" t="str">
        <f t="shared" si="151"/>
        <v/>
      </c>
      <c r="BC1447" s="24" t="str">
        <f t="shared" si="151"/>
        <v/>
      </c>
      <c r="BD1447" s="24" t="str">
        <f t="shared" si="151"/>
        <v/>
      </c>
      <c r="BE1447" s="24" t="str">
        <f t="shared" si="151"/>
        <v/>
      </c>
      <c r="BF1447" s="24" t="str">
        <f t="shared" si="151"/>
        <v/>
      </c>
      <c r="BG1447" s="24" t="str">
        <f t="shared" si="151"/>
        <v/>
      </c>
      <c r="BH1447" s="24" t="str">
        <f t="shared" si="148"/>
        <v/>
      </c>
      <c r="BI1447" s="24">
        <f t="shared" si="151"/>
        <v>1</v>
      </c>
      <c r="BJ1447" s="24" t="str">
        <f t="shared" si="150"/>
        <v/>
      </c>
    </row>
    <row r="1448" spans="1:62" ht="15" customHeight="1" x14ac:dyDescent="0.25">
      <c r="A1448" t="str">
        <f>"1881695740"</f>
        <v>1881695740</v>
      </c>
      <c r="B1448" t="str">
        <f>"01015214"</f>
        <v>01015214</v>
      </c>
      <c r="C1448" t="s">
        <v>5393</v>
      </c>
      <c r="D1448" t="s">
        <v>5394</v>
      </c>
      <c r="E1448" t="s">
        <v>5395</v>
      </c>
      <c r="G1448" t="s">
        <v>5393</v>
      </c>
      <c r="H1448" t="s">
        <v>3687</v>
      </c>
      <c r="J1448" t="s">
        <v>5396</v>
      </c>
      <c r="L1448" t="s">
        <v>120</v>
      </c>
      <c r="M1448" t="s">
        <v>108</v>
      </c>
      <c r="R1448" t="s">
        <v>5397</v>
      </c>
      <c r="W1448" t="s">
        <v>5398</v>
      </c>
      <c r="Y1448" t="s">
        <v>129</v>
      </c>
      <c r="Z1448" t="s">
        <v>111</v>
      </c>
      <c r="AA1448" t="str">
        <f>"13790-2597"</f>
        <v>13790-2597</v>
      </c>
      <c r="AB1448" t="s">
        <v>123</v>
      </c>
      <c r="AC1448" t="s">
        <v>113</v>
      </c>
      <c r="AD1448" t="s">
        <v>108</v>
      </c>
      <c r="AE1448" t="s">
        <v>114</v>
      </c>
      <c r="AF1448" t="s">
        <v>115</v>
      </c>
      <c r="AG1448" t="s">
        <v>116</v>
      </c>
      <c r="AK1448" t="str">
        <f t="shared" si="147"/>
        <v/>
      </c>
      <c r="AL1448" t="s">
        <v>5394</v>
      </c>
      <c r="AM1448">
        <v>0</v>
      </c>
      <c r="AN1448">
        <v>0</v>
      </c>
      <c r="AO1448">
        <v>0</v>
      </c>
      <c r="AP1448">
        <v>0</v>
      </c>
      <c r="AQ1448">
        <v>0</v>
      </c>
      <c r="AR1448">
        <v>0</v>
      </c>
      <c r="AS1448">
        <v>0</v>
      </c>
      <c r="AT1448">
        <v>0</v>
      </c>
      <c r="AU1448">
        <v>0</v>
      </c>
      <c r="AV1448">
        <v>0</v>
      </c>
      <c r="AW1448">
        <v>0</v>
      </c>
      <c r="AX1448" s="24">
        <f t="shared" ref="AX1448:AY1502" si="152">IF(ISERROR(FIND(AX$1,$L1448,1)),"",1)</f>
        <v>1</v>
      </c>
      <c r="AY1448" s="24" t="str">
        <f t="shared" si="152"/>
        <v/>
      </c>
      <c r="AZ1448" s="24" t="str">
        <f t="shared" si="151"/>
        <v/>
      </c>
      <c r="BA1448" s="24" t="str">
        <f t="shared" si="151"/>
        <v/>
      </c>
      <c r="BB1448" s="24" t="str">
        <f t="shared" si="151"/>
        <v/>
      </c>
      <c r="BC1448" s="24" t="str">
        <f t="shared" si="151"/>
        <v/>
      </c>
      <c r="BD1448" s="24" t="str">
        <f t="shared" si="151"/>
        <v/>
      </c>
      <c r="BE1448" s="24" t="str">
        <f t="shared" si="151"/>
        <v/>
      </c>
      <c r="BF1448" s="24" t="str">
        <f t="shared" si="151"/>
        <v/>
      </c>
      <c r="BG1448" s="24" t="str">
        <f t="shared" si="151"/>
        <v/>
      </c>
      <c r="BH1448" s="24" t="str">
        <f t="shared" si="148"/>
        <v/>
      </c>
      <c r="BI1448" s="24">
        <f t="shared" si="151"/>
        <v>1</v>
      </c>
      <c r="BJ1448" s="24" t="str">
        <f t="shared" si="150"/>
        <v/>
      </c>
    </row>
    <row r="1449" spans="1:62" ht="15" customHeight="1" x14ac:dyDescent="0.25">
      <c r="A1449" t="str">
        <f>"1225004302"</f>
        <v>1225004302</v>
      </c>
      <c r="B1449" t="str">
        <f>"00960641"</f>
        <v>00960641</v>
      </c>
      <c r="C1449" t="s">
        <v>741</v>
      </c>
      <c r="D1449" t="s">
        <v>742</v>
      </c>
      <c r="E1449" t="s">
        <v>741</v>
      </c>
      <c r="G1449" t="s">
        <v>699</v>
      </c>
      <c r="H1449" t="s">
        <v>700</v>
      </c>
      <c r="J1449" t="s">
        <v>701</v>
      </c>
      <c r="L1449" t="s">
        <v>138</v>
      </c>
      <c r="M1449" t="s">
        <v>108</v>
      </c>
      <c r="R1449" t="s">
        <v>743</v>
      </c>
      <c r="W1449" t="s">
        <v>744</v>
      </c>
      <c r="X1449" t="s">
        <v>180</v>
      </c>
      <c r="Y1449" t="s">
        <v>181</v>
      </c>
      <c r="Z1449" t="s">
        <v>182</v>
      </c>
      <c r="AA1449" t="str">
        <f>"18840"</f>
        <v>18840</v>
      </c>
      <c r="AB1449" t="s">
        <v>123</v>
      </c>
      <c r="AC1449" t="s">
        <v>113</v>
      </c>
      <c r="AD1449" t="s">
        <v>108</v>
      </c>
      <c r="AE1449" t="s">
        <v>114</v>
      </c>
      <c r="AF1449" t="s">
        <v>115</v>
      </c>
      <c r="AG1449" t="s">
        <v>116</v>
      </c>
      <c r="AK1449" t="str">
        <f t="shared" si="147"/>
        <v/>
      </c>
      <c r="AL1449" t="s">
        <v>742</v>
      </c>
      <c r="AM1449">
        <v>1</v>
      </c>
      <c r="AN1449">
        <v>1</v>
      </c>
      <c r="AO1449">
        <v>0</v>
      </c>
      <c r="AP1449">
        <v>0</v>
      </c>
      <c r="AQ1449">
        <v>0</v>
      </c>
      <c r="AR1449">
        <v>0</v>
      </c>
      <c r="AS1449">
        <v>0</v>
      </c>
      <c r="AT1449">
        <v>0</v>
      </c>
      <c r="AU1449">
        <v>0</v>
      </c>
      <c r="AV1449">
        <v>1</v>
      </c>
      <c r="AW1449">
        <v>0</v>
      </c>
      <c r="AX1449" s="24" t="str">
        <f t="shared" si="152"/>
        <v/>
      </c>
      <c r="AY1449" s="24">
        <f t="shared" si="152"/>
        <v>1</v>
      </c>
      <c r="AZ1449" s="24" t="str">
        <f t="shared" si="151"/>
        <v/>
      </c>
      <c r="BA1449" s="24" t="str">
        <f t="shared" si="151"/>
        <v/>
      </c>
      <c r="BB1449" s="24" t="str">
        <f t="shared" si="151"/>
        <v/>
      </c>
      <c r="BC1449" s="24" t="str">
        <f t="shared" si="151"/>
        <v/>
      </c>
      <c r="BD1449" s="24" t="str">
        <f t="shared" si="151"/>
        <v/>
      </c>
      <c r="BE1449" s="24" t="str">
        <f t="shared" si="151"/>
        <v/>
      </c>
      <c r="BF1449" s="24" t="str">
        <f t="shared" si="151"/>
        <v/>
      </c>
      <c r="BG1449" s="24" t="str">
        <f t="shared" si="151"/>
        <v/>
      </c>
      <c r="BH1449" s="24" t="str">
        <f t="shared" si="148"/>
        <v/>
      </c>
      <c r="BI1449" s="24">
        <f t="shared" si="151"/>
        <v>1</v>
      </c>
      <c r="BJ1449" s="24" t="str">
        <f t="shared" si="150"/>
        <v/>
      </c>
    </row>
    <row r="1450" spans="1:62" ht="15" customHeight="1" x14ac:dyDescent="0.25">
      <c r="A1450" t="str">
        <f>"1639113517"</f>
        <v>1639113517</v>
      </c>
      <c r="B1450" t="str">
        <f>"03265478"</f>
        <v>03265478</v>
      </c>
      <c r="C1450" t="s">
        <v>5613</v>
      </c>
      <c r="D1450" t="s">
        <v>5614</v>
      </c>
      <c r="E1450" t="s">
        <v>5615</v>
      </c>
      <c r="L1450" t="s">
        <v>809</v>
      </c>
      <c r="M1450" t="s">
        <v>139</v>
      </c>
      <c r="R1450" t="s">
        <v>5613</v>
      </c>
      <c r="W1450" t="s">
        <v>5615</v>
      </c>
      <c r="X1450" t="s">
        <v>5616</v>
      </c>
      <c r="Y1450" t="s">
        <v>1956</v>
      </c>
      <c r="Z1450" t="s">
        <v>111</v>
      </c>
      <c r="AA1450" t="str">
        <f>"14892-0000"</f>
        <v>14892-0000</v>
      </c>
      <c r="AB1450" t="s">
        <v>123</v>
      </c>
      <c r="AC1450" t="s">
        <v>113</v>
      </c>
      <c r="AD1450" t="s">
        <v>108</v>
      </c>
      <c r="AE1450" t="s">
        <v>114</v>
      </c>
      <c r="AF1450" t="s">
        <v>115</v>
      </c>
      <c r="AG1450" t="s">
        <v>116</v>
      </c>
      <c r="AK1450" t="str">
        <f t="shared" si="147"/>
        <v/>
      </c>
      <c r="AL1450" t="s">
        <v>5614</v>
      </c>
      <c r="AM1450">
        <v>0</v>
      </c>
      <c r="AN1450">
        <v>0</v>
      </c>
      <c r="AO1450">
        <v>0</v>
      </c>
      <c r="AP1450">
        <v>0</v>
      </c>
      <c r="AQ1450">
        <v>0</v>
      </c>
      <c r="AR1450">
        <v>0</v>
      </c>
      <c r="AS1450">
        <v>0</v>
      </c>
      <c r="AT1450">
        <v>0</v>
      </c>
      <c r="AU1450">
        <v>0</v>
      </c>
      <c r="AV1450">
        <v>0</v>
      </c>
      <c r="AW1450">
        <v>0</v>
      </c>
      <c r="AX1450" s="24" t="str">
        <f t="shared" si="152"/>
        <v/>
      </c>
      <c r="AY1450" s="24">
        <f t="shared" si="152"/>
        <v>1</v>
      </c>
      <c r="AZ1450" s="24" t="str">
        <f t="shared" si="151"/>
        <v/>
      </c>
      <c r="BA1450" s="24" t="str">
        <f t="shared" si="151"/>
        <v/>
      </c>
      <c r="BB1450" s="24" t="str">
        <f t="shared" si="151"/>
        <v/>
      </c>
      <c r="BC1450" s="24">
        <f t="shared" si="151"/>
        <v>1</v>
      </c>
      <c r="BD1450" s="24" t="str">
        <f t="shared" si="151"/>
        <v/>
      </c>
      <c r="BE1450" s="24" t="str">
        <f t="shared" si="151"/>
        <v/>
      </c>
      <c r="BF1450" s="24" t="str">
        <f t="shared" si="151"/>
        <v/>
      </c>
      <c r="BG1450" s="24" t="str">
        <f t="shared" si="151"/>
        <v/>
      </c>
      <c r="BH1450" s="24" t="str">
        <f t="shared" si="148"/>
        <v/>
      </c>
      <c r="BI1450" s="24" t="str">
        <f t="shared" si="151"/>
        <v/>
      </c>
      <c r="BJ1450" s="24" t="str">
        <f t="shared" si="150"/>
        <v/>
      </c>
    </row>
    <row r="1451" spans="1:62" ht="15" customHeight="1" x14ac:dyDescent="0.25">
      <c r="A1451" t="str">
        <f>"1891789863"</f>
        <v>1891789863</v>
      </c>
      <c r="B1451" t="str">
        <f>"01353328"</f>
        <v>01353328</v>
      </c>
      <c r="C1451" t="s">
        <v>2031</v>
      </c>
      <c r="D1451" t="s">
        <v>2032</v>
      </c>
      <c r="E1451" t="s">
        <v>2033</v>
      </c>
      <c r="L1451" t="s">
        <v>120</v>
      </c>
      <c r="M1451" t="s">
        <v>108</v>
      </c>
      <c r="R1451" t="s">
        <v>2031</v>
      </c>
      <c r="W1451" t="s">
        <v>2033</v>
      </c>
      <c r="X1451" t="s">
        <v>128</v>
      </c>
      <c r="Y1451" t="s">
        <v>129</v>
      </c>
      <c r="Z1451" t="s">
        <v>111</v>
      </c>
      <c r="AA1451" t="str">
        <f>"13790-2544"</f>
        <v>13790-2544</v>
      </c>
      <c r="AB1451" t="s">
        <v>123</v>
      </c>
      <c r="AC1451" t="s">
        <v>113</v>
      </c>
      <c r="AD1451" t="s">
        <v>108</v>
      </c>
      <c r="AE1451" t="s">
        <v>114</v>
      </c>
      <c r="AF1451" t="s">
        <v>115</v>
      </c>
      <c r="AG1451" t="s">
        <v>116</v>
      </c>
      <c r="AK1451" t="str">
        <f t="shared" si="147"/>
        <v/>
      </c>
      <c r="AL1451" t="s">
        <v>2032</v>
      </c>
      <c r="AM1451">
        <v>1</v>
      </c>
      <c r="AN1451">
        <v>1</v>
      </c>
      <c r="AO1451">
        <v>0</v>
      </c>
      <c r="AP1451">
        <v>1</v>
      </c>
      <c r="AQ1451">
        <v>1</v>
      </c>
      <c r="AR1451">
        <v>0</v>
      </c>
      <c r="AS1451">
        <v>0</v>
      </c>
      <c r="AT1451">
        <v>0</v>
      </c>
      <c r="AU1451">
        <v>0</v>
      </c>
      <c r="AV1451">
        <v>0</v>
      </c>
      <c r="AW1451">
        <v>0</v>
      </c>
      <c r="AX1451" s="24">
        <f t="shared" si="152"/>
        <v>1</v>
      </c>
      <c r="AY1451" s="24" t="str">
        <f t="shared" si="152"/>
        <v/>
      </c>
      <c r="AZ1451" s="24" t="str">
        <f t="shared" si="151"/>
        <v/>
      </c>
      <c r="BA1451" s="24" t="str">
        <f t="shared" si="151"/>
        <v/>
      </c>
      <c r="BB1451" s="24" t="str">
        <f t="shared" si="151"/>
        <v/>
      </c>
      <c r="BC1451" s="24" t="str">
        <f t="shared" si="151"/>
        <v/>
      </c>
      <c r="BD1451" s="24" t="str">
        <f t="shared" si="151"/>
        <v/>
      </c>
      <c r="BE1451" s="24" t="str">
        <f t="shared" si="151"/>
        <v/>
      </c>
      <c r="BF1451" s="24" t="str">
        <f t="shared" si="151"/>
        <v/>
      </c>
      <c r="BG1451" s="24" t="str">
        <f t="shared" si="151"/>
        <v/>
      </c>
      <c r="BH1451" s="24" t="str">
        <f t="shared" si="148"/>
        <v/>
      </c>
      <c r="BI1451" s="24">
        <f t="shared" si="151"/>
        <v>1</v>
      </c>
      <c r="BJ1451" s="24" t="str">
        <f t="shared" si="150"/>
        <v/>
      </c>
    </row>
    <row r="1452" spans="1:62" ht="15" customHeight="1" x14ac:dyDescent="0.25">
      <c r="A1452" t="str">
        <f>"1396711479"</f>
        <v>1396711479</v>
      </c>
      <c r="B1452" t="str">
        <f>"02656164"</f>
        <v>02656164</v>
      </c>
      <c r="C1452" t="s">
        <v>745</v>
      </c>
      <c r="D1452" t="s">
        <v>746</v>
      </c>
      <c r="E1452" t="s">
        <v>745</v>
      </c>
      <c r="G1452" t="s">
        <v>699</v>
      </c>
      <c r="H1452" t="s">
        <v>700</v>
      </c>
      <c r="J1452" t="s">
        <v>701</v>
      </c>
      <c r="L1452" t="s">
        <v>120</v>
      </c>
      <c r="M1452" t="s">
        <v>108</v>
      </c>
      <c r="W1452" t="s">
        <v>745</v>
      </c>
      <c r="X1452" t="s">
        <v>747</v>
      </c>
      <c r="Y1452" t="s">
        <v>157</v>
      </c>
      <c r="Z1452" t="s">
        <v>111</v>
      </c>
      <c r="AA1452" t="str">
        <f>"14830-2255"</f>
        <v>14830-2255</v>
      </c>
      <c r="AB1452" t="s">
        <v>123</v>
      </c>
      <c r="AC1452" t="s">
        <v>113</v>
      </c>
      <c r="AD1452" t="s">
        <v>108</v>
      </c>
      <c r="AE1452" t="s">
        <v>114</v>
      </c>
      <c r="AF1452" t="s">
        <v>149</v>
      </c>
      <c r="AG1452" t="s">
        <v>116</v>
      </c>
      <c r="AK1452" t="str">
        <f t="shared" si="147"/>
        <v/>
      </c>
      <c r="AL1452" t="s">
        <v>746</v>
      </c>
      <c r="AM1452">
        <v>0</v>
      </c>
      <c r="AN1452">
        <v>0</v>
      </c>
      <c r="AO1452">
        <v>0</v>
      </c>
      <c r="AP1452">
        <v>0</v>
      </c>
      <c r="AQ1452">
        <v>0</v>
      </c>
      <c r="AR1452">
        <v>0</v>
      </c>
      <c r="AS1452">
        <v>0</v>
      </c>
      <c r="AT1452">
        <v>0</v>
      </c>
      <c r="AU1452">
        <v>0</v>
      </c>
      <c r="AV1452">
        <v>0</v>
      </c>
      <c r="AW1452">
        <v>0</v>
      </c>
      <c r="AX1452" s="24">
        <f t="shared" si="152"/>
        <v>1</v>
      </c>
      <c r="AY1452" s="24" t="str">
        <f t="shared" si="152"/>
        <v/>
      </c>
      <c r="AZ1452" s="24" t="str">
        <f t="shared" si="151"/>
        <v/>
      </c>
      <c r="BA1452" s="24" t="str">
        <f t="shared" si="151"/>
        <v/>
      </c>
      <c r="BB1452" s="24" t="str">
        <f t="shared" si="151"/>
        <v/>
      </c>
      <c r="BC1452" s="24" t="str">
        <f t="shared" si="151"/>
        <v/>
      </c>
      <c r="BD1452" s="24" t="str">
        <f t="shared" si="151"/>
        <v/>
      </c>
      <c r="BE1452" s="24" t="str">
        <f t="shared" si="151"/>
        <v/>
      </c>
      <c r="BF1452" s="24" t="str">
        <f t="shared" si="151"/>
        <v/>
      </c>
      <c r="BG1452" s="24" t="str">
        <f t="shared" si="151"/>
        <v/>
      </c>
      <c r="BH1452" s="24" t="str">
        <f t="shared" si="148"/>
        <v/>
      </c>
      <c r="BI1452" s="24">
        <f t="shared" si="151"/>
        <v>1</v>
      </c>
      <c r="BJ1452" s="24" t="str">
        <f t="shared" si="150"/>
        <v/>
      </c>
    </row>
    <row r="1453" spans="1:62" ht="15" customHeight="1" x14ac:dyDescent="0.25">
      <c r="A1453" t="str">
        <f>"1548368350"</f>
        <v>1548368350</v>
      </c>
      <c r="B1453" t="str">
        <f>"02427109"</f>
        <v>02427109</v>
      </c>
      <c r="C1453" t="s">
        <v>866</v>
      </c>
      <c r="D1453" t="s">
        <v>867</v>
      </c>
      <c r="E1453" t="s">
        <v>868</v>
      </c>
      <c r="L1453" t="s">
        <v>138</v>
      </c>
      <c r="M1453" t="s">
        <v>108</v>
      </c>
      <c r="R1453" t="s">
        <v>866</v>
      </c>
      <c r="W1453" t="s">
        <v>868</v>
      </c>
      <c r="X1453" t="s">
        <v>412</v>
      </c>
      <c r="Y1453" t="s">
        <v>110</v>
      </c>
      <c r="Z1453" t="s">
        <v>111</v>
      </c>
      <c r="AA1453" t="str">
        <f>"13903-1608"</f>
        <v>13903-1608</v>
      </c>
      <c r="AB1453" t="s">
        <v>123</v>
      </c>
      <c r="AC1453" t="s">
        <v>113</v>
      </c>
      <c r="AD1453" t="s">
        <v>108</v>
      </c>
      <c r="AE1453" t="s">
        <v>114</v>
      </c>
      <c r="AF1453" t="s">
        <v>115</v>
      </c>
      <c r="AG1453" t="s">
        <v>116</v>
      </c>
      <c r="AK1453" t="str">
        <f t="shared" si="147"/>
        <v/>
      </c>
      <c r="AL1453" t="s">
        <v>867</v>
      </c>
      <c r="AM1453">
        <v>0</v>
      </c>
      <c r="AN1453">
        <v>0</v>
      </c>
      <c r="AO1453">
        <v>0</v>
      </c>
      <c r="AP1453">
        <v>0</v>
      </c>
      <c r="AQ1453">
        <v>0</v>
      </c>
      <c r="AR1453">
        <v>0</v>
      </c>
      <c r="AS1453">
        <v>0</v>
      </c>
      <c r="AT1453">
        <v>0</v>
      </c>
      <c r="AU1453">
        <v>0</v>
      </c>
      <c r="AV1453">
        <v>0</v>
      </c>
      <c r="AW1453">
        <v>0</v>
      </c>
      <c r="AX1453" s="24" t="str">
        <f t="shared" si="152"/>
        <v/>
      </c>
      <c r="AY1453" s="24">
        <f t="shared" si="152"/>
        <v>1</v>
      </c>
      <c r="AZ1453" s="24" t="str">
        <f t="shared" si="151"/>
        <v/>
      </c>
      <c r="BA1453" s="24" t="str">
        <f t="shared" si="151"/>
        <v/>
      </c>
      <c r="BB1453" s="24" t="str">
        <f t="shared" si="151"/>
        <v/>
      </c>
      <c r="BC1453" s="24" t="str">
        <f t="shared" si="151"/>
        <v/>
      </c>
      <c r="BD1453" s="24" t="str">
        <f t="shared" si="151"/>
        <v/>
      </c>
      <c r="BE1453" s="24" t="str">
        <f t="shared" si="151"/>
        <v/>
      </c>
      <c r="BF1453" s="24" t="str">
        <f t="shared" si="151"/>
        <v/>
      </c>
      <c r="BG1453" s="24" t="str">
        <f t="shared" si="151"/>
        <v/>
      </c>
      <c r="BH1453" s="24" t="str">
        <f t="shared" si="148"/>
        <v/>
      </c>
      <c r="BI1453" s="24">
        <f t="shared" si="151"/>
        <v>1</v>
      </c>
      <c r="BJ1453" s="24" t="str">
        <f t="shared" si="150"/>
        <v/>
      </c>
    </row>
    <row r="1454" spans="1:62" ht="15" customHeight="1" x14ac:dyDescent="0.25">
      <c r="A1454" t="str">
        <f>"1437125507"</f>
        <v>1437125507</v>
      </c>
      <c r="B1454" t="str">
        <f>"00552727"</f>
        <v>00552727</v>
      </c>
      <c r="C1454" t="s">
        <v>748</v>
      </c>
      <c r="D1454" t="s">
        <v>749</v>
      </c>
      <c r="E1454" t="s">
        <v>748</v>
      </c>
      <c r="G1454" t="s">
        <v>699</v>
      </c>
      <c r="H1454" t="s">
        <v>700</v>
      </c>
      <c r="J1454" t="s">
        <v>701</v>
      </c>
      <c r="L1454" t="s">
        <v>247</v>
      </c>
      <c r="M1454" t="s">
        <v>108</v>
      </c>
      <c r="R1454" t="s">
        <v>750</v>
      </c>
      <c r="W1454" t="s">
        <v>751</v>
      </c>
      <c r="X1454" t="s">
        <v>752</v>
      </c>
      <c r="Y1454" t="s">
        <v>753</v>
      </c>
      <c r="Z1454" t="s">
        <v>182</v>
      </c>
      <c r="AA1454" t="str">
        <f>"17724-1733"</f>
        <v>17724-1733</v>
      </c>
      <c r="AB1454" t="s">
        <v>123</v>
      </c>
      <c r="AC1454" t="s">
        <v>113</v>
      </c>
      <c r="AD1454" t="s">
        <v>108</v>
      </c>
      <c r="AE1454" t="s">
        <v>114</v>
      </c>
      <c r="AF1454" t="s">
        <v>115</v>
      </c>
      <c r="AG1454" t="s">
        <v>116</v>
      </c>
      <c r="AK1454" t="str">
        <f t="shared" si="147"/>
        <v/>
      </c>
      <c r="AL1454" t="s">
        <v>749</v>
      </c>
      <c r="AM1454">
        <v>1</v>
      </c>
      <c r="AN1454">
        <v>1</v>
      </c>
      <c r="AO1454">
        <v>0</v>
      </c>
      <c r="AP1454">
        <v>0</v>
      </c>
      <c r="AQ1454">
        <v>0</v>
      </c>
      <c r="AR1454">
        <v>0</v>
      </c>
      <c r="AS1454">
        <v>0</v>
      </c>
      <c r="AT1454">
        <v>0</v>
      </c>
      <c r="AU1454">
        <v>0</v>
      </c>
      <c r="AV1454">
        <v>1</v>
      </c>
      <c r="AW1454">
        <v>0</v>
      </c>
      <c r="AX1454" s="24" t="str">
        <f t="shared" si="152"/>
        <v/>
      </c>
      <c r="AY1454" s="24">
        <f t="shared" si="152"/>
        <v>1</v>
      </c>
      <c r="AZ1454" s="24" t="str">
        <f t="shared" si="151"/>
        <v/>
      </c>
      <c r="BA1454" s="24" t="str">
        <f t="shared" si="151"/>
        <v/>
      </c>
      <c r="BB1454" s="24" t="str">
        <f t="shared" si="151"/>
        <v/>
      </c>
      <c r="BC1454" s="24" t="str">
        <f t="shared" si="151"/>
        <v/>
      </c>
      <c r="BD1454" s="24" t="str">
        <f t="shared" si="151"/>
        <v/>
      </c>
      <c r="BE1454" s="24" t="str">
        <f t="shared" si="151"/>
        <v/>
      </c>
      <c r="BF1454" s="24" t="str">
        <f t="shared" si="151"/>
        <v/>
      </c>
      <c r="BG1454" s="24" t="str">
        <f t="shared" si="151"/>
        <v/>
      </c>
      <c r="BH1454" s="24" t="str">
        <f t="shared" si="148"/>
        <v/>
      </c>
      <c r="BI1454" s="24" t="str">
        <f t="shared" si="151"/>
        <v/>
      </c>
      <c r="BJ1454" s="24" t="str">
        <f t="shared" si="150"/>
        <v/>
      </c>
    </row>
    <row r="1455" spans="1:62" ht="15" customHeight="1" x14ac:dyDescent="0.25">
      <c r="A1455" t="str">
        <f>"1750510848"</f>
        <v>1750510848</v>
      </c>
      <c r="B1455" t="str">
        <f>"03457710"</f>
        <v>03457710</v>
      </c>
      <c r="C1455" t="s">
        <v>2080</v>
      </c>
      <c r="D1455" t="s">
        <v>2081</v>
      </c>
      <c r="E1455" t="s">
        <v>2082</v>
      </c>
      <c r="G1455" t="s">
        <v>815</v>
      </c>
      <c r="H1455" t="s">
        <v>816</v>
      </c>
      <c r="J1455" t="s">
        <v>817</v>
      </c>
      <c r="L1455" t="s">
        <v>120</v>
      </c>
      <c r="M1455" t="s">
        <v>108</v>
      </c>
      <c r="R1455" t="s">
        <v>2080</v>
      </c>
      <c r="W1455" t="s">
        <v>2082</v>
      </c>
      <c r="X1455" t="s">
        <v>2083</v>
      </c>
      <c r="Y1455" t="s">
        <v>966</v>
      </c>
      <c r="Z1455" t="s">
        <v>111</v>
      </c>
      <c r="AA1455" t="str">
        <f>"13850-2640"</f>
        <v>13850-2640</v>
      </c>
      <c r="AB1455" t="s">
        <v>123</v>
      </c>
      <c r="AC1455" t="s">
        <v>113</v>
      </c>
      <c r="AD1455" t="s">
        <v>108</v>
      </c>
      <c r="AE1455" t="s">
        <v>114</v>
      </c>
      <c r="AF1455" t="s">
        <v>115</v>
      </c>
      <c r="AG1455" t="s">
        <v>116</v>
      </c>
      <c r="AK1455" t="str">
        <f t="shared" si="147"/>
        <v/>
      </c>
      <c r="AL1455" t="s">
        <v>2081</v>
      </c>
      <c r="AM1455">
        <v>1</v>
      </c>
      <c r="AN1455">
        <v>1</v>
      </c>
      <c r="AO1455">
        <v>0</v>
      </c>
      <c r="AP1455">
        <v>1</v>
      </c>
      <c r="AQ1455">
        <v>1</v>
      </c>
      <c r="AR1455">
        <v>0</v>
      </c>
      <c r="AS1455">
        <v>0</v>
      </c>
      <c r="AT1455">
        <v>1</v>
      </c>
      <c r="AU1455">
        <v>0</v>
      </c>
      <c r="AV1455">
        <v>0</v>
      </c>
      <c r="AW1455">
        <v>1</v>
      </c>
      <c r="AX1455" s="24">
        <f t="shared" si="152"/>
        <v>1</v>
      </c>
      <c r="AY1455" s="24" t="str">
        <f t="shared" si="152"/>
        <v/>
      </c>
      <c r="AZ1455" s="24" t="str">
        <f t="shared" si="151"/>
        <v/>
      </c>
      <c r="BA1455" s="24" t="str">
        <f t="shared" si="151"/>
        <v/>
      </c>
      <c r="BB1455" s="24" t="str">
        <f t="shared" si="151"/>
        <v/>
      </c>
      <c r="BC1455" s="24" t="str">
        <f t="shared" si="151"/>
        <v/>
      </c>
      <c r="BD1455" s="24" t="str">
        <f t="shared" si="151"/>
        <v/>
      </c>
      <c r="BE1455" s="24" t="str">
        <f t="shared" si="151"/>
        <v/>
      </c>
      <c r="BF1455" s="24" t="str">
        <f t="shared" si="151"/>
        <v/>
      </c>
      <c r="BG1455" s="24" t="str">
        <f t="shared" si="151"/>
        <v/>
      </c>
      <c r="BH1455" s="24" t="str">
        <f t="shared" si="148"/>
        <v/>
      </c>
      <c r="BI1455" s="24">
        <f t="shared" si="151"/>
        <v>1</v>
      </c>
      <c r="BJ1455" s="24" t="str">
        <f t="shared" si="150"/>
        <v/>
      </c>
    </row>
    <row r="1456" spans="1:62" ht="15" customHeight="1" x14ac:dyDescent="0.25">
      <c r="A1456" t="str">
        <f>"1811338973"</f>
        <v>1811338973</v>
      </c>
      <c r="B1456" t="str">
        <f>"03619752"</f>
        <v>03619752</v>
      </c>
      <c r="C1456" t="s">
        <v>446</v>
      </c>
      <c r="D1456" t="s">
        <v>447</v>
      </c>
      <c r="E1456" t="s">
        <v>448</v>
      </c>
      <c r="G1456" t="s">
        <v>446</v>
      </c>
      <c r="H1456" t="s">
        <v>440</v>
      </c>
      <c r="J1456" t="s">
        <v>449</v>
      </c>
      <c r="L1456" t="s">
        <v>247</v>
      </c>
      <c r="M1456" t="s">
        <v>108</v>
      </c>
      <c r="R1456" t="s">
        <v>450</v>
      </c>
      <c r="W1456" t="s">
        <v>448</v>
      </c>
      <c r="X1456" t="s">
        <v>406</v>
      </c>
      <c r="Y1456" t="s">
        <v>129</v>
      </c>
      <c r="Z1456" t="s">
        <v>111</v>
      </c>
      <c r="AA1456" t="str">
        <f>"13790-2107"</f>
        <v>13790-2107</v>
      </c>
      <c r="AB1456" t="s">
        <v>123</v>
      </c>
      <c r="AC1456" t="s">
        <v>113</v>
      </c>
      <c r="AD1456" t="s">
        <v>108</v>
      </c>
      <c r="AE1456" t="s">
        <v>114</v>
      </c>
      <c r="AF1456" t="s">
        <v>115</v>
      </c>
      <c r="AG1456" t="s">
        <v>116</v>
      </c>
      <c r="AK1456" t="str">
        <f t="shared" si="147"/>
        <v/>
      </c>
      <c r="AL1456" t="s">
        <v>447</v>
      </c>
      <c r="AM1456">
        <v>1</v>
      </c>
      <c r="AN1456">
        <v>1</v>
      </c>
      <c r="AO1456">
        <v>0</v>
      </c>
      <c r="AP1456">
        <v>1</v>
      </c>
      <c r="AQ1456">
        <v>1</v>
      </c>
      <c r="AR1456">
        <v>0</v>
      </c>
      <c r="AS1456">
        <v>0</v>
      </c>
      <c r="AT1456">
        <v>0</v>
      </c>
      <c r="AU1456">
        <v>0</v>
      </c>
      <c r="AV1456">
        <v>0</v>
      </c>
      <c r="AW1456">
        <v>0</v>
      </c>
      <c r="AX1456" s="24" t="str">
        <f t="shared" si="152"/>
        <v/>
      </c>
      <c r="AY1456" s="24">
        <f t="shared" si="152"/>
        <v>1</v>
      </c>
      <c r="AZ1456" s="24" t="str">
        <f t="shared" si="151"/>
        <v/>
      </c>
      <c r="BA1456" s="24" t="str">
        <f t="shared" si="151"/>
        <v/>
      </c>
      <c r="BB1456" s="24" t="str">
        <f t="shared" si="151"/>
        <v/>
      </c>
      <c r="BC1456" s="24" t="str">
        <f t="shared" si="151"/>
        <v/>
      </c>
      <c r="BD1456" s="24" t="str">
        <f t="shared" si="151"/>
        <v/>
      </c>
      <c r="BE1456" s="24" t="str">
        <f t="shared" si="151"/>
        <v/>
      </c>
      <c r="BF1456" s="24" t="str">
        <f t="shared" si="151"/>
        <v/>
      </c>
      <c r="BG1456" s="24" t="str">
        <f t="shared" si="151"/>
        <v/>
      </c>
      <c r="BH1456" s="24" t="str">
        <f t="shared" si="148"/>
        <v/>
      </c>
      <c r="BI1456" s="24" t="str">
        <f t="shared" si="151"/>
        <v/>
      </c>
      <c r="BJ1456" s="24" t="str">
        <f t="shared" si="150"/>
        <v/>
      </c>
    </row>
    <row r="1457" spans="1:62" ht="15" customHeight="1" x14ac:dyDescent="0.25">
      <c r="A1457" t="str">
        <f>"1366442733"</f>
        <v>1366442733</v>
      </c>
      <c r="B1457" t="str">
        <f>"01117519"</f>
        <v>01117519</v>
      </c>
      <c r="C1457" t="s">
        <v>2034</v>
      </c>
      <c r="D1457" t="s">
        <v>2035</v>
      </c>
      <c r="E1457" t="s">
        <v>2036</v>
      </c>
      <c r="L1457" t="s">
        <v>6867</v>
      </c>
      <c r="M1457" t="s">
        <v>108</v>
      </c>
      <c r="R1457" t="s">
        <v>2034</v>
      </c>
      <c r="W1457" t="s">
        <v>2036</v>
      </c>
      <c r="X1457" t="s">
        <v>1039</v>
      </c>
      <c r="Y1457" t="s">
        <v>110</v>
      </c>
      <c r="Z1457" t="s">
        <v>111</v>
      </c>
      <c r="AA1457" t="str">
        <f>"13901-1293"</f>
        <v>13901-1293</v>
      </c>
      <c r="AB1457" t="s">
        <v>123</v>
      </c>
      <c r="AC1457" t="s">
        <v>113</v>
      </c>
      <c r="AD1457" t="s">
        <v>108</v>
      </c>
      <c r="AE1457" t="s">
        <v>114</v>
      </c>
      <c r="AF1457" t="s">
        <v>115</v>
      </c>
      <c r="AG1457" t="s">
        <v>116</v>
      </c>
      <c r="AK1457" t="str">
        <f t="shared" si="147"/>
        <v/>
      </c>
      <c r="AL1457" t="s">
        <v>2035</v>
      </c>
      <c r="AM1457">
        <v>0</v>
      </c>
      <c r="AN1457">
        <v>0</v>
      </c>
      <c r="AO1457">
        <v>0</v>
      </c>
      <c r="AP1457">
        <v>0</v>
      </c>
      <c r="AQ1457">
        <v>0</v>
      </c>
      <c r="AR1457">
        <v>0</v>
      </c>
      <c r="AS1457">
        <v>0</v>
      </c>
      <c r="AT1457">
        <v>0</v>
      </c>
      <c r="AU1457">
        <v>0</v>
      </c>
      <c r="AV1457">
        <v>0</v>
      </c>
      <c r="AW1457">
        <v>0</v>
      </c>
      <c r="AX1457" s="24">
        <f t="shared" si="152"/>
        <v>1</v>
      </c>
      <c r="AY1457" s="24">
        <f t="shared" si="152"/>
        <v>1</v>
      </c>
      <c r="AZ1457" s="24" t="str">
        <f t="shared" si="151"/>
        <v/>
      </c>
      <c r="BA1457" s="24" t="str">
        <f t="shared" si="151"/>
        <v/>
      </c>
      <c r="BB1457" s="24" t="str">
        <f t="shared" si="151"/>
        <v/>
      </c>
      <c r="BC1457" s="24" t="str">
        <f t="shared" si="151"/>
        <v/>
      </c>
      <c r="BD1457" s="24" t="str">
        <f t="shared" si="151"/>
        <v/>
      </c>
      <c r="BE1457" s="24" t="str">
        <f t="shared" si="151"/>
        <v/>
      </c>
      <c r="BF1457" s="24" t="str">
        <f t="shared" si="151"/>
        <v/>
      </c>
      <c r="BG1457" s="24" t="str">
        <f t="shared" si="151"/>
        <v/>
      </c>
      <c r="BH1457" s="24" t="str">
        <f t="shared" si="148"/>
        <v/>
      </c>
      <c r="BI1457" s="24">
        <f t="shared" si="151"/>
        <v>1</v>
      </c>
      <c r="BJ1457" s="24" t="str">
        <f t="shared" si="150"/>
        <v/>
      </c>
    </row>
    <row r="1458" spans="1:62" ht="15" customHeight="1" x14ac:dyDescent="0.25">
      <c r="A1458" t="str">
        <f>"1225190713"</f>
        <v>1225190713</v>
      </c>
      <c r="B1458" t="str">
        <f>"02841005"</f>
        <v>02841005</v>
      </c>
      <c r="C1458" t="s">
        <v>2037</v>
      </c>
      <c r="D1458" t="s">
        <v>2038</v>
      </c>
      <c r="E1458" t="s">
        <v>2039</v>
      </c>
      <c r="L1458" t="s">
        <v>133</v>
      </c>
      <c r="M1458" t="s">
        <v>108</v>
      </c>
      <c r="R1458" t="s">
        <v>2037</v>
      </c>
      <c r="W1458" t="s">
        <v>2039</v>
      </c>
      <c r="X1458" t="s">
        <v>406</v>
      </c>
      <c r="Y1458" t="s">
        <v>129</v>
      </c>
      <c r="Z1458" t="s">
        <v>111</v>
      </c>
      <c r="AA1458" t="str">
        <f>"13790-2107"</f>
        <v>13790-2107</v>
      </c>
      <c r="AB1458" t="s">
        <v>123</v>
      </c>
      <c r="AC1458" t="s">
        <v>113</v>
      </c>
      <c r="AD1458" t="s">
        <v>108</v>
      </c>
      <c r="AE1458" t="s">
        <v>114</v>
      </c>
      <c r="AF1458" t="s">
        <v>115</v>
      </c>
      <c r="AG1458" t="s">
        <v>116</v>
      </c>
      <c r="AK1458" t="str">
        <f t="shared" si="147"/>
        <v>WEST DONNA</v>
      </c>
      <c r="AL1458" t="s">
        <v>2038</v>
      </c>
      <c r="AM1458" t="s">
        <v>108</v>
      </c>
      <c r="AN1458" t="s">
        <v>108</v>
      </c>
      <c r="AO1458" t="s">
        <v>108</v>
      </c>
      <c r="AP1458" t="s">
        <v>108</v>
      </c>
      <c r="AQ1458" t="s">
        <v>108</v>
      </c>
      <c r="AR1458" t="s">
        <v>108</v>
      </c>
      <c r="AS1458" t="s">
        <v>108</v>
      </c>
      <c r="AT1458" t="s">
        <v>108</v>
      </c>
      <c r="AU1458" t="s">
        <v>108</v>
      </c>
      <c r="AV1458" t="s">
        <v>108</v>
      </c>
      <c r="AW1458" t="s">
        <v>108</v>
      </c>
      <c r="AX1458" s="24" t="str">
        <f t="shared" si="152"/>
        <v/>
      </c>
      <c r="AY1458" s="24" t="str">
        <f t="shared" si="152"/>
        <v/>
      </c>
      <c r="AZ1458" s="24" t="str">
        <f t="shared" si="151"/>
        <v/>
      </c>
      <c r="BA1458" s="24" t="str">
        <f t="shared" si="151"/>
        <v/>
      </c>
      <c r="BB1458" s="24" t="str">
        <f t="shared" si="151"/>
        <v/>
      </c>
      <c r="BC1458" s="24" t="str">
        <f t="shared" si="151"/>
        <v/>
      </c>
      <c r="BD1458" s="24" t="str">
        <f t="shared" si="151"/>
        <v/>
      </c>
      <c r="BE1458" s="24" t="str">
        <f t="shared" si="151"/>
        <v/>
      </c>
      <c r="BF1458" s="24" t="str">
        <f t="shared" si="151"/>
        <v/>
      </c>
      <c r="BG1458" s="24" t="str">
        <f t="shared" si="151"/>
        <v/>
      </c>
      <c r="BH1458" s="24" t="str">
        <f t="shared" si="148"/>
        <v/>
      </c>
      <c r="BI1458" s="24" t="str">
        <f t="shared" si="151"/>
        <v/>
      </c>
      <c r="BJ1458" s="24">
        <f t="shared" si="150"/>
        <v>1</v>
      </c>
    </row>
    <row r="1459" spans="1:62" ht="15" customHeight="1" x14ac:dyDescent="0.25">
      <c r="A1459" t="str">
        <f>"1972762623"</f>
        <v>1972762623</v>
      </c>
      <c r="B1459" t="str">
        <f>"03033121"</f>
        <v>03033121</v>
      </c>
      <c r="C1459" t="s">
        <v>2040</v>
      </c>
      <c r="D1459" t="s">
        <v>2041</v>
      </c>
      <c r="E1459" t="s">
        <v>2042</v>
      </c>
      <c r="L1459" t="s">
        <v>120</v>
      </c>
      <c r="M1459" t="s">
        <v>108</v>
      </c>
      <c r="R1459" t="s">
        <v>2040</v>
      </c>
      <c r="W1459" t="s">
        <v>2042</v>
      </c>
      <c r="X1459" t="s">
        <v>2043</v>
      </c>
      <c r="Y1459" t="s">
        <v>2044</v>
      </c>
      <c r="Z1459" t="s">
        <v>111</v>
      </c>
      <c r="AA1459" t="str">
        <f>"14814-9701"</f>
        <v>14814-9701</v>
      </c>
      <c r="AB1459" t="s">
        <v>123</v>
      </c>
      <c r="AC1459" t="s">
        <v>113</v>
      </c>
      <c r="AD1459" t="s">
        <v>108</v>
      </c>
      <c r="AE1459" t="s">
        <v>114</v>
      </c>
      <c r="AF1459" t="s">
        <v>149</v>
      </c>
      <c r="AG1459" t="s">
        <v>116</v>
      </c>
      <c r="AK1459" t="str">
        <f t="shared" si="147"/>
        <v/>
      </c>
      <c r="AL1459" t="s">
        <v>2041</v>
      </c>
      <c r="AM1459">
        <v>0</v>
      </c>
      <c r="AN1459">
        <v>0</v>
      </c>
      <c r="AO1459">
        <v>0</v>
      </c>
      <c r="AP1459">
        <v>0</v>
      </c>
      <c r="AQ1459">
        <v>0</v>
      </c>
      <c r="AR1459">
        <v>0</v>
      </c>
      <c r="AS1459">
        <v>0</v>
      </c>
      <c r="AT1459">
        <v>0</v>
      </c>
      <c r="AU1459">
        <v>0</v>
      </c>
      <c r="AV1459">
        <v>0</v>
      </c>
      <c r="AW1459">
        <v>0</v>
      </c>
      <c r="AX1459" s="24">
        <f t="shared" si="152"/>
        <v>1</v>
      </c>
      <c r="AY1459" s="24" t="str">
        <f t="shared" si="152"/>
        <v/>
      </c>
      <c r="AZ1459" s="24" t="str">
        <f t="shared" si="151"/>
        <v/>
      </c>
      <c r="BA1459" s="24" t="str">
        <f t="shared" si="151"/>
        <v/>
      </c>
      <c r="BB1459" s="24" t="str">
        <f t="shared" si="151"/>
        <v/>
      </c>
      <c r="BC1459" s="24" t="str">
        <f t="shared" si="151"/>
        <v/>
      </c>
      <c r="BD1459" s="24" t="str">
        <f t="shared" si="151"/>
        <v/>
      </c>
      <c r="BE1459" s="24" t="str">
        <f t="shared" si="151"/>
        <v/>
      </c>
      <c r="BF1459" s="24" t="str">
        <f t="shared" si="151"/>
        <v/>
      </c>
      <c r="BG1459" s="24" t="str">
        <f t="shared" si="151"/>
        <v/>
      </c>
      <c r="BH1459" s="24" t="str">
        <f t="shared" si="148"/>
        <v/>
      </c>
      <c r="BI1459" s="24">
        <f t="shared" si="151"/>
        <v>1</v>
      </c>
      <c r="BJ1459" s="24" t="str">
        <f t="shared" si="150"/>
        <v/>
      </c>
    </row>
    <row r="1460" spans="1:62" ht="15" customHeight="1" x14ac:dyDescent="0.25">
      <c r="A1460" t="str">
        <f>"1780630830"</f>
        <v>1780630830</v>
      </c>
      <c r="B1460" t="str">
        <f>"02383448"</f>
        <v>02383448</v>
      </c>
      <c r="C1460" t="s">
        <v>2045</v>
      </c>
      <c r="D1460" t="s">
        <v>2046</v>
      </c>
      <c r="E1460" t="s">
        <v>2047</v>
      </c>
      <c r="L1460" t="s">
        <v>120</v>
      </c>
      <c r="M1460" t="s">
        <v>108</v>
      </c>
      <c r="R1460" t="s">
        <v>2045</v>
      </c>
      <c r="W1460" t="s">
        <v>2047</v>
      </c>
      <c r="X1460" t="s">
        <v>2048</v>
      </c>
      <c r="Y1460" t="s">
        <v>262</v>
      </c>
      <c r="Z1460" t="s">
        <v>111</v>
      </c>
      <c r="AA1460" t="str">
        <f>"13053"</f>
        <v>13053</v>
      </c>
      <c r="AB1460" t="s">
        <v>123</v>
      </c>
      <c r="AC1460" t="s">
        <v>113</v>
      </c>
      <c r="AD1460" t="s">
        <v>108</v>
      </c>
      <c r="AE1460" t="s">
        <v>114</v>
      </c>
      <c r="AF1460" t="s">
        <v>142</v>
      </c>
      <c r="AG1460" t="s">
        <v>116</v>
      </c>
      <c r="AK1460" t="str">
        <f t="shared" si="147"/>
        <v/>
      </c>
      <c r="AL1460" t="s">
        <v>2046</v>
      </c>
      <c r="AM1460">
        <v>0</v>
      </c>
      <c r="AN1460">
        <v>0</v>
      </c>
      <c r="AO1460">
        <v>0</v>
      </c>
      <c r="AP1460">
        <v>0</v>
      </c>
      <c r="AQ1460">
        <v>0</v>
      </c>
      <c r="AR1460">
        <v>0</v>
      </c>
      <c r="AS1460">
        <v>0</v>
      </c>
      <c r="AT1460">
        <v>0</v>
      </c>
      <c r="AU1460">
        <v>0</v>
      </c>
      <c r="AV1460">
        <v>0</v>
      </c>
      <c r="AW1460">
        <v>0</v>
      </c>
      <c r="AX1460" s="24">
        <f t="shared" si="152"/>
        <v>1</v>
      </c>
      <c r="AY1460" s="24" t="str">
        <f t="shared" si="152"/>
        <v/>
      </c>
      <c r="AZ1460" s="24" t="str">
        <f t="shared" si="151"/>
        <v/>
      </c>
      <c r="BA1460" s="24" t="str">
        <f t="shared" si="151"/>
        <v/>
      </c>
      <c r="BB1460" s="24" t="str">
        <f t="shared" si="151"/>
        <v/>
      </c>
      <c r="BC1460" s="24" t="str">
        <f t="shared" si="151"/>
        <v/>
      </c>
      <c r="BD1460" s="24" t="str">
        <f t="shared" si="151"/>
        <v/>
      </c>
      <c r="BE1460" s="24" t="str">
        <f t="shared" si="151"/>
        <v/>
      </c>
      <c r="BF1460" s="24" t="str">
        <f t="shared" si="151"/>
        <v/>
      </c>
      <c r="BG1460" s="24" t="str">
        <f t="shared" si="151"/>
        <v/>
      </c>
      <c r="BH1460" s="24" t="str">
        <f t="shared" si="148"/>
        <v/>
      </c>
      <c r="BI1460" s="24">
        <f t="shared" si="151"/>
        <v>1</v>
      </c>
      <c r="BJ1460" s="24" t="str">
        <f t="shared" si="150"/>
        <v/>
      </c>
    </row>
    <row r="1461" spans="1:62" ht="15" customHeight="1" x14ac:dyDescent="0.25">
      <c r="A1461" t="str">
        <f>"1447321468"</f>
        <v>1447321468</v>
      </c>
      <c r="B1461" t="str">
        <f>"01969960"</f>
        <v>01969960</v>
      </c>
      <c r="C1461" t="s">
        <v>1795</v>
      </c>
      <c r="D1461" t="s">
        <v>1796</v>
      </c>
      <c r="E1461" t="s">
        <v>1797</v>
      </c>
      <c r="G1461" t="s">
        <v>815</v>
      </c>
      <c r="H1461" t="s">
        <v>816</v>
      </c>
      <c r="J1461" t="s">
        <v>817</v>
      </c>
      <c r="L1461" t="s">
        <v>120</v>
      </c>
      <c r="M1461" t="s">
        <v>139</v>
      </c>
      <c r="R1461" t="s">
        <v>1795</v>
      </c>
      <c r="W1461" t="s">
        <v>1798</v>
      </c>
      <c r="X1461" t="s">
        <v>1754</v>
      </c>
      <c r="Y1461" t="s">
        <v>110</v>
      </c>
      <c r="Z1461" t="s">
        <v>111</v>
      </c>
      <c r="AA1461" t="str">
        <f>"13905-2539"</f>
        <v>13905-2539</v>
      </c>
      <c r="AB1461" t="s">
        <v>123</v>
      </c>
      <c r="AC1461" t="s">
        <v>113</v>
      </c>
      <c r="AD1461" t="s">
        <v>108</v>
      </c>
      <c r="AE1461" t="s">
        <v>114</v>
      </c>
      <c r="AF1461" t="s">
        <v>115</v>
      </c>
      <c r="AG1461" t="s">
        <v>116</v>
      </c>
      <c r="AK1461" t="str">
        <f t="shared" si="147"/>
        <v/>
      </c>
      <c r="AL1461" t="s">
        <v>1796</v>
      </c>
      <c r="AM1461">
        <v>1</v>
      </c>
      <c r="AN1461">
        <v>1</v>
      </c>
      <c r="AO1461">
        <v>0</v>
      </c>
      <c r="AP1461">
        <v>1</v>
      </c>
      <c r="AQ1461">
        <v>1</v>
      </c>
      <c r="AR1461">
        <v>0</v>
      </c>
      <c r="AS1461">
        <v>0</v>
      </c>
      <c r="AT1461">
        <v>1</v>
      </c>
      <c r="AU1461">
        <v>0</v>
      </c>
      <c r="AV1461">
        <v>0</v>
      </c>
      <c r="AW1461">
        <v>1</v>
      </c>
      <c r="AX1461" s="24">
        <f t="shared" si="152"/>
        <v>1</v>
      </c>
      <c r="AY1461" s="24" t="str">
        <f t="shared" si="152"/>
        <v/>
      </c>
      <c r="AZ1461" s="24" t="str">
        <f t="shared" si="151"/>
        <v/>
      </c>
      <c r="BA1461" s="24" t="str">
        <f t="shared" si="151"/>
        <v/>
      </c>
      <c r="BB1461" s="24" t="str">
        <f t="shared" si="151"/>
        <v/>
      </c>
      <c r="BC1461" s="24" t="str">
        <f t="shared" si="151"/>
        <v/>
      </c>
      <c r="BD1461" s="24" t="str">
        <f t="shared" si="151"/>
        <v/>
      </c>
      <c r="BE1461" s="24" t="str">
        <f t="shared" si="151"/>
        <v/>
      </c>
      <c r="BF1461" s="24" t="str">
        <f t="shared" si="151"/>
        <v/>
      </c>
      <c r="BG1461" s="24" t="str">
        <f t="shared" si="151"/>
        <v/>
      </c>
      <c r="BH1461" s="24" t="str">
        <f t="shared" si="148"/>
        <v/>
      </c>
      <c r="BI1461" s="24">
        <f t="shared" si="151"/>
        <v>1</v>
      </c>
      <c r="BJ1461" s="24" t="str">
        <f t="shared" si="150"/>
        <v/>
      </c>
    </row>
    <row r="1462" spans="1:62" ht="15" customHeight="1" x14ac:dyDescent="0.25">
      <c r="A1462" t="str">
        <f>"1578541926"</f>
        <v>1578541926</v>
      </c>
      <c r="B1462" t="str">
        <f>"01736263"</f>
        <v>01736263</v>
      </c>
      <c r="C1462" t="s">
        <v>4431</v>
      </c>
      <c r="D1462" t="s">
        <v>4432</v>
      </c>
      <c r="E1462" t="s">
        <v>4433</v>
      </c>
      <c r="G1462" t="s">
        <v>786</v>
      </c>
      <c r="H1462" t="s">
        <v>787</v>
      </c>
      <c r="J1462" t="s">
        <v>788</v>
      </c>
      <c r="L1462" t="s">
        <v>120</v>
      </c>
      <c r="M1462" t="s">
        <v>139</v>
      </c>
      <c r="R1462" t="s">
        <v>4431</v>
      </c>
      <c r="W1462" t="s">
        <v>4433</v>
      </c>
      <c r="X1462" t="s">
        <v>3338</v>
      </c>
      <c r="Y1462" t="s">
        <v>239</v>
      </c>
      <c r="Z1462" t="s">
        <v>111</v>
      </c>
      <c r="AA1462" t="str">
        <f>"13045-1842"</f>
        <v>13045-1842</v>
      </c>
      <c r="AB1462" t="s">
        <v>123</v>
      </c>
      <c r="AC1462" t="s">
        <v>113</v>
      </c>
      <c r="AD1462" t="s">
        <v>108</v>
      </c>
      <c r="AE1462" t="s">
        <v>114</v>
      </c>
      <c r="AF1462" t="s">
        <v>142</v>
      </c>
      <c r="AG1462" t="s">
        <v>116</v>
      </c>
      <c r="AK1462" t="str">
        <f t="shared" si="147"/>
        <v/>
      </c>
      <c r="AL1462" t="s">
        <v>4432</v>
      </c>
      <c r="AM1462">
        <v>1</v>
      </c>
      <c r="AN1462">
        <v>1</v>
      </c>
      <c r="AO1462">
        <v>0</v>
      </c>
      <c r="AP1462">
        <v>0</v>
      </c>
      <c r="AQ1462">
        <v>1</v>
      </c>
      <c r="AR1462">
        <v>1</v>
      </c>
      <c r="AS1462">
        <v>0</v>
      </c>
      <c r="AT1462">
        <v>0</v>
      </c>
      <c r="AU1462">
        <v>0</v>
      </c>
      <c r="AV1462">
        <v>0</v>
      </c>
      <c r="AW1462">
        <v>0</v>
      </c>
      <c r="AX1462" s="24">
        <f t="shared" si="152"/>
        <v>1</v>
      </c>
      <c r="AY1462" s="24" t="str">
        <f t="shared" si="152"/>
        <v/>
      </c>
      <c r="AZ1462" s="24" t="str">
        <f t="shared" si="151"/>
        <v/>
      </c>
      <c r="BA1462" s="24" t="str">
        <f t="shared" si="151"/>
        <v/>
      </c>
      <c r="BB1462" s="24" t="str">
        <f t="shared" si="151"/>
        <v/>
      </c>
      <c r="BC1462" s="24" t="str">
        <f t="shared" si="151"/>
        <v/>
      </c>
      <c r="BD1462" s="24" t="str">
        <f t="shared" si="151"/>
        <v/>
      </c>
      <c r="BE1462" s="24" t="str">
        <f t="shared" si="151"/>
        <v/>
      </c>
      <c r="BF1462" s="24" t="str">
        <f t="shared" si="151"/>
        <v/>
      </c>
      <c r="BG1462" s="24" t="str">
        <f t="shared" si="151"/>
        <v/>
      </c>
      <c r="BH1462" s="24" t="str">
        <f t="shared" si="148"/>
        <v/>
      </c>
      <c r="BI1462" s="24">
        <f t="shared" si="151"/>
        <v>1</v>
      </c>
      <c r="BJ1462" s="24" t="str">
        <f t="shared" si="150"/>
        <v/>
      </c>
    </row>
    <row r="1463" spans="1:62" ht="15" customHeight="1" x14ac:dyDescent="0.25">
      <c r="A1463" t="str">
        <f>"1679574123"</f>
        <v>1679574123</v>
      </c>
      <c r="B1463" t="str">
        <f>"02263936"</f>
        <v>02263936</v>
      </c>
      <c r="C1463" t="s">
        <v>2049</v>
      </c>
      <c r="D1463" t="s">
        <v>2050</v>
      </c>
      <c r="E1463" t="s">
        <v>2051</v>
      </c>
      <c r="L1463" t="s">
        <v>138</v>
      </c>
      <c r="M1463" t="s">
        <v>108</v>
      </c>
      <c r="R1463" t="s">
        <v>2049</v>
      </c>
      <c r="W1463" t="s">
        <v>2051</v>
      </c>
      <c r="X1463" t="s">
        <v>1920</v>
      </c>
      <c r="Y1463" t="s">
        <v>110</v>
      </c>
      <c r="Z1463" t="s">
        <v>111</v>
      </c>
      <c r="AA1463" t="str">
        <f>"13903-1674"</f>
        <v>13903-1674</v>
      </c>
      <c r="AB1463" t="s">
        <v>123</v>
      </c>
      <c r="AC1463" t="s">
        <v>113</v>
      </c>
      <c r="AD1463" t="s">
        <v>108</v>
      </c>
      <c r="AE1463" t="s">
        <v>114</v>
      </c>
      <c r="AF1463" t="s">
        <v>115</v>
      </c>
      <c r="AG1463" t="s">
        <v>116</v>
      </c>
      <c r="AK1463" t="str">
        <f t="shared" si="147"/>
        <v/>
      </c>
      <c r="AL1463" t="s">
        <v>2050</v>
      </c>
      <c r="AM1463">
        <v>1</v>
      </c>
      <c r="AN1463">
        <v>1</v>
      </c>
      <c r="AO1463">
        <v>0</v>
      </c>
      <c r="AP1463">
        <v>1</v>
      </c>
      <c r="AQ1463">
        <v>1</v>
      </c>
      <c r="AR1463">
        <v>0</v>
      </c>
      <c r="AS1463">
        <v>0</v>
      </c>
      <c r="AT1463">
        <v>0</v>
      </c>
      <c r="AU1463">
        <v>0</v>
      </c>
      <c r="AV1463">
        <v>0</v>
      </c>
      <c r="AW1463">
        <v>0</v>
      </c>
      <c r="AX1463" s="24" t="str">
        <f t="shared" si="152"/>
        <v/>
      </c>
      <c r="AY1463" s="24">
        <f t="shared" si="152"/>
        <v>1</v>
      </c>
      <c r="AZ1463" s="24" t="str">
        <f t="shared" si="151"/>
        <v/>
      </c>
      <c r="BA1463" s="24" t="str">
        <f t="shared" si="151"/>
        <v/>
      </c>
      <c r="BB1463" s="24" t="str">
        <f t="shared" si="151"/>
        <v/>
      </c>
      <c r="BC1463" s="24" t="str">
        <f t="shared" si="151"/>
        <v/>
      </c>
      <c r="BD1463" s="24" t="str">
        <f t="shared" si="151"/>
        <v/>
      </c>
      <c r="BE1463" s="24" t="str">
        <f t="shared" si="151"/>
        <v/>
      </c>
      <c r="BF1463" s="24" t="str">
        <f t="shared" si="151"/>
        <v/>
      </c>
      <c r="BG1463" s="24" t="str">
        <f t="shared" si="151"/>
        <v/>
      </c>
      <c r="BH1463" s="24" t="str">
        <f t="shared" si="148"/>
        <v/>
      </c>
      <c r="BI1463" s="24">
        <f t="shared" si="151"/>
        <v>1</v>
      </c>
      <c r="BJ1463" s="24" t="str">
        <f t="shared" si="150"/>
        <v/>
      </c>
    </row>
    <row r="1464" spans="1:62" ht="15" customHeight="1" x14ac:dyDescent="0.25">
      <c r="A1464" t="str">
        <f>"1134117138"</f>
        <v>1134117138</v>
      </c>
      <c r="B1464" t="str">
        <f>"02871209"</f>
        <v>02871209</v>
      </c>
      <c r="C1464" t="s">
        <v>2052</v>
      </c>
      <c r="D1464" t="s">
        <v>2053</v>
      </c>
      <c r="E1464" t="s">
        <v>2054</v>
      </c>
      <c r="L1464" t="s">
        <v>138</v>
      </c>
      <c r="M1464" t="s">
        <v>108</v>
      </c>
      <c r="R1464" t="s">
        <v>2052</v>
      </c>
      <c r="W1464" t="s">
        <v>2054</v>
      </c>
      <c r="X1464" t="s">
        <v>1237</v>
      </c>
      <c r="Y1464" t="s">
        <v>129</v>
      </c>
      <c r="Z1464" t="s">
        <v>111</v>
      </c>
      <c r="AA1464" t="str">
        <f>"13790-2102"</f>
        <v>13790-2102</v>
      </c>
      <c r="AB1464" t="s">
        <v>123</v>
      </c>
      <c r="AC1464" t="s">
        <v>113</v>
      </c>
      <c r="AD1464" t="s">
        <v>108</v>
      </c>
      <c r="AE1464" t="s">
        <v>114</v>
      </c>
      <c r="AF1464" t="s">
        <v>115</v>
      </c>
      <c r="AG1464" t="s">
        <v>116</v>
      </c>
      <c r="AK1464" t="str">
        <f t="shared" si="147"/>
        <v/>
      </c>
      <c r="AL1464" t="s">
        <v>2053</v>
      </c>
      <c r="AM1464">
        <v>0</v>
      </c>
      <c r="AN1464">
        <v>0</v>
      </c>
      <c r="AO1464">
        <v>0</v>
      </c>
      <c r="AP1464">
        <v>0</v>
      </c>
      <c r="AQ1464">
        <v>0</v>
      </c>
      <c r="AR1464">
        <v>0</v>
      </c>
      <c r="AS1464">
        <v>0</v>
      </c>
      <c r="AT1464">
        <v>0</v>
      </c>
      <c r="AU1464">
        <v>0</v>
      </c>
      <c r="AV1464">
        <v>0</v>
      </c>
      <c r="AW1464">
        <v>0</v>
      </c>
      <c r="AX1464" s="24" t="str">
        <f t="shared" si="152"/>
        <v/>
      </c>
      <c r="AY1464" s="24">
        <f t="shared" si="152"/>
        <v>1</v>
      </c>
      <c r="AZ1464" s="24" t="str">
        <f t="shared" si="151"/>
        <v/>
      </c>
      <c r="BA1464" s="24" t="str">
        <f t="shared" si="151"/>
        <v/>
      </c>
      <c r="BB1464" s="24" t="str">
        <f t="shared" si="151"/>
        <v/>
      </c>
      <c r="BC1464" s="24" t="str">
        <f t="shared" si="151"/>
        <v/>
      </c>
      <c r="BD1464" s="24" t="str">
        <f t="shared" si="151"/>
        <v/>
      </c>
      <c r="BE1464" s="24" t="str">
        <f t="shared" si="151"/>
        <v/>
      </c>
      <c r="BF1464" s="24" t="str">
        <f t="shared" si="151"/>
        <v/>
      </c>
      <c r="BG1464" s="24" t="str">
        <f t="shared" si="151"/>
        <v/>
      </c>
      <c r="BH1464" s="24" t="str">
        <f t="shared" si="148"/>
        <v/>
      </c>
      <c r="BI1464" s="24">
        <f t="shared" si="151"/>
        <v>1</v>
      </c>
      <c r="BJ1464" s="24" t="str">
        <f t="shared" si="150"/>
        <v/>
      </c>
    </row>
    <row r="1465" spans="1:62" ht="15" customHeight="1" x14ac:dyDescent="0.25">
      <c r="A1465" t="str">
        <f>"1336543297"</f>
        <v>1336543297</v>
      </c>
      <c r="B1465" t="str">
        <f>"04014935"</f>
        <v>04014935</v>
      </c>
      <c r="C1465" t="s">
        <v>6593</v>
      </c>
      <c r="D1465" t="s">
        <v>6594</v>
      </c>
      <c r="E1465" t="s">
        <v>6595</v>
      </c>
      <c r="G1465" t="s">
        <v>3781</v>
      </c>
      <c r="H1465" t="s">
        <v>2413</v>
      </c>
      <c r="J1465" t="s">
        <v>3782</v>
      </c>
      <c r="L1465" t="s">
        <v>138</v>
      </c>
      <c r="M1465" t="s">
        <v>108</v>
      </c>
      <c r="R1465" t="s">
        <v>6596</v>
      </c>
      <c r="W1465" t="s">
        <v>6595</v>
      </c>
      <c r="X1465" t="s">
        <v>3783</v>
      </c>
      <c r="Y1465" t="s">
        <v>1655</v>
      </c>
      <c r="Z1465" t="s">
        <v>111</v>
      </c>
      <c r="AA1465" t="str">
        <f>"14865-9648"</f>
        <v>14865-9648</v>
      </c>
      <c r="AB1465" t="s">
        <v>123</v>
      </c>
      <c r="AC1465" t="s">
        <v>113</v>
      </c>
      <c r="AD1465" t="s">
        <v>108</v>
      </c>
      <c r="AE1465" t="s">
        <v>114</v>
      </c>
      <c r="AF1465" t="s">
        <v>142</v>
      </c>
      <c r="AG1465" t="s">
        <v>116</v>
      </c>
      <c r="AK1465" t="str">
        <f t="shared" si="147"/>
        <v>Wilkens Jenna</v>
      </c>
      <c r="AL1465" t="s">
        <v>6594</v>
      </c>
      <c r="AM1465" t="s">
        <v>108</v>
      </c>
      <c r="AN1465" t="s">
        <v>108</v>
      </c>
      <c r="AO1465" t="s">
        <v>108</v>
      </c>
      <c r="AP1465" t="s">
        <v>108</v>
      </c>
      <c r="AQ1465" t="s">
        <v>108</v>
      </c>
      <c r="AR1465" t="s">
        <v>108</v>
      </c>
      <c r="AS1465" t="s">
        <v>108</v>
      </c>
      <c r="AT1465" t="s">
        <v>108</v>
      </c>
      <c r="AU1465" t="s">
        <v>108</v>
      </c>
      <c r="AV1465" t="s">
        <v>108</v>
      </c>
      <c r="AW1465" t="s">
        <v>108</v>
      </c>
      <c r="AX1465" s="24" t="str">
        <f t="shared" si="152"/>
        <v/>
      </c>
      <c r="AY1465" s="24">
        <f t="shared" si="152"/>
        <v>1</v>
      </c>
      <c r="AZ1465" s="24" t="str">
        <f t="shared" si="151"/>
        <v/>
      </c>
      <c r="BA1465" s="24" t="str">
        <f t="shared" si="151"/>
        <v/>
      </c>
      <c r="BB1465" s="24" t="str">
        <f t="shared" si="151"/>
        <v/>
      </c>
      <c r="BC1465" s="24" t="str">
        <f t="shared" si="151"/>
        <v/>
      </c>
      <c r="BD1465" s="24" t="str">
        <f t="shared" si="151"/>
        <v/>
      </c>
      <c r="BE1465" s="24" t="str">
        <f t="shared" si="151"/>
        <v/>
      </c>
      <c r="BF1465" s="24" t="str">
        <f t="shared" si="151"/>
        <v/>
      </c>
      <c r="BG1465" s="24" t="str">
        <f t="shared" si="151"/>
        <v/>
      </c>
      <c r="BH1465" s="24" t="str">
        <f t="shared" si="148"/>
        <v/>
      </c>
      <c r="BI1465" s="24">
        <f t="shared" si="151"/>
        <v>1</v>
      </c>
      <c r="BJ1465" s="24" t="str">
        <f t="shared" si="150"/>
        <v/>
      </c>
    </row>
    <row r="1466" spans="1:62" ht="15" customHeight="1" x14ac:dyDescent="0.25">
      <c r="A1466" t="str">
        <f>"1588665533"</f>
        <v>1588665533</v>
      </c>
      <c r="B1466" t="str">
        <f>"01518198"</f>
        <v>01518198</v>
      </c>
      <c r="C1466" t="s">
        <v>3284</v>
      </c>
      <c r="D1466" t="s">
        <v>3285</v>
      </c>
      <c r="E1466" t="s">
        <v>3286</v>
      </c>
      <c r="G1466" t="s">
        <v>1126</v>
      </c>
      <c r="H1466" t="s">
        <v>1127</v>
      </c>
      <c r="J1466" t="s">
        <v>3287</v>
      </c>
      <c r="L1466" t="s">
        <v>138</v>
      </c>
      <c r="M1466" t="s">
        <v>108</v>
      </c>
      <c r="R1466" t="s">
        <v>3288</v>
      </c>
      <c r="W1466" t="s">
        <v>3286</v>
      </c>
      <c r="X1466" t="s">
        <v>302</v>
      </c>
      <c r="Y1466" t="s">
        <v>293</v>
      </c>
      <c r="Z1466" t="s">
        <v>111</v>
      </c>
      <c r="AA1466" t="str">
        <f>"14850-1342"</f>
        <v>14850-1342</v>
      </c>
      <c r="AB1466" t="s">
        <v>123</v>
      </c>
      <c r="AC1466" t="s">
        <v>113</v>
      </c>
      <c r="AD1466" t="s">
        <v>108</v>
      </c>
      <c r="AE1466" t="s">
        <v>114</v>
      </c>
      <c r="AF1466" t="s">
        <v>142</v>
      </c>
      <c r="AG1466" t="s">
        <v>116</v>
      </c>
      <c r="AK1466" t="str">
        <f t="shared" si="147"/>
        <v/>
      </c>
      <c r="AL1466" t="s">
        <v>3285</v>
      </c>
      <c r="AM1466">
        <v>1</v>
      </c>
      <c r="AN1466">
        <v>1</v>
      </c>
      <c r="AO1466">
        <v>0</v>
      </c>
      <c r="AP1466">
        <v>0</v>
      </c>
      <c r="AQ1466">
        <v>0</v>
      </c>
      <c r="AR1466">
        <v>0</v>
      </c>
      <c r="AS1466">
        <v>0</v>
      </c>
      <c r="AT1466">
        <v>0</v>
      </c>
      <c r="AU1466">
        <v>0</v>
      </c>
      <c r="AV1466">
        <v>0</v>
      </c>
      <c r="AW1466">
        <v>0</v>
      </c>
      <c r="AX1466" s="24" t="str">
        <f t="shared" si="152"/>
        <v/>
      </c>
      <c r="AY1466" s="24">
        <f t="shared" si="152"/>
        <v>1</v>
      </c>
      <c r="AZ1466" s="24" t="str">
        <f t="shared" si="151"/>
        <v/>
      </c>
      <c r="BA1466" s="24" t="str">
        <f t="shared" si="151"/>
        <v/>
      </c>
      <c r="BB1466" s="24" t="str">
        <f t="shared" si="151"/>
        <v/>
      </c>
      <c r="BC1466" s="24" t="str">
        <f t="shared" si="151"/>
        <v/>
      </c>
      <c r="BD1466" s="24" t="str">
        <f t="shared" si="151"/>
        <v/>
      </c>
      <c r="BE1466" s="24" t="str">
        <f t="shared" si="151"/>
        <v/>
      </c>
      <c r="BF1466" s="24" t="str">
        <f t="shared" si="151"/>
        <v/>
      </c>
      <c r="BG1466" s="24" t="str">
        <f t="shared" si="151"/>
        <v/>
      </c>
      <c r="BH1466" s="24" t="str">
        <f t="shared" si="148"/>
        <v/>
      </c>
      <c r="BI1466" s="24">
        <f t="shared" si="151"/>
        <v>1</v>
      </c>
      <c r="BJ1466" s="24" t="str">
        <f t="shared" si="150"/>
        <v/>
      </c>
    </row>
    <row r="1467" spans="1:62" ht="15" customHeight="1" x14ac:dyDescent="0.25">
      <c r="A1467" t="str">
        <f>"1417902693"</f>
        <v>1417902693</v>
      </c>
      <c r="B1467" t="str">
        <f>"00570214"</f>
        <v>00570214</v>
      </c>
      <c r="C1467" t="s">
        <v>4285</v>
      </c>
      <c r="D1467" t="s">
        <v>4286</v>
      </c>
      <c r="E1467" t="s">
        <v>4287</v>
      </c>
      <c r="G1467" t="s">
        <v>4280</v>
      </c>
      <c r="H1467" t="s">
        <v>4281</v>
      </c>
      <c r="J1467" t="s">
        <v>4288</v>
      </c>
      <c r="L1467" t="s">
        <v>120</v>
      </c>
      <c r="M1467" t="s">
        <v>108</v>
      </c>
      <c r="R1467" t="s">
        <v>4289</v>
      </c>
      <c r="W1467" t="s">
        <v>4287</v>
      </c>
      <c r="X1467" t="s">
        <v>4290</v>
      </c>
      <c r="Y1467" t="s">
        <v>262</v>
      </c>
      <c r="Z1467" t="s">
        <v>111</v>
      </c>
      <c r="AA1467" t="str">
        <f>"13053"</f>
        <v>13053</v>
      </c>
      <c r="AB1467" t="s">
        <v>123</v>
      </c>
      <c r="AC1467" t="s">
        <v>113</v>
      </c>
      <c r="AD1467" t="s">
        <v>108</v>
      </c>
      <c r="AE1467" t="s">
        <v>114</v>
      </c>
      <c r="AF1467" t="s">
        <v>142</v>
      </c>
      <c r="AG1467" t="s">
        <v>116</v>
      </c>
      <c r="AK1467" t="str">
        <f t="shared" si="147"/>
        <v/>
      </c>
      <c r="AL1467" t="s">
        <v>4286</v>
      </c>
      <c r="AM1467">
        <v>1</v>
      </c>
      <c r="AN1467">
        <v>1</v>
      </c>
      <c r="AO1467">
        <v>0</v>
      </c>
      <c r="AP1467">
        <v>0</v>
      </c>
      <c r="AQ1467">
        <v>0</v>
      </c>
      <c r="AR1467">
        <v>0</v>
      </c>
      <c r="AS1467">
        <v>0</v>
      </c>
      <c r="AT1467">
        <v>0</v>
      </c>
      <c r="AU1467">
        <v>0</v>
      </c>
      <c r="AV1467">
        <v>0</v>
      </c>
      <c r="AW1467">
        <v>0</v>
      </c>
      <c r="AX1467" s="24">
        <f t="shared" si="152"/>
        <v>1</v>
      </c>
      <c r="AY1467" s="24" t="str">
        <f t="shared" si="152"/>
        <v/>
      </c>
      <c r="AZ1467" s="24" t="str">
        <f t="shared" si="151"/>
        <v/>
      </c>
      <c r="BA1467" s="24" t="str">
        <f t="shared" ref="AZ1467:BI1492" si="153">IF(ISERROR(FIND(BA$1,$L1467,1)),"",1)</f>
        <v/>
      </c>
      <c r="BB1467" s="24" t="str">
        <f t="shared" si="153"/>
        <v/>
      </c>
      <c r="BC1467" s="24" t="str">
        <f t="shared" si="153"/>
        <v/>
      </c>
      <c r="BD1467" s="24" t="str">
        <f t="shared" si="153"/>
        <v/>
      </c>
      <c r="BE1467" s="24" t="str">
        <f t="shared" si="153"/>
        <v/>
      </c>
      <c r="BF1467" s="24" t="str">
        <f t="shared" si="153"/>
        <v/>
      </c>
      <c r="BG1467" s="24" t="str">
        <f t="shared" si="153"/>
        <v/>
      </c>
      <c r="BH1467" s="24" t="str">
        <f t="shared" si="148"/>
        <v/>
      </c>
      <c r="BI1467" s="24">
        <f t="shared" si="153"/>
        <v>1</v>
      </c>
      <c r="BJ1467" s="24" t="str">
        <f t="shared" si="150"/>
        <v/>
      </c>
    </row>
    <row r="1468" spans="1:62" ht="15" customHeight="1" x14ac:dyDescent="0.25">
      <c r="A1468" t="str">
        <f>"1821071499"</f>
        <v>1821071499</v>
      </c>
      <c r="B1468" t="str">
        <f>"02997506"</f>
        <v>02997506</v>
      </c>
      <c r="C1468" t="s">
        <v>1648</v>
      </c>
      <c r="D1468" t="s">
        <v>1649</v>
      </c>
      <c r="E1468" t="s">
        <v>1650</v>
      </c>
      <c r="G1468" t="s">
        <v>638</v>
      </c>
      <c r="H1468" t="s">
        <v>639</v>
      </c>
      <c r="J1468" t="s">
        <v>1651</v>
      </c>
      <c r="L1468" t="s">
        <v>247</v>
      </c>
      <c r="M1468" t="s">
        <v>108</v>
      </c>
      <c r="R1468" t="s">
        <v>1652</v>
      </c>
      <c r="W1468" t="s">
        <v>1653</v>
      </c>
      <c r="X1468" t="s">
        <v>1654</v>
      </c>
      <c r="Y1468" t="s">
        <v>1655</v>
      </c>
      <c r="Z1468" t="s">
        <v>111</v>
      </c>
      <c r="AA1468" t="str">
        <f>"14865-9740"</f>
        <v>14865-9740</v>
      </c>
      <c r="AB1468" t="s">
        <v>123</v>
      </c>
      <c r="AC1468" t="s">
        <v>113</v>
      </c>
      <c r="AD1468" t="s">
        <v>108</v>
      </c>
      <c r="AE1468" t="s">
        <v>114</v>
      </c>
      <c r="AF1468" t="s">
        <v>142</v>
      </c>
      <c r="AG1468" t="s">
        <v>116</v>
      </c>
      <c r="AK1468" t="str">
        <f t="shared" si="147"/>
        <v/>
      </c>
      <c r="AL1468" t="s">
        <v>1649</v>
      </c>
      <c r="AM1468">
        <v>1</v>
      </c>
      <c r="AN1468">
        <v>1</v>
      </c>
      <c r="AO1468">
        <v>0</v>
      </c>
      <c r="AP1468">
        <v>0</v>
      </c>
      <c r="AQ1468">
        <v>0</v>
      </c>
      <c r="AR1468">
        <v>0</v>
      </c>
      <c r="AS1468">
        <v>0</v>
      </c>
      <c r="AT1468">
        <v>0</v>
      </c>
      <c r="AU1468">
        <v>0</v>
      </c>
      <c r="AV1468">
        <v>0</v>
      </c>
      <c r="AW1468">
        <v>0</v>
      </c>
      <c r="AX1468" s="24" t="str">
        <f t="shared" si="152"/>
        <v/>
      </c>
      <c r="AY1468" s="24">
        <f t="shared" si="152"/>
        <v>1</v>
      </c>
      <c r="AZ1468" s="24" t="str">
        <f t="shared" si="153"/>
        <v/>
      </c>
      <c r="BA1468" s="24" t="str">
        <f t="shared" si="153"/>
        <v/>
      </c>
      <c r="BB1468" s="24" t="str">
        <f t="shared" si="153"/>
        <v/>
      </c>
      <c r="BC1468" s="24" t="str">
        <f t="shared" si="153"/>
        <v/>
      </c>
      <c r="BD1468" s="24" t="str">
        <f t="shared" si="153"/>
        <v/>
      </c>
      <c r="BE1468" s="24" t="str">
        <f t="shared" si="153"/>
        <v/>
      </c>
      <c r="BF1468" s="24" t="str">
        <f t="shared" si="153"/>
        <v/>
      </c>
      <c r="BG1468" s="24" t="str">
        <f t="shared" si="153"/>
        <v/>
      </c>
      <c r="BH1468" s="24" t="str">
        <f t="shared" si="148"/>
        <v/>
      </c>
      <c r="BI1468" s="24" t="str">
        <f t="shared" si="153"/>
        <v/>
      </c>
      <c r="BJ1468" s="24" t="str">
        <f t="shared" si="150"/>
        <v/>
      </c>
    </row>
    <row r="1469" spans="1:62" ht="15" customHeight="1" x14ac:dyDescent="0.25">
      <c r="A1469" t="str">
        <f>"1093706780"</f>
        <v>1093706780</v>
      </c>
      <c r="B1469" t="str">
        <f>"02707257"</f>
        <v>02707257</v>
      </c>
      <c r="C1469" t="s">
        <v>2055</v>
      </c>
      <c r="D1469" t="s">
        <v>2056</v>
      </c>
      <c r="E1469" t="s">
        <v>2057</v>
      </c>
      <c r="L1469" t="s">
        <v>442</v>
      </c>
      <c r="M1469" t="s">
        <v>108</v>
      </c>
      <c r="R1469" t="s">
        <v>2055</v>
      </c>
      <c r="W1469" t="s">
        <v>2057</v>
      </c>
      <c r="X1469" t="s">
        <v>2058</v>
      </c>
      <c r="Y1469" t="s">
        <v>110</v>
      </c>
      <c r="Z1469" t="s">
        <v>111</v>
      </c>
      <c r="AA1469" t="str">
        <f>"13903-1605"</f>
        <v>13903-1605</v>
      </c>
      <c r="AB1469" t="s">
        <v>123</v>
      </c>
      <c r="AC1469" t="s">
        <v>113</v>
      </c>
      <c r="AD1469" t="s">
        <v>108</v>
      </c>
      <c r="AE1469" t="s">
        <v>114</v>
      </c>
      <c r="AF1469" t="s">
        <v>115</v>
      </c>
      <c r="AG1469" t="s">
        <v>116</v>
      </c>
      <c r="AK1469" t="str">
        <f t="shared" si="147"/>
        <v/>
      </c>
      <c r="AL1469" t="s">
        <v>2056</v>
      </c>
      <c r="AM1469">
        <v>0</v>
      </c>
      <c r="AN1469">
        <v>0</v>
      </c>
      <c r="AO1469">
        <v>0</v>
      </c>
      <c r="AP1469">
        <v>0</v>
      </c>
      <c r="AQ1469">
        <v>0</v>
      </c>
      <c r="AR1469">
        <v>0</v>
      </c>
      <c r="AS1469">
        <v>0</v>
      </c>
      <c r="AT1469">
        <v>0</v>
      </c>
      <c r="AU1469">
        <v>0</v>
      </c>
      <c r="AV1469">
        <v>0</v>
      </c>
      <c r="AW1469">
        <v>0</v>
      </c>
      <c r="AX1469" s="24">
        <f t="shared" si="152"/>
        <v>1</v>
      </c>
      <c r="AY1469" s="24" t="str">
        <f t="shared" si="152"/>
        <v/>
      </c>
      <c r="AZ1469" s="24" t="str">
        <f t="shared" si="153"/>
        <v/>
      </c>
      <c r="BA1469" s="24" t="str">
        <f t="shared" si="153"/>
        <v/>
      </c>
      <c r="BB1469" s="24" t="str">
        <f t="shared" si="153"/>
        <v/>
      </c>
      <c r="BC1469" s="24" t="str">
        <f t="shared" si="153"/>
        <v/>
      </c>
      <c r="BD1469" s="24" t="str">
        <f t="shared" si="153"/>
        <v/>
      </c>
      <c r="BE1469" s="24" t="str">
        <f t="shared" si="153"/>
        <v/>
      </c>
      <c r="BF1469" s="24" t="str">
        <f t="shared" si="153"/>
        <v/>
      </c>
      <c r="BG1469" s="24" t="str">
        <f t="shared" si="153"/>
        <v/>
      </c>
      <c r="BH1469" s="24" t="str">
        <f t="shared" si="148"/>
        <v/>
      </c>
      <c r="BI1469" s="24" t="str">
        <f t="shared" si="153"/>
        <v/>
      </c>
      <c r="BJ1469" s="24" t="str">
        <f t="shared" si="150"/>
        <v/>
      </c>
    </row>
    <row r="1470" spans="1:62" ht="15" customHeight="1" x14ac:dyDescent="0.25">
      <c r="A1470" t="str">
        <f>"1811133572"</f>
        <v>1811133572</v>
      </c>
      <c r="B1470" t="str">
        <f>"02185904"</f>
        <v>02185904</v>
      </c>
      <c r="C1470" t="s">
        <v>2059</v>
      </c>
      <c r="D1470" t="s">
        <v>2060</v>
      </c>
      <c r="E1470" t="s">
        <v>2061</v>
      </c>
      <c r="L1470" t="s">
        <v>247</v>
      </c>
      <c r="M1470" t="s">
        <v>108</v>
      </c>
      <c r="R1470" t="s">
        <v>2059</v>
      </c>
      <c r="W1470" t="s">
        <v>2061</v>
      </c>
      <c r="X1470" t="s">
        <v>2062</v>
      </c>
      <c r="Y1470" t="s">
        <v>110</v>
      </c>
      <c r="Z1470" t="s">
        <v>111</v>
      </c>
      <c r="AA1470" t="str">
        <f>"13903-0000"</f>
        <v>13903-0000</v>
      </c>
      <c r="AB1470" t="s">
        <v>1000</v>
      </c>
      <c r="AC1470" t="s">
        <v>113</v>
      </c>
      <c r="AD1470" t="s">
        <v>108</v>
      </c>
      <c r="AE1470" t="s">
        <v>114</v>
      </c>
      <c r="AF1470" t="s">
        <v>115</v>
      </c>
      <c r="AG1470" t="s">
        <v>116</v>
      </c>
      <c r="AK1470" t="str">
        <f t="shared" si="147"/>
        <v/>
      </c>
      <c r="AL1470" t="s">
        <v>2060</v>
      </c>
      <c r="AM1470">
        <v>0</v>
      </c>
      <c r="AN1470">
        <v>0</v>
      </c>
      <c r="AO1470">
        <v>0</v>
      </c>
      <c r="AP1470">
        <v>0</v>
      </c>
      <c r="AQ1470">
        <v>0</v>
      </c>
      <c r="AR1470">
        <v>0</v>
      </c>
      <c r="AS1470">
        <v>0</v>
      </c>
      <c r="AT1470">
        <v>0</v>
      </c>
      <c r="AU1470">
        <v>0</v>
      </c>
      <c r="AV1470">
        <v>0</v>
      </c>
      <c r="AW1470">
        <v>0</v>
      </c>
      <c r="AX1470" s="24" t="str">
        <f t="shared" si="152"/>
        <v/>
      </c>
      <c r="AY1470" s="24">
        <f t="shared" si="152"/>
        <v>1</v>
      </c>
      <c r="AZ1470" s="24" t="str">
        <f t="shared" si="153"/>
        <v/>
      </c>
      <c r="BA1470" s="24" t="str">
        <f t="shared" si="153"/>
        <v/>
      </c>
      <c r="BB1470" s="24" t="str">
        <f t="shared" si="153"/>
        <v/>
      </c>
      <c r="BC1470" s="24" t="str">
        <f t="shared" si="153"/>
        <v/>
      </c>
      <c r="BD1470" s="24" t="str">
        <f t="shared" si="153"/>
        <v/>
      </c>
      <c r="BE1470" s="24" t="str">
        <f t="shared" si="153"/>
        <v/>
      </c>
      <c r="BF1470" s="24" t="str">
        <f t="shared" si="153"/>
        <v/>
      </c>
      <c r="BG1470" s="24" t="str">
        <f t="shared" si="153"/>
        <v/>
      </c>
      <c r="BH1470" s="24" t="str">
        <f t="shared" si="148"/>
        <v/>
      </c>
      <c r="BI1470" s="24" t="str">
        <f t="shared" si="153"/>
        <v/>
      </c>
      <c r="BJ1470" s="24" t="str">
        <f t="shared" si="150"/>
        <v/>
      </c>
    </row>
    <row r="1471" spans="1:62" ht="15" customHeight="1" x14ac:dyDescent="0.25">
      <c r="A1471" t="str">
        <f>"1750477923"</f>
        <v>1750477923</v>
      </c>
      <c r="B1471" t="str">
        <f>"00308916"</f>
        <v>00308916</v>
      </c>
      <c r="C1471" t="s">
        <v>3108</v>
      </c>
      <c r="D1471" t="s">
        <v>3109</v>
      </c>
      <c r="E1471" t="s">
        <v>3108</v>
      </c>
      <c r="G1471" t="s">
        <v>7166</v>
      </c>
      <c r="H1471" t="s">
        <v>7167</v>
      </c>
      <c r="J1471" t="s">
        <v>7168</v>
      </c>
      <c r="L1471" t="s">
        <v>1382</v>
      </c>
      <c r="M1471" t="s">
        <v>139</v>
      </c>
      <c r="R1471" t="s">
        <v>3110</v>
      </c>
      <c r="W1471" t="s">
        <v>3108</v>
      </c>
      <c r="X1471" t="s">
        <v>3111</v>
      </c>
      <c r="Y1471" t="s">
        <v>966</v>
      </c>
      <c r="Z1471" t="s">
        <v>111</v>
      </c>
      <c r="AA1471" t="str">
        <f>"13850-2229"</f>
        <v>13850-2229</v>
      </c>
      <c r="AB1471" t="s">
        <v>312</v>
      </c>
      <c r="AC1471" t="s">
        <v>113</v>
      </c>
      <c r="AD1471" t="s">
        <v>108</v>
      </c>
      <c r="AE1471" t="s">
        <v>114</v>
      </c>
      <c r="AF1471" t="s">
        <v>115</v>
      </c>
      <c r="AG1471" t="s">
        <v>116</v>
      </c>
      <c r="AK1471" t="str">
        <f t="shared" si="147"/>
        <v/>
      </c>
      <c r="AL1471" t="s">
        <v>3109</v>
      </c>
      <c r="AM1471">
        <v>1</v>
      </c>
      <c r="AN1471">
        <v>0</v>
      </c>
      <c r="AO1471">
        <v>1</v>
      </c>
      <c r="AP1471">
        <v>0</v>
      </c>
      <c r="AQ1471">
        <v>0</v>
      </c>
      <c r="AR1471">
        <v>0</v>
      </c>
      <c r="AS1471">
        <v>0</v>
      </c>
      <c r="AT1471">
        <v>0</v>
      </c>
      <c r="AU1471">
        <v>0</v>
      </c>
      <c r="AV1471">
        <v>0</v>
      </c>
      <c r="AW1471">
        <v>0</v>
      </c>
      <c r="AX1471" s="24" t="str">
        <f t="shared" si="152"/>
        <v/>
      </c>
      <c r="AY1471" s="24" t="str">
        <f t="shared" si="152"/>
        <v/>
      </c>
      <c r="AZ1471" s="24" t="str">
        <f t="shared" si="153"/>
        <v/>
      </c>
      <c r="BA1471" s="24" t="str">
        <f t="shared" si="153"/>
        <v/>
      </c>
      <c r="BB1471" s="24" t="str">
        <f t="shared" si="153"/>
        <v/>
      </c>
      <c r="BC1471" s="24" t="str">
        <f t="shared" si="153"/>
        <v/>
      </c>
      <c r="BD1471" s="24" t="str">
        <f t="shared" si="153"/>
        <v/>
      </c>
      <c r="BE1471" s="24">
        <f t="shared" si="153"/>
        <v>1</v>
      </c>
      <c r="BF1471" s="24" t="str">
        <f t="shared" si="153"/>
        <v/>
      </c>
      <c r="BG1471" s="24" t="str">
        <f t="shared" si="153"/>
        <v/>
      </c>
      <c r="BH1471" s="24" t="str">
        <f t="shared" si="148"/>
        <v/>
      </c>
      <c r="BI1471" s="24">
        <f t="shared" si="153"/>
        <v>1</v>
      </c>
      <c r="BJ1471" s="24" t="str">
        <f t="shared" si="150"/>
        <v/>
      </c>
    </row>
    <row r="1472" spans="1:62" ht="15" customHeight="1" x14ac:dyDescent="0.25">
      <c r="A1472" t="str">
        <f>"1407931975"</f>
        <v>1407931975</v>
      </c>
      <c r="B1472" t="str">
        <f>"01286891"</f>
        <v>01286891</v>
      </c>
      <c r="C1472" t="s">
        <v>2883</v>
      </c>
      <c r="D1472" t="s">
        <v>2884</v>
      </c>
      <c r="E1472" t="s">
        <v>2885</v>
      </c>
      <c r="L1472" t="s">
        <v>120</v>
      </c>
      <c r="M1472" t="s">
        <v>139</v>
      </c>
      <c r="R1472" t="s">
        <v>2883</v>
      </c>
      <c r="W1472" t="s">
        <v>2885</v>
      </c>
      <c r="X1472" t="s">
        <v>1579</v>
      </c>
      <c r="Y1472" t="s">
        <v>122</v>
      </c>
      <c r="Z1472" t="s">
        <v>111</v>
      </c>
      <c r="AA1472" t="str">
        <f>"13815-1153"</f>
        <v>13815-1153</v>
      </c>
      <c r="AB1472" t="s">
        <v>123</v>
      </c>
      <c r="AC1472" t="s">
        <v>113</v>
      </c>
      <c r="AD1472" t="s">
        <v>108</v>
      </c>
      <c r="AE1472" t="s">
        <v>114</v>
      </c>
      <c r="AF1472" t="s">
        <v>124</v>
      </c>
      <c r="AG1472" t="s">
        <v>116</v>
      </c>
      <c r="AK1472" t="str">
        <f t="shared" si="147"/>
        <v/>
      </c>
      <c r="AL1472" t="s">
        <v>2884</v>
      </c>
      <c r="AM1472">
        <v>1</v>
      </c>
      <c r="AN1472">
        <v>1</v>
      </c>
      <c r="AO1472">
        <v>0</v>
      </c>
      <c r="AP1472">
        <v>1</v>
      </c>
      <c r="AQ1472">
        <v>1</v>
      </c>
      <c r="AR1472">
        <v>0</v>
      </c>
      <c r="AS1472">
        <v>0</v>
      </c>
      <c r="AT1472">
        <v>0</v>
      </c>
      <c r="AU1472">
        <v>0</v>
      </c>
      <c r="AV1472">
        <v>0</v>
      </c>
      <c r="AW1472">
        <v>0</v>
      </c>
      <c r="AX1472" s="24">
        <f t="shared" si="152"/>
        <v>1</v>
      </c>
      <c r="AY1472" s="24" t="str">
        <f t="shared" si="152"/>
        <v/>
      </c>
      <c r="AZ1472" s="24" t="str">
        <f t="shared" si="153"/>
        <v/>
      </c>
      <c r="BA1472" s="24" t="str">
        <f t="shared" si="153"/>
        <v/>
      </c>
      <c r="BB1472" s="24" t="str">
        <f t="shared" si="153"/>
        <v/>
      </c>
      <c r="BC1472" s="24" t="str">
        <f t="shared" si="153"/>
        <v/>
      </c>
      <c r="BD1472" s="24" t="str">
        <f t="shared" si="153"/>
        <v/>
      </c>
      <c r="BE1472" s="24" t="str">
        <f t="shared" si="153"/>
        <v/>
      </c>
      <c r="BF1472" s="24" t="str">
        <f t="shared" si="153"/>
        <v/>
      </c>
      <c r="BG1472" s="24" t="str">
        <f t="shared" si="153"/>
        <v/>
      </c>
      <c r="BH1472" s="24" t="str">
        <f t="shared" si="148"/>
        <v/>
      </c>
      <c r="BI1472" s="24">
        <f t="shared" si="153"/>
        <v>1</v>
      </c>
      <c r="BJ1472" s="24" t="str">
        <f t="shared" si="150"/>
        <v/>
      </c>
    </row>
    <row r="1473" spans="1:62" ht="15" customHeight="1" x14ac:dyDescent="0.25">
      <c r="A1473" t="str">
        <f>"1578535779"</f>
        <v>1578535779</v>
      </c>
      <c r="B1473" t="str">
        <f>"03371157"</f>
        <v>03371157</v>
      </c>
      <c r="C1473" t="s">
        <v>1330</v>
      </c>
      <c r="D1473" t="s">
        <v>1331</v>
      </c>
      <c r="E1473" t="s">
        <v>1332</v>
      </c>
      <c r="G1473" t="s">
        <v>1300</v>
      </c>
      <c r="H1473" t="s">
        <v>1301</v>
      </c>
      <c r="L1473" t="s">
        <v>247</v>
      </c>
      <c r="M1473" t="s">
        <v>108</v>
      </c>
      <c r="R1473" t="s">
        <v>1330</v>
      </c>
      <c r="W1473" t="s">
        <v>1332</v>
      </c>
      <c r="X1473" t="s">
        <v>1333</v>
      </c>
      <c r="Y1473" t="s">
        <v>293</v>
      </c>
      <c r="Z1473" t="s">
        <v>111</v>
      </c>
      <c r="AA1473" t="str">
        <f>"14850-4219"</f>
        <v>14850-4219</v>
      </c>
      <c r="AB1473" t="s">
        <v>123</v>
      </c>
      <c r="AC1473" t="s">
        <v>113</v>
      </c>
      <c r="AD1473" t="s">
        <v>108</v>
      </c>
      <c r="AE1473" t="s">
        <v>114</v>
      </c>
      <c r="AF1473" t="s">
        <v>142</v>
      </c>
      <c r="AG1473" t="s">
        <v>116</v>
      </c>
      <c r="AK1473" t="str">
        <f t="shared" si="147"/>
        <v/>
      </c>
      <c r="AL1473" t="s">
        <v>1331</v>
      </c>
      <c r="AM1473">
        <v>0</v>
      </c>
      <c r="AN1473">
        <v>0</v>
      </c>
      <c r="AO1473">
        <v>0</v>
      </c>
      <c r="AP1473">
        <v>0</v>
      </c>
      <c r="AQ1473">
        <v>0</v>
      </c>
      <c r="AR1473">
        <v>0</v>
      </c>
      <c r="AS1473">
        <v>0</v>
      </c>
      <c r="AT1473">
        <v>0</v>
      </c>
      <c r="AU1473">
        <v>0</v>
      </c>
      <c r="AV1473">
        <v>0</v>
      </c>
      <c r="AW1473">
        <v>0</v>
      </c>
      <c r="AX1473" s="24" t="str">
        <f t="shared" si="152"/>
        <v/>
      </c>
      <c r="AY1473" s="24">
        <f t="shared" si="152"/>
        <v>1</v>
      </c>
      <c r="AZ1473" s="24" t="str">
        <f t="shared" si="153"/>
        <v/>
      </c>
      <c r="BA1473" s="24" t="str">
        <f t="shared" si="153"/>
        <v/>
      </c>
      <c r="BB1473" s="24" t="str">
        <f t="shared" si="153"/>
        <v/>
      </c>
      <c r="BC1473" s="24" t="str">
        <f t="shared" si="153"/>
        <v/>
      </c>
      <c r="BD1473" s="24" t="str">
        <f t="shared" si="153"/>
        <v/>
      </c>
      <c r="BE1473" s="24" t="str">
        <f t="shared" si="153"/>
        <v/>
      </c>
      <c r="BF1473" s="24" t="str">
        <f t="shared" si="153"/>
        <v/>
      </c>
      <c r="BG1473" s="24" t="str">
        <f t="shared" si="153"/>
        <v/>
      </c>
      <c r="BH1473" s="24" t="str">
        <f t="shared" si="148"/>
        <v/>
      </c>
      <c r="BI1473" s="24" t="str">
        <f t="shared" si="153"/>
        <v/>
      </c>
      <c r="BJ1473" s="24" t="str">
        <f t="shared" si="150"/>
        <v/>
      </c>
    </row>
    <row r="1474" spans="1:62" ht="15" customHeight="1" x14ac:dyDescent="0.25">
      <c r="A1474" t="str">
        <f>"1962478842"</f>
        <v>1962478842</v>
      </c>
      <c r="B1474" t="str">
        <f>"01736281"</f>
        <v>01736281</v>
      </c>
      <c r="C1474" t="s">
        <v>2718</v>
      </c>
      <c r="D1474" t="s">
        <v>2719</v>
      </c>
      <c r="E1474" t="s">
        <v>2720</v>
      </c>
      <c r="G1474" t="s">
        <v>177</v>
      </c>
      <c r="H1474" t="s">
        <v>178</v>
      </c>
      <c r="J1474" t="s">
        <v>179</v>
      </c>
      <c r="L1474" t="s">
        <v>247</v>
      </c>
      <c r="M1474" t="s">
        <v>108</v>
      </c>
      <c r="R1474" t="s">
        <v>2718</v>
      </c>
      <c r="W1474" t="s">
        <v>2720</v>
      </c>
      <c r="X1474" t="s">
        <v>180</v>
      </c>
      <c r="Y1474" t="s">
        <v>181</v>
      </c>
      <c r="Z1474" t="s">
        <v>182</v>
      </c>
      <c r="AA1474" t="str">
        <f>"18840"</f>
        <v>18840</v>
      </c>
      <c r="AB1474" t="s">
        <v>123</v>
      </c>
      <c r="AC1474" t="s">
        <v>113</v>
      </c>
      <c r="AD1474" t="s">
        <v>108</v>
      </c>
      <c r="AE1474" t="s">
        <v>114</v>
      </c>
      <c r="AF1474" t="s">
        <v>115</v>
      </c>
      <c r="AG1474" t="s">
        <v>116</v>
      </c>
      <c r="AK1474" t="str">
        <f t="shared" ref="AK1474:AK1501" si="154">IF(AM1474="No",C1474,"")</f>
        <v/>
      </c>
      <c r="AL1474" t="s">
        <v>2719</v>
      </c>
      <c r="AM1474">
        <v>0</v>
      </c>
      <c r="AN1474">
        <v>0</v>
      </c>
      <c r="AO1474">
        <v>0</v>
      </c>
      <c r="AP1474">
        <v>0</v>
      </c>
      <c r="AQ1474">
        <v>0</v>
      </c>
      <c r="AR1474">
        <v>0</v>
      </c>
      <c r="AS1474">
        <v>0</v>
      </c>
      <c r="AT1474">
        <v>0</v>
      </c>
      <c r="AU1474">
        <v>0</v>
      </c>
      <c r="AV1474">
        <v>0</v>
      </c>
      <c r="AW1474">
        <v>0</v>
      </c>
      <c r="AX1474" s="24" t="str">
        <f t="shared" si="152"/>
        <v/>
      </c>
      <c r="AY1474" s="24">
        <f t="shared" si="152"/>
        <v>1</v>
      </c>
      <c r="AZ1474" s="24" t="str">
        <f t="shared" si="153"/>
        <v/>
      </c>
      <c r="BA1474" s="24" t="str">
        <f t="shared" si="153"/>
        <v/>
      </c>
      <c r="BB1474" s="24" t="str">
        <f t="shared" si="153"/>
        <v/>
      </c>
      <c r="BC1474" s="24" t="str">
        <f t="shared" si="153"/>
        <v/>
      </c>
      <c r="BD1474" s="24" t="str">
        <f t="shared" si="153"/>
        <v/>
      </c>
      <c r="BE1474" s="24" t="str">
        <f t="shared" si="153"/>
        <v/>
      </c>
      <c r="BF1474" s="24" t="str">
        <f t="shared" si="153"/>
        <v/>
      </c>
      <c r="BG1474" s="24" t="str">
        <f t="shared" si="153"/>
        <v/>
      </c>
      <c r="BH1474" s="24" t="str">
        <f t="shared" si="148"/>
        <v/>
      </c>
      <c r="BI1474" s="24" t="str">
        <f t="shared" si="153"/>
        <v/>
      </c>
      <c r="BJ1474" s="24" t="str">
        <f t="shared" si="150"/>
        <v/>
      </c>
    </row>
    <row r="1475" spans="1:62" ht="15" customHeight="1" x14ac:dyDescent="0.25">
      <c r="A1475" t="str">
        <f>"1235469974"</f>
        <v>1235469974</v>
      </c>
      <c r="B1475" t="str">
        <f>"01236451"</f>
        <v>01236451</v>
      </c>
      <c r="C1475" t="s">
        <v>2063</v>
      </c>
      <c r="D1475" t="s">
        <v>2064</v>
      </c>
      <c r="E1475" t="s">
        <v>2065</v>
      </c>
      <c r="L1475" t="s">
        <v>247</v>
      </c>
      <c r="M1475" t="s">
        <v>108</v>
      </c>
      <c r="R1475" t="s">
        <v>2063</v>
      </c>
      <c r="W1475" t="s">
        <v>2065</v>
      </c>
      <c r="X1475" t="s">
        <v>2066</v>
      </c>
      <c r="Y1475" t="s">
        <v>129</v>
      </c>
      <c r="Z1475" t="s">
        <v>111</v>
      </c>
      <c r="AA1475" t="str">
        <f>"13790-2176"</f>
        <v>13790-2176</v>
      </c>
      <c r="AB1475" t="s">
        <v>123</v>
      </c>
      <c r="AC1475" t="s">
        <v>113</v>
      </c>
      <c r="AD1475" t="s">
        <v>108</v>
      </c>
      <c r="AE1475" t="s">
        <v>114</v>
      </c>
      <c r="AF1475" t="s">
        <v>115</v>
      </c>
      <c r="AG1475" t="s">
        <v>116</v>
      </c>
      <c r="AK1475" t="str">
        <f t="shared" si="154"/>
        <v/>
      </c>
      <c r="AL1475" t="s">
        <v>2064</v>
      </c>
      <c r="AM1475">
        <v>1</v>
      </c>
      <c r="AN1475">
        <v>1</v>
      </c>
      <c r="AO1475">
        <v>0</v>
      </c>
      <c r="AP1475">
        <v>1</v>
      </c>
      <c r="AQ1475">
        <v>1</v>
      </c>
      <c r="AR1475">
        <v>0</v>
      </c>
      <c r="AS1475">
        <v>0</v>
      </c>
      <c r="AT1475">
        <v>0</v>
      </c>
      <c r="AU1475">
        <v>0</v>
      </c>
      <c r="AV1475">
        <v>0</v>
      </c>
      <c r="AW1475">
        <v>0</v>
      </c>
      <c r="AX1475" s="24" t="str">
        <f t="shared" si="152"/>
        <v/>
      </c>
      <c r="AY1475" s="24">
        <f t="shared" si="152"/>
        <v>1</v>
      </c>
      <c r="AZ1475" s="24" t="str">
        <f t="shared" si="153"/>
        <v/>
      </c>
      <c r="BA1475" s="24" t="str">
        <f t="shared" si="153"/>
        <v/>
      </c>
      <c r="BB1475" s="24" t="str">
        <f t="shared" si="153"/>
        <v/>
      </c>
      <c r="BC1475" s="24" t="str">
        <f t="shared" si="153"/>
        <v/>
      </c>
      <c r="BD1475" s="24" t="str">
        <f t="shared" si="153"/>
        <v/>
      </c>
      <c r="BE1475" s="24" t="str">
        <f t="shared" si="153"/>
        <v/>
      </c>
      <c r="BF1475" s="24" t="str">
        <f t="shared" si="153"/>
        <v/>
      </c>
      <c r="BG1475" s="24" t="str">
        <f t="shared" si="153"/>
        <v/>
      </c>
      <c r="BH1475" s="24" t="str">
        <f t="shared" ref="BH1475:BH1502" si="155">IF(ISERROR(FIND("CBO",$L1475,1)),"",1)</f>
        <v/>
      </c>
      <c r="BI1475" s="24" t="str">
        <f t="shared" si="153"/>
        <v/>
      </c>
      <c r="BJ1475" s="24" t="str">
        <f t="shared" si="150"/>
        <v/>
      </c>
    </row>
    <row r="1476" spans="1:62" ht="15" customHeight="1" x14ac:dyDescent="0.25">
      <c r="A1476" t="str">
        <f>"1407961451"</f>
        <v>1407961451</v>
      </c>
      <c r="B1476" t="str">
        <f>"03220986"</f>
        <v>03220986</v>
      </c>
      <c r="C1476" t="s">
        <v>2067</v>
      </c>
      <c r="D1476" t="s">
        <v>2068</v>
      </c>
      <c r="E1476" t="s">
        <v>2069</v>
      </c>
      <c r="L1476" t="s">
        <v>809</v>
      </c>
      <c r="M1476" t="s">
        <v>108</v>
      </c>
      <c r="R1476" t="s">
        <v>2067</v>
      </c>
      <c r="W1476" t="s">
        <v>2069</v>
      </c>
      <c r="X1476" t="s">
        <v>810</v>
      </c>
      <c r="Y1476" t="s">
        <v>110</v>
      </c>
      <c r="Z1476" t="s">
        <v>111</v>
      </c>
      <c r="AA1476" t="str">
        <f>"13905-2522"</f>
        <v>13905-2522</v>
      </c>
      <c r="AB1476" t="s">
        <v>811</v>
      </c>
      <c r="AC1476" t="s">
        <v>113</v>
      </c>
      <c r="AD1476" t="s">
        <v>108</v>
      </c>
      <c r="AE1476" t="s">
        <v>114</v>
      </c>
      <c r="AF1476" t="s">
        <v>115</v>
      </c>
      <c r="AG1476" t="s">
        <v>116</v>
      </c>
      <c r="AK1476" t="str">
        <f t="shared" si="154"/>
        <v/>
      </c>
      <c r="AL1476" t="s">
        <v>2068</v>
      </c>
      <c r="AM1476">
        <v>0</v>
      </c>
      <c r="AN1476">
        <v>0</v>
      </c>
      <c r="AO1476">
        <v>0</v>
      </c>
      <c r="AP1476">
        <v>0</v>
      </c>
      <c r="AQ1476">
        <v>0</v>
      </c>
      <c r="AR1476">
        <v>0</v>
      </c>
      <c r="AS1476">
        <v>0</v>
      </c>
      <c r="AT1476">
        <v>0</v>
      </c>
      <c r="AU1476">
        <v>0</v>
      </c>
      <c r="AV1476">
        <v>0</v>
      </c>
      <c r="AW1476">
        <v>0</v>
      </c>
      <c r="AX1476" s="24" t="str">
        <f t="shared" si="152"/>
        <v/>
      </c>
      <c r="AY1476" s="24">
        <f t="shared" si="152"/>
        <v>1</v>
      </c>
      <c r="AZ1476" s="24" t="str">
        <f t="shared" si="153"/>
        <v/>
      </c>
      <c r="BA1476" s="24" t="str">
        <f t="shared" si="153"/>
        <v/>
      </c>
      <c r="BB1476" s="24" t="str">
        <f t="shared" si="153"/>
        <v/>
      </c>
      <c r="BC1476" s="24">
        <f t="shared" si="153"/>
        <v>1</v>
      </c>
      <c r="BD1476" s="24" t="str">
        <f t="shared" si="153"/>
        <v/>
      </c>
      <c r="BE1476" s="24" t="str">
        <f t="shared" si="153"/>
        <v/>
      </c>
      <c r="BF1476" s="24" t="str">
        <f t="shared" si="153"/>
        <v/>
      </c>
      <c r="BG1476" s="24" t="str">
        <f t="shared" si="153"/>
        <v/>
      </c>
      <c r="BH1476" s="24" t="str">
        <f t="shared" si="155"/>
        <v/>
      </c>
      <c r="BI1476" s="24" t="str">
        <f t="shared" si="153"/>
        <v/>
      </c>
      <c r="BJ1476" s="24" t="str">
        <f t="shared" si="150"/>
        <v/>
      </c>
    </row>
    <row r="1477" spans="1:62" ht="15" customHeight="1" x14ac:dyDescent="0.25">
      <c r="A1477" t="str">
        <f>"1417923434"</f>
        <v>1417923434</v>
      </c>
      <c r="B1477" t="str">
        <f>"01030271"</f>
        <v>01030271</v>
      </c>
      <c r="C1477" t="s">
        <v>754</v>
      </c>
      <c r="D1477" t="s">
        <v>755</v>
      </c>
      <c r="E1477" t="s">
        <v>754</v>
      </c>
      <c r="G1477" t="s">
        <v>699</v>
      </c>
      <c r="H1477" t="s">
        <v>700</v>
      </c>
      <c r="J1477" t="s">
        <v>701</v>
      </c>
      <c r="L1477" t="s">
        <v>120</v>
      </c>
      <c r="M1477" t="s">
        <v>108</v>
      </c>
      <c r="R1477" t="s">
        <v>756</v>
      </c>
      <c r="W1477" t="s">
        <v>757</v>
      </c>
      <c r="X1477" t="s">
        <v>758</v>
      </c>
      <c r="Y1477" t="s">
        <v>157</v>
      </c>
      <c r="Z1477" t="s">
        <v>111</v>
      </c>
      <c r="AA1477" t="str">
        <f>"14830-2813"</f>
        <v>14830-2813</v>
      </c>
      <c r="AB1477" t="s">
        <v>123</v>
      </c>
      <c r="AC1477" t="s">
        <v>113</v>
      </c>
      <c r="AD1477" t="s">
        <v>108</v>
      </c>
      <c r="AE1477" t="s">
        <v>114</v>
      </c>
      <c r="AF1477" t="s">
        <v>149</v>
      </c>
      <c r="AG1477" t="s">
        <v>116</v>
      </c>
      <c r="AK1477" t="str">
        <f t="shared" si="154"/>
        <v/>
      </c>
      <c r="AL1477" t="s">
        <v>755</v>
      </c>
      <c r="AM1477">
        <v>1</v>
      </c>
      <c r="AN1477">
        <v>1</v>
      </c>
      <c r="AO1477">
        <v>0</v>
      </c>
      <c r="AP1477">
        <v>0</v>
      </c>
      <c r="AQ1477">
        <v>0</v>
      </c>
      <c r="AR1477">
        <v>0</v>
      </c>
      <c r="AS1477">
        <v>0</v>
      </c>
      <c r="AT1477">
        <v>1</v>
      </c>
      <c r="AU1477">
        <v>1</v>
      </c>
      <c r="AV1477">
        <v>1</v>
      </c>
      <c r="AW1477">
        <v>0</v>
      </c>
      <c r="AX1477" s="24">
        <f t="shared" si="152"/>
        <v>1</v>
      </c>
      <c r="AY1477" s="24" t="str">
        <f t="shared" si="152"/>
        <v/>
      </c>
      <c r="AZ1477" s="24" t="str">
        <f t="shared" si="153"/>
        <v/>
      </c>
      <c r="BA1477" s="24" t="str">
        <f t="shared" si="153"/>
        <v/>
      </c>
      <c r="BB1477" s="24" t="str">
        <f t="shared" si="153"/>
        <v/>
      </c>
      <c r="BC1477" s="24" t="str">
        <f t="shared" si="153"/>
        <v/>
      </c>
      <c r="BD1477" s="24" t="str">
        <f t="shared" si="153"/>
        <v/>
      </c>
      <c r="BE1477" s="24" t="str">
        <f t="shared" si="153"/>
        <v/>
      </c>
      <c r="BF1477" s="24" t="str">
        <f t="shared" si="153"/>
        <v/>
      </c>
      <c r="BG1477" s="24" t="str">
        <f t="shared" si="153"/>
        <v/>
      </c>
      <c r="BH1477" s="24" t="str">
        <f t="shared" si="155"/>
        <v/>
      </c>
      <c r="BI1477" s="24">
        <f t="shared" si="153"/>
        <v>1</v>
      </c>
      <c r="BJ1477" s="24" t="str">
        <f t="shared" si="150"/>
        <v/>
      </c>
    </row>
    <row r="1478" spans="1:62" ht="15" customHeight="1" x14ac:dyDescent="0.25">
      <c r="A1478" t="str">
        <f>"1386622090"</f>
        <v>1386622090</v>
      </c>
      <c r="B1478" t="str">
        <f>"02463156"</f>
        <v>02463156</v>
      </c>
      <c r="C1478" t="s">
        <v>2070</v>
      </c>
      <c r="D1478" t="s">
        <v>2071</v>
      </c>
      <c r="E1478" t="s">
        <v>2072</v>
      </c>
      <c r="L1478" t="s">
        <v>442</v>
      </c>
      <c r="M1478" t="s">
        <v>108</v>
      </c>
      <c r="R1478" t="s">
        <v>2070</v>
      </c>
      <c r="W1478" t="s">
        <v>2072</v>
      </c>
      <c r="X1478" t="s">
        <v>1464</v>
      </c>
      <c r="Y1478" t="s">
        <v>110</v>
      </c>
      <c r="Z1478" t="s">
        <v>111</v>
      </c>
      <c r="AA1478" t="str">
        <f>"13903-1605"</f>
        <v>13903-1605</v>
      </c>
      <c r="AB1478" t="s">
        <v>123</v>
      </c>
      <c r="AC1478" t="s">
        <v>113</v>
      </c>
      <c r="AD1478" t="s">
        <v>108</v>
      </c>
      <c r="AE1478" t="s">
        <v>114</v>
      </c>
      <c r="AF1478" t="s">
        <v>115</v>
      </c>
      <c r="AG1478" t="s">
        <v>116</v>
      </c>
      <c r="AK1478" t="str">
        <f t="shared" si="154"/>
        <v/>
      </c>
      <c r="AL1478" t="s">
        <v>2071</v>
      </c>
      <c r="AM1478">
        <v>0</v>
      </c>
      <c r="AN1478">
        <v>0</v>
      </c>
      <c r="AO1478">
        <v>0</v>
      </c>
      <c r="AP1478">
        <v>0</v>
      </c>
      <c r="AQ1478">
        <v>0</v>
      </c>
      <c r="AR1478">
        <v>0</v>
      </c>
      <c r="AS1478">
        <v>0</v>
      </c>
      <c r="AT1478">
        <v>0</v>
      </c>
      <c r="AU1478">
        <v>0</v>
      </c>
      <c r="AV1478">
        <v>0</v>
      </c>
      <c r="AW1478">
        <v>0</v>
      </c>
      <c r="AX1478" s="24">
        <f t="shared" si="152"/>
        <v>1</v>
      </c>
      <c r="AY1478" s="24" t="str">
        <f t="shared" si="152"/>
        <v/>
      </c>
      <c r="AZ1478" s="24" t="str">
        <f t="shared" si="153"/>
        <v/>
      </c>
      <c r="BA1478" s="24" t="str">
        <f t="shared" si="153"/>
        <v/>
      </c>
      <c r="BB1478" s="24" t="str">
        <f t="shared" si="153"/>
        <v/>
      </c>
      <c r="BC1478" s="24" t="str">
        <f t="shared" si="153"/>
        <v/>
      </c>
      <c r="BD1478" s="24" t="str">
        <f t="shared" si="153"/>
        <v/>
      </c>
      <c r="BE1478" s="24" t="str">
        <f t="shared" si="153"/>
        <v/>
      </c>
      <c r="BF1478" s="24" t="str">
        <f t="shared" si="153"/>
        <v/>
      </c>
      <c r="BG1478" s="24" t="str">
        <f t="shared" si="153"/>
        <v/>
      </c>
      <c r="BH1478" s="24" t="str">
        <f t="shared" si="155"/>
        <v/>
      </c>
      <c r="BI1478" s="24" t="str">
        <f t="shared" si="153"/>
        <v/>
      </c>
      <c r="BJ1478" s="24" t="str">
        <f t="shared" si="150"/>
        <v/>
      </c>
    </row>
    <row r="1479" spans="1:62" ht="15" customHeight="1" x14ac:dyDescent="0.25">
      <c r="A1479" t="str">
        <f>"1366479453"</f>
        <v>1366479453</v>
      </c>
      <c r="B1479" t="str">
        <f>"01268639"</f>
        <v>01268639</v>
      </c>
      <c r="C1479" t="s">
        <v>2073</v>
      </c>
      <c r="D1479" t="s">
        <v>2074</v>
      </c>
      <c r="E1479" t="s">
        <v>2075</v>
      </c>
      <c r="L1479" t="s">
        <v>247</v>
      </c>
      <c r="M1479" t="s">
        <v>108</v>
      </c>
      <c r="R1479" t="s">
        <v>2073</v>
      </c>
      <c r="W1479" t="s">
        <v>2075</v>
      </c>
      <c r="X1479" t="s">
        <v>2076</v>
      </c>
      <c r="Y1479" t="s">
        <v>129</v>
      </c>
      <c r="Z1479" t="s">
        <v>111</v>
      </c>
      <c r="AA1479" t="str">
        <f>"13790-2101"</f>
        <v>13790-2101</v>
      </c>
      <c r="AB1479" t="s">
        <v>123</v>
      </c>
      <c r="AC1479" t="s">
        <v>113</v>
      </c>
      <c r="AD1479" t="s">
        <v>108</v>
      </c>
      <c r="AE1479" t="s">
        <v>114</v>
      </c>
      <c r="AF1479" t="s">
        <v>115</v>
      </c>
      <c r="AG1479" t="s">
        <v>116</v>
      </c>
      <c r="AK1479" t="str">
        <f t="shared" si="154"/>
        <v/>
      </c>
      <c r="AL1479" t="s">
        <v>2074</v>
      </c>
      <c r="AM1479">
        <v>1</v>
      </c>
      <c r="AN1479">
        <v>1</v>
      </c>
      <c r="AO1479">
        <v>0</v>
      </c>
      <c r="AP1479">
        <v>1</v>
      </c>
      <c r="AQ1479">
        <v>1</v>
      </c>
      <c r="AR1479">
        <v>0</v>
      </c>
      <c r="AS1479">
        <v>0</v>
      </c>
      <c r="AT1479">
        <v>0</v>
      </c>
      <c r="AU1479">
        <v>0</v>
      </c>
      <c r="AV1479">
        <v>0</v>
      </c>
      <c r="AW1479">
        <v>1</v>
      </c>
      <c r="AX1479" s="24" t="str">
        <f t="shared" si="152"/>
        <v/>
      </c>
      <c r="AY1479" s="24">
        <f t="shared" si="152"/>
        <v>1</v>
      </c>
      <c r="AZ1479" s="24" t="str">
        <f t="shared" si="153"/>
        <v/>
      </c>
      <c r="BA1479" s="24" t="str">
        <f t="shared" si="153"/>
        <v/>
      </c>
      <c r="BB1479" s="24" t="str">
        <f t="shared" si="153"/>
        <v/>
      </c>
      <c r="BC1479" s="24" t="str">
        <f t="shared" si="153"/>
        <v/>
      </c>
      <c r="BD1479" s="24" t="str">
        <f t="shared" si="153"/>
        <v/>
      </c>
      <c r="BE1479" s="24" t="str">
        <f t="shared" si="153"/>
        <v/>
      </c>
      <c r="BF1479" s="24" t="str">
        <f t="shared" si="153"/>
        <v/>
      </c>
      <c r="BG1479" s="24" t="str">
        <f t="shared" si="153"/>
        <v/>
      </c>
      <c r="BH1479" s="24" t="str">
        <f t="shared" si="155"/>
        <v/>
      </c>
      <c r="BI1479" s="24" t="str">
        <f t="shared" si="153"/>
        <v/>
      </c>
      <c r="BJ1479" s="24" t="str">
        <f t="shared" si="150"/>
        <v/>
      </c>
    </row>
    <row r="1480" spans="1:62" ht="15" customHeight="1" x14ac:dyDescent="0.25">
      <c r="A1480" t="str">
        <f>"1033373758"</f>
        <v>1033373758</v>
      </c>
      <c r="B1480" t="str">
        <f>"03372525"</f>
        <v>03372525</v>
      </c>
      <c r="C1480" t="s">
        <v>2077</v>
      </c>
      <c r="D1480" t="s">
        <v>2078</v>
      </c>
      <c r="E1480" t="s">
        <v>2079</v>
      </c>
      <c r="L1480" t="s">
        <v>247</v>
      </c>
      <c r="M1480" t="s">
        <v>108</v>
      </c>
      <c r="R1480" t="s">
        <v>2077</v>
      </c>
      <c r="W1480" t="s">
        <v>2079</v>
      </c>
      <c r="X1480" t="s">
        <v>999</v>
      </c>
      <c r="Y1480" t="s">
        <v>110</v>
      </c>
      <c r="Z1480" t="s">
        <v>111</v>
      </c>
      <c r="AA1480" t="str">
        <f>"13903-1645"</f>
        <v>13903-1645</v>
      </c>
      <c r="AB1480" t="s">
        <v>123</v>
      </c>
      <c r="AC1480" t="s">
        <v>113</v>
      </c>
      <c r="AD1480" t="s">
        <v>108</v>
      </c>
      <c r="AE1480" t="s">
        <v>114</v>
      </c>
      <c r="AF1480" t="s">
        <v>115</v>
      </c>
      <c r="AG1480" t="s">
        <v>116</v>
      </c>
      <c r="AK1480" t="str">
        <f t="shared" si="154"/>
        <v/>
      </c>
      <c r="AL1480" t="s">
        <v>2078</v>
      </c>
      <c r="AM1480">
        <v>0</v>
      </c>
      <c r="AN1480">
        <v>0</v>
      </c>
      <c r="AO1480">
        <v>0</v>
      </c>
      <c r="AP1480">
        <v>0</v>
      </c>
      <c r="AQ1480">
        <v>0</v>
      </c>
      <c r="AR1480">
        <v>0</v>
      </c>
      <c r="AS1480">
        <v>0</v>
      </c>
      <c r="AT1480">
        <v>0</v>
      </c>
      <c r="AU1480">
        <v>0</v>
      </c>
      <c r="AV1480">
        <v>0</v>
      </c>
      <c r="AW1480">
        <v>0</v>
      </c>
      <c r="AX1480" s="24" t="str">
        <f t="shared" si="152"/>
        <v/>
      </c>
      <c r="AY1480" s="24">
        <f t="shared" si="152"/>
        <v>1</v>
      </c>
      <c r="AZ1480" s="24" t="str">
        <f t="shared" si="153"/>
        <v/>
      </c>
      <c r="BA1480" s="24" t="str">
        <f t="shared" si="153"/>
        <v/>
      </c>
      <c r="BB1480" s="24" t="str">
        <f t="shared" si="153"/>
        <v/>
      </c>
      <c r="BC1480" s="24" t="str">
        <f t="shared" si="153"/>
        <v/>
      </c>
      <c r="BD1480" s="24" t="str">
        <f t="shared" si="153"/>
        <v/>
      </c>
      <c r="BE1480" s="24" t="str">
        <f t="shared" si="153"/>
        <v/>
      </c>
      <c r="BF1480" s="24" t="str">
        <f t="shared" si="153"/>
        <v/>
      </c>
      <c r="BG1480" s="24" t="str">
        <f t="shared" si="153"/>
        <v/>
      </c>
      <c r="BH1480" s="24" t="str">
        <f t="shared" si="155"/>
        <v/>
      </c>
      <c r="BI1480" s="24" t="str">
        <f t="shared" si="153"/>
        <v/>
      </c>
      <c r="BJ1480" s="24" t="str">
        <f t="shared" si="150"/>
        <v/>
      </c>
    </row>
    <row r="1481" spans="1:62" ht="15" customHeight="1" x14ac:dyDescent="0.25">
      <c r="A1481" t="str">
        <f>"1417104829"</f>
        <v>1417104829</v>
      </c>
      <c r="B1481" t="str">
        <f>"03921482"</f>
        <v>03921482</v>
      </c>
      <c r="C1481" t="s">
        <v>6554</v>
      </c>
      <c r="D1481" t="s">
        <v>6555</v>
      </c>
      <c r="E1481" t="s">
        <v>6556</v>
      </c>
      <c r="G1481" t="s">
        <v>4447</v>
      </c>
      <c r="H1481" t="s">
        <v>4448</v>
      </c>
      <c r="J1481" t="s">
        <v>5726</v>
      </c>
      <c r="L1481" t="s">
        <v>442</v>
      </c>
      <c r="M1481" t="s">
        <v>108</v>
      </c>
      <c r="R1481" t="s">
        <v>6556</v>
      </c>
      <c r="W1481" t="s">
        <v>6557</v>
      </c>
      <c r="X1481" t="s">
        <v>121</v>
      </c>
      <c r="Y1481" t="s">
        <v>122</v>
      </c>
      <c r="Z1481" t="s">
        <v>111</v>
      </c>
      <c r="AA1481" t="str">
        <f>"13815-1019"</f>
        <v>13815-1019</v>
      </c>
      <c r="AB1481" t="s">
        <v>123</v>
      </c>
      <c r="AC1481" t="s">
        <v>113</v>
      </c>
      <c r="AD1481" t="s">
        <v>108</v>
      </c>
      <c r="AE1481" t="s">
        <v>114</v>
      </c>
      <c r="AF1481" t="s">
        <v>124</v>
      </c>
      <c r="AG1481" t="s">
        <v>116</v>
      </c>
      <c r="AK1481" t="str">
        <f t="shared" si="154"/>
        <v>Wood James</v>
      </c>
      <c r="AL1481" t="s">
        <v>6555</v>
      </c>
      <c r="AM1481" t="s">
        <v>108</v>
      </c>
      <c r="AN1481" t="s">
        <v>108</v>
      </c>
      <c r="AO1481" t="s">
        <v>108</v>
      </c>
      <c r="AP1481" t="s">
        <v>108</v>
      </c>
      <c r="AQ1481" t="s">
        <v>108</v>
      </c>
      <c r="AR1481" t="s">
        <v>108</v>
      </c>
      <c r="AS1481" t="s">
        <v>108</v>
      </c>
      <c r="AT1481" t="s">
        <v>108</v>
      </c>
      <c r="AU1481" t="s">
        <v>108</v>
      </c>
      <c r="AV1481" t="s">
        <v>108</v>
      </c>
      <c r="AW1481" t="s">
        <v>108</v>
      </c>
      <c r="AX1481" s="24">
        <f t="shared" si="152"/>
        <v>1</v>
      </c>
      <c r="AY1481" s="24" t="str">
        <f t="shared" si="152"/>
        <v/>
      </c>
      <c r="AZ1481" s="24" t="str">
        <f t="shared" si="153"/>
        <v/>
      </c>
      <c r="BA1481" s="24" t="str">
        <f t="shared" si="153"/>
        <v/>
      </c>
      <c r="BB1481" s="24" t="str">
        <f t="shared" si="153"/>
        <v/>
      </c>
      <c r="BC1481" s="24" t="str">
        <f t="shared" si="153"/>
        <v/>
      </c>
      <c r="BD1481" s="24" t="str">
        <f t="shared" si="153"/>
        <v/>
      </c>
      <c r="BE1481" s="24" t="str">
        <f t="shared" si="153"/>
        <v/>
      </c>
      <c r="BF1481" s="24" t="str">
        <f t="shared" si="153"/>
        <v/>
      </c>
      <c r="BG1481" s="24" t="str">
        <f t="shared" si="153"/>
        <v/>
      </c>
      <c r="BH1481" s="24" t="str">
        <f t="shared" si="155"/>
        <v/>
      </c>
      <c r="BI1481" s="24" t="str">
        <f t="shared" si="153"/>
        <v/>
      </c>
      <c r="BJ1481" s="24" t="str">
        <f t="shared" si="150"/>
        <v/>
      </c>
    </row>
    <row r="1482" spans="1:62" ht="15" customHeight="1" x14ac:dyDescent="0.25">
      <c r="A1482" t="str">
        <f>"1689991697"</f>
        <v>1689991697</v>
      </c>
      <c r="B1482" t="str">
        <f>"04274255"</f>
        <v>04274255</v>
      </c>
      <c r="C1482" t="s">
        <v>6621</v>
      </c>
      <c r="D1482" t="s">
        <v>6622</v>
      </c>
      <c r="E1482" t="s">
        <v>6623</v>
      </c>
      <c r="G1482" t="s">
        <v>6507</v>
      </c>
      <c r="H1482" t="s">
        <v>6508</v>
      </c>
      <c r="J1482" t="s">
        <v>6509</v>
      </c>
      <c r="L1482" t="s">
        <v>120</v>
      </c>
      <c r="M1482" t="s">
        <v>108</v>
      </c>
      <c r="R1482" t="s">
        <v>6624</v>
      </c>
      <c r="W1482" t="s">
        <v>6625</v>
      </c>
      <c r="X1482" t="s">
        <v>747</v>
      </c>
      <c r="Y1482" t="s">
        <v>157</v>
      </c>
      <c r="Z1482" t="s">
        <v>111</v>
      </c>
      <c r="AA1482" t="str">
        <f>"14830-2255"</f>
        <v>14830-2255</v>
      </c>
      <c r="AB1482" t="s">
        <v>123</v>
      </c>
      <c r="AC1482" t="s">
        <v>113</v>
      </c>
      <c r="AD1482" t="s">
        <v>108</v>
      </c>
      <c r="AE1482" t="s">
        <v>114</v>
      </c>
      <c r="AF1482" t="s">
        <v>149</v>
      </c>
      <c r="AG1482" t="s">
        <v>116</v>
      </c>
      <c r="AK1482" t="str">
        <f t="shared" si="154"/>
        <v>Worley Andrea</v>
      </c>
      <c r="AL1482" t="s">
        <v>6622</v>
      </c>
      <c r="AM1482" t="s">
        <v>108</v>
      </c>
      <c r="AN1482" t="s">
        <v>108</v>
      </c>
      <c r="AO1482" t="s">
        <v>108</v>
      </c>
      <c r="AP1482" t="s">
        <v>108</v>
      </c>
      <c r="AQ1482" t="s">
        <v>108</v>
      </c>
      <c r="AR1482" t="s">
        <v>108</v>
      </c>
      <c r="AS1482" t="s">
        <v>108</v>
      </c>
      <c r="AT1482" t="s">
        <v>108</v>
      </c>
      <c r="AU1482" t="s">
        <v>108</v>
      </c>
      <c r="AV1482" t="s">
        <v>108</v>
      </c>
      <c r="AW1482" t="s">
        <v>108</v>
      </c>
      <c r="AX1482" s="24">
        <f t="shared" si="152"/>
        <v>1</v>
      </c>
      <c r="AY1482" s="24" t="str">
        <f t="shared" si="152"/>
        <v/>
      </c>
      <c r="AZ1482" s="24" t="str">
        <f t="shared" si="153"/>
        <v/>
      </c>
      <c r="BA1482" s="24" t="str">
        <f t="shared" si="153"/>
        <v/>
      </c>
      <c r="BB1482" s="24" t="str">
        <f t="shared" si="153"/>
        <v/>
      </c>
      <c r="BC1482" s="24" t="str">
        <f t="shared" si="153"/>
        <v/>
      </c>
      <c r="BD1482" s="24" t="str">
        <f t="shared" si="153"/>
        <v/>
      </c>
      <c r="BE1482" s="24" t="str">
        <f t="shared" si="153"/>
        <v/>
      </c>
      <c r="BF1482" s="24" t="str">
        <f t="shared" si="153"/>
        <v/>
      </c>
      <c r="BG1482" s="24" t="str">
        <f t="shared" si="153"/>
        <v/>
      </c>
      <c r="BH1482" s="24" t="str">
        <f t="shared" si="155"/>
        <v/>
      </c>
      <c r="BI1482" s="24">
        <f t="shared" si="153"/>
        <v>1</v>
      </c>
      <c r="BJ1482" s="24" t="str">
        <f t="shared" si="150"/>
        <v/>
      </c>
    </row>
    <row r="1483" spans="1:62" ht="15" customHeight="1" x14ac:dyDescent="0.25">
      <c r="A1483" t="str">
        <f>"1700984150"</f>
        <v>1700984150</v>
      </c>
      <c r="B1483" t="str">
        <f>"00190056"</f>
        <v>00190056</v>
      </c>
      <c r="C1483" t="s">
        <v>1802</v>
      </c>
      <c r="D1483" t="s">
        <v>1803</v>
      </c>
      <c r="E1483" t="s">
        <v>1804</v>
      </c>
      <c r="G1483" t="s">
        <v>815</v>
      </c>
      <c r="H1483" t="s">
        <v>816</v>
      </c>
      <c r="J1483" t="s">
        <v>817</v>
      </c>
      <c r="L1483" t="s">
        <v>138</v>
      </c>
      <c r="M1483" t="s">
        <v>108</v>
      </c>
      <c r="R1483" t="s">
        <v>1802</v>
      </c>
      <c r="W1483" t="s">
        <v>1804</v>
      </c>
      <c r="X1483" t="s">
        <v>140</v>
      </c>
      <c r="Y1483" t="s">
        <v>141</v>
      </c>
      <c r="Z1483" t="s">
        <v>111</v>
      </c>
      <c r="AA1483" t="str">
        <f>"13210-2342"</f>
        <v>13210-2342</v>
      </c>
      <c r="AB1483" t="s">
        <v>123</v>
      </c>
      <c r="AC1483" t="s">
        <v>113</v>
      </c>
      <c r="AD1483" t="s">
        <v>108</v>
      </c>
      <c r="AE1483" t="s">
        <v>114</v>
      </c>
      <c r="AF1483" t="s">
        <v>142</v>
      </c>
      <c r="AG1483" t="s">
        <v>116</v>
      </c>
      <c r="AK1483" t="str">
        <f t="shared" si="154"/>
        <v/>
      </c>
      <c r="AL1483" t="s">
        <v>1803</v>
      </c>
      <c r="AM1483">
        <v>0</v>
      </c>
      <c r="AN1483">
        <v>0</v>
      </c>
      <c r="AO1483">
        <v>0</v>
      </c>
      <c r="AP1483">
        <v>0</v>
      </c>
      <c r="AQ1483">
        <v>0</v>
      </c>
      <c r="AR1483">
        <v>0</v>
      </c>
      <c r="AS1483">
        <v>0</v>
      </c>
      <c r="AT1483">
        <v>0</v>
      </c>
      <c r="AU1483">
        <v>0</v>
      </c>
      <c r="AV1483">
        <v>0</v>
      </c>
      <c r="AW1483">
        <v>0</v>
      </c>
      <c r="AX1483" s="24" t="str">
        <f t="shared" si="152"/>
        <v/>
      </c>
      <c r="AY1483" s="24">
        <f t="shared" si="152"/>
        <v>1</v>
      </c>
      <c r="AZ1483" s="24" t="str">
        <f t="shared" si="153"/>
        <v/>
      </c>
      <c r="BA1483" s="24" t="str">
        <f t="shared" si="153"/>
        <v/>
      </c>
      <c r="BB1483" s="24" t="str">
        <f t="shared" si="153"/>
        <v/>
      </c>
      <c r="BC1483" s="24" t="str">
        <f t="shared" si="153"/>
        <v/>
      </c>
      <c r="BD1483" s="24" t="str">
        <f t="shared" si="153"/>
        <v/>
      </c>
      <c r="BE1483" s="24" t="str">
        <f t="shared" si="153"/>
        <v/>
      </c>
      <c r="BF1483" s="24" t="str">
        <f t="shared" si="153"/>
        <v/>
      </c>
      <c r="BG1483" s="24" t="str">
        <f t="shared" si="153"/>
        <v/>
      </c>
      <c r="BH1483" s="24" t="str">
        <f t="shared" si="155"/>
        <v/>
      </c>
      <c r="BI1483" s="24">
        <f t="shared" si="153"/>
        <v>1</v>
      </c>
      <c r="BJ1483" s="24" t="str">
        <f t="shared" si="150"/>
        <v/>
      </c>
    </row>
    <row r="1484" spans="1:62" ht="15" customHeight="1" x14ac:dyDescent="0.25">
      <c r="A1484" t="str">
        <f>"1598731549"</f>
        <v>1598731549</v>
      </c>
      <c r="B1484" t="str">
        <f>"01464740"</f>
        <v>01464740</v>
      </c>
      <c r="C1484" t="s">
        <v>759</v>
      </c>
      <c r="D1484" t="s">
        <v>760</v>
      </c>
      <c r="E1484" t="s">
        <v>759</v>
      </c>
      <c r="G1484" t="s">
        <v>699</v>
      </c>
      <c r="H1484" t="s">
        <v>700</v>
      </c>
      <c r="J1484" t="s">
        <v>701</v>
      </c>
      <c r="L1484" t="s">
        <v>120</v>
      </c>
      <c r="M1484" t="s">
        <v>108</v>
      </c>
      <c r="R1484" t="s">
        <v>761</v>
      </c>
      <c r="W1484" t="s">
        <v>759</v>
      </c>
      <c r="X1484" t="s">
        <v>740</v>
      </c>
      <c r="Y1484" t="s">
        <v>181</v>
      </c>
      <c r="Z1484" t="s">
        <v>182</v>
      </c>
      <c r="AA1484" t="str">
        <f>"18840"</f>
        <v>18840</v>
      </c>
      <c r="AB1484" t="s">
        <v>123</v>
      </c>
      <c r="AC1484" t="s">
        <v>113</v>
      </c>
      <c r="AD1484" t="s">
        <v>108</v>
      </c>
      <c r="AE1484" t="s">
        <v>114</v>
      </c>
      <c r="AF1484" t="s">
        <v>115</v>
      </c>
      <c r="AG1484" t="s">
        <v>116</v>
      </c>
      <c r="AK1484" t="str">
        <f t="shared" si="154"/>
        <v/>
      </c>
      <c r="AL1484" t="s">
        <v>760</v>
      </c>
      <c r="AM1484">
        <v>1</v>
      </c>
      <c r="AN1484">
        <v>1</v>
      </c>
      <c r="AO1484">
        <v>0</v>
      </c>
      <c r="AP1484">
        <v>0</v>
      </c>
      <c r="AQ1484">
        <v>0</v>
      </c>
      <c r="AR1484">
        <v>0</v>
      </c>
      <c r="AS1484">
        <v>0</v>
      </c>
      <c r="AT1484">
        <v>1</v>
      </c>
      <c r="AU1484">
        <v>1</v>
      </c>
      <c r="AV1484">
        <v>1</v>
      </c>
      <c r="AW1484">
        <v>0</v>
      </c>
      <c r="AX1484" s="24">
        <f t="shared" si="152"/>
        <v>1</v>
      </c>
      <c r="AY1484" s="24" t="str">
        <f t="shared" si="152"/>
        <v/>
      </c>
      <c r="AZ1484" s="24" t="str">
        <f t="shared" si="153"/>
        <v/>
      </c>
      <c r="BA1484" s="24" t="str">
        <f t="shared" si="153"/>
        <v/>
      </c>
      <c r="BB1484" s="24" t="str">
        <f t="shared" si="153"/>
        <v/>
      </c>
      <c r="BC1484" s="24" t="str">
        <f t="shared" si="153"/>
        <v/>
      </c>
      <c r="BD1484" s="24" t="str">
        <f t="shared" si="153"/>
        <v/>
      </c>
      <c r="BE1484" s="24" t="str">
        <f t="shared" si="153"/>
        <v/>
      </c>
      <c r="BF1484" s="24" t="str">
        <f t="shared" si="153"/>
        <v/>
      </c>
      <c r="BG1484" s="24" t="str">
        <f t="shared" si="153"/>
        <v/>
      </c>
      <c r="BH1484" s="24" t="str">
        <f t="shared" si="155"/>
        <v/>
      </c>
      <c r="BI1484" s="24">
        <f t="shared" si="153"/>
        <v>1</v>
      </c>
      <c r="BJ1484" s="24" t="str">
        <f t="shared" si="150"/>
        <v/>
      </c>
    </row>
    <row r="1485" spans="1:62" ht="15" customHeight="1" x14ac:dyDescent="0.25">
      <c r="A1485" t="str">
        <f>"1699713818"</f>
        <v>1699713818</v>
      </c>
      <c r="B1485" t="str">
        <f>"03019303"</f>
        <v>03019303</v>
      </c>
      <c r="C1485" t="s">
        <v>2190</v>
      </c>
      <c r="D1485" t="s">
        <v>2191</v>
      </c>
      <c r="E1485" t="s">
        <v>2190</v>
      </c>
      <c r="L1485" t="s">
        <v>247</v>
      </c>
      <c r="M1485" t="s">
        <v>108</v>
      </c>
      <c r="R1485" t="s">
        <v>2190</v>
      </c>
      <c r="W1485" t="s">
        <v>2192</v>
      </c>
      <c r="X1485" t="s">
        <v>121</v>
      </c>
      <c r="Y1485" t="s">
        <v>122</v>
      </c>
      <c r="Z1485" t="s">
        <v>111</v>
      </c>
      <c r="AA1485" t="str">
        <f>"13815-1019"</f>
        <v>13815-1019</v>
      </c>
      <c r="AB1485" t="s">
        <v>123</v>
      </c>
      <c r="AC1485" t="s">
        <v>113</v>
      </c>
      <c r="AD1485" t="s">
        <v>108</v>
      </c>
      <c r="AE1485" t="s">
        <v>114</v>
      </c>
      <c r="AF1485" t="s">
        <v>124</v>
      </c>
      <c r="AG1485" t="s">
        <v>116</v>
      </c>
      <c r="AK1485" t="str">
        <f t="shared" si="154"/>
        <v/>
      </c>
      <c r="AL1485" t="s">
        <v>2191</v>
      </c>
      <c r="AM1485">
        <v>0</v>
      </c>
      <c r="AN1485">
        <v>0</v>
      </c>
      <c r="AO1485">
        <v>0</v>
      </c>
      <c r="AP1485">
        <v>0</v>
      </c>
      <c r="AQ1485">
        <v>0</v>
      </c>
      <c r="AR1485">
        <v>0</v>
      </c>
      <c r="AS1485">
        <v>0</v>
      </c>
      <c r="AT1485">
        <v>0</v>
      </c>
      <c r="AU1485">
        <v>0</v>
      </c>
      <c r="AV1485">
        <v>0</v>
      </c>
      <c r="AW1485">
        <v>0</v>
      </c>
      <c r="AX1485" s="24" t="str">
        <f t="shared" si="152"/>
        <v/>
      </c>
      <c r="AY1485" s="24">
        <f t="shared" si="152"/>
        <v>1</v>
      </c>
      <c r="AZ1485" s="24" t="str">
        <f t="shared" si="153"/>
        <v/>
      </c>
      <c r="BA1485" s="24" t="str">
        <f t="shared" si="153"/>
        <v/>
      </c>
      <c r="BB1485" s="24" t="str">
        <f t="shared" si="153"/>
        <v/>
      </c>
      <c r="BC1485" s="24" t="str">
        <f t="shared" si="153"/>
        <v/>
      </c>
      <c r="BD1485" s="24" t="str">
        <f t="shared" si="153"/>
        <v/>
      </c>
      <c r="BE1485" s="24" t="str">
        <f t="shared" si="153"/>
        <v/>
      </c>
      <c r="BF1485" s="24" t="str">
        <f t="shared" si="153"/>
        <v/>
      </c>
      <c r="BG1485" s="24" t="str">
        <f t="shared" si="153"/>
        <v/>
      </c>
      <c r="BH1485" s="24" t="str">
        <f t="shared" si="155"/>
        <v/>
      </c>
      <c r="BI1485" s="24" t="str">
        <f t="shared" si="153"/>
        <v/>
      </c>
      <c r="BJ1485" s="24" t="str">
        <f t="shared" si="150"/>
        <v/>
      </c>
    </row>
    <row r="1486" spans="1:62" ht="15" customHeight="1" x14ac:dyDescent="0.25">
      <c r="A1486" t="str">
        <f>"1508065632"</f>
        <v>1508065632</v>
      </c>
      <c r="B1486" t="str">
        <f>"03463518"</f>
        <v>03463518</v>
      </c>
      <c r="C1486" t="s">
        <v>197</v>
      </c>
      <c r="D1486" t="s">
        <v>198</v>
      </c>
      <c r="E1486" t="s">
        <v>199</v>
      </c>
      <c r="G1486" t="s">
        <v>177</v>
      </c>
      <c r="H1486" t="s">
        <v>178</v>
      </c>
      <c r="J1486" t="s">
        <v>179</v>
      </c>
      <c r="L1486" t="s">
        <v>138</v>
      </c>
      <c r="M1486" t="s">
        <v>108</v>
      </c>
      <c r="R1486" t="s">
        <v>197</v>
      </c>
      <c r="W1486" t="s">
        <v>199</v>
      </c>
      <c r="X1486" t="s">
        <v>196</v>
      </c>
      <c r="Y1486" t="s">
        <v>181</v>
      </c>
      <c r="Z1486" t="s">
        <v>182</v>
      </c>
      <c r="AA1486" t="str">
        <f>"18840-1625"</f>
        <v>18840-1625</v>
      </c>
      <c r="AB1486" t="s">
        <v>123</v>
      </c>
      <c r="AC1486" t="s">
        <v>113</v>
      </c>
      <c r="AD1486" t="s">
        <v>108</v>
      </c>
      <c r="AE1486" t="s">
        <v>114</v>
      </c>
      <c r="AF1486" t="s">
        <v>115</v>
      </c>
      <c r="AG1486" t="s">
        <v>116</v>
      </c>
      <c r="AK1486" t="str">
        <f t="shared" si="154"/>
        <v/>
      </c>
      <c r="AL1486" t="s">
        <v>198</v>
      </c>
      <c r="AM1486">
        <v>0</v>
      </c>
      <c r="AN1486">
        <v>0</v>
      </c>
      <c r="AO1486">
        <v>0</v>
      </c>
      <c r="AP1486">
        <v>0</v>
      </c>
      <c r="AQ1486">
        <v>0</v>
      </c>
      <c r="AR1486">
        <v>0</v>
      </c>
      <c r="AS1486">
        <v>0</v>
      </c>
      <c r="AT1486">
        <v>0</v>
      </c>
      <c r="AU1486">
        <v>0</v>
      </c>
      <c r="AV1486">
        <v>0</v>
      </c>
      <c r="AW1486">
        <v>0</v>
      </c>
      <c r="AX1486" s="24" t="str">
        <f t="shared" si="152"/>
        <v/>
      </c>
      <c r="AY1486" s="24">
        <f t="shared" si="152"/>
        <v>1</v>
      </c>
      <c r="AZ1486" s="24" t="str">
        <f t="shared" si="153"/>
        <v/>
      </c>
      <c r="BA1486" s="24" t="str">
        <f t="shared" si="153"/>
        <v/>
      </c>
      <c r="BB1486" s="24" t="str">
        <f t="shared" si="153"/>
        <v/>
      </c>
      <c r="BC1486" s="24" t="str">
        <f t="shared" si="153"/>
        <v/>
      </c>
      <c r="BD1486" s="24" t="str">
        <f t="shared" si="153"/>
        <v/>
      </c>
      <c r="BE1486" s="24" t="str">
        <f t="shared" si="153"/>
        <v/>
      </c>
      <c r="BF1486" s="24" t="str">
        <f t="shared" si="153"/>
        <v/>
      </c>
      <c r="BG1486" s="24" t="str">
        <f t="shared" si="153"/>
        <v/>
      </c>
      <c r="BH1486" s="24" t="str">
        <f t="shared" si="155"/>
        <v/>
      </c>
      <c r="BI1486" s="24">
        <f t="shared" si="153"/>
        <v>1</v>
      </c>
      <c r="BJ1486" s="24" t="str">
        <f t="shared" si="150"/>
        <v/>
      </c>
    </row>
    <row r="1487" spans="1:62" ht="15" customHeight="1" x14ac:dyDescent="0.25">
      <c r="A1487" t="str">
        <f>"1205910775"</f>
        <v>1205910775</v>
      </c>
      <c r="B1487" t="str">
        <f>"03165762"</f>
        <v>03165762</v>
      </c>
      <c r="C1487" t="s">
        <v>2193</v>
      </c>
      <c r="D1487" t="s">
        <v>2194</v>
      </c>
      <c r="E1487" t="s">
        <v>2195</v>
      </c>
      <c r="L1487" t="s">
        <v>809</v>
      </c>
      <c r="M1487" t="s">
        <v>108</v>
      </c>
      <c r="R1487" t="s">
        <v>2193</v>
      </c>
      <c r="W1487" t="s">
        <v>2196</v>
      </c>
      <c r="X1487" t="s">
        <v>463</v>
      </c>
      <c r="Y1487" t="s">
        <v>129</v>
      </c>
      <c r="Z1487" t="s">
        <v>111</v>
      </c>
      <c r="AA1487" t="str">
        <f>"13790-0000"</f>
        <v>13790-0000</v>
      </c>
      <c r="AB1487" t="s">
        <v>2197</v>
      </c>
      <c r="AC1487" t="s">
        <v>113</v>
      </c>
      <c r="AD1487" t="s">
        <v>108</v>
      </c>
      <c r="AE1487" t="s">
        <v>114</v>
      </c>
      <c r="AF1487" t="s">
        <v>115</v>
      </c>
      <c r="AG1487" t="s">
        <v>116</v>
      </c>
      <c r="AK1487" t="str">
        <f t="shared" si="154"/>
        <v/>
      </c>
      <c r="AL1487" t="s">
        <v>2194</v>
      </c>
      <c r="AM1487">
        <v>0</v>
      </c>
      <c r="AN1487">
        <v>0</v>
      </c>
      <c r="AO1487">
        <v>0</v>
      </c>
      <c r="AP1487">
        <v>0</v>
      </c>
      <c r="AQ1487">
        <v>0</v>
      </c>
      <c r="AR1487">
        <v>0</v>
      </c>
      <c r="AS1487">
        <v>0</v>
      </c>
      <c r="AT1487">
        <v>0</v>
      </c>
      <c r="AU1487">
        <v>0</v>
      </c>
      <c r="AV1487">
        <v>0</v>
      </c>
      <c r="AW1487">
        <v>0</v>
      </c>
      <c r="AX1487" s="24" t="str">
        <f t="shared" si="152"/>
        <v/>
      </c>
      <c r="AY1487" s="24">
        <f t="shared" si="152"/>
        <v>1</v>
      </c>
      <c r="AZ1487" s="24" t="str">
        <f t="shared" si="153"/>
        <v/>
      </c>
      <c r="BA1487" s="24" t="str">
        <f t="shared" si="153"/>
        <v/>
      </c>
      <c r="BB1487" s="24" t="str">
        <f t="shared" si="153"/>
        <v/>
      </c>
      <c r="BC1487" s="24">
        <f t="shared" si="153"/>
        <v>1</v>
      </c>
      <c r="BD1487" s="24" t="str">
        <f t="shared" si="153"/>
        <v/>
      </c>
      <c r="BE1487" s="24" t="str">
        <f t="shared" si="153"/>
        <v/>
      </c>
      <c r="BF1487" s="24" t="str">
        <f t="shared" si="153"/>
        <v/>
      </c>
      <c r="BG1487" s="24" t="str">
        <f t="shared" si="153"/>
        <v/>
      </c>
      <c r="BH1487" s="24" t="str">
        <f t="shared" si="155"/>
        <v/>
      </c>
      <c r="BI1487" s="24" t="str">
        <f t="shared" si="153"/>
        <v/>
      </c>
      <c r="BJ1487" s="24" t="str">
        <f t="shared" si="150"/>
        <v/>
      </c>
    </row>
    <row r="1488" spans="1:62" ht="15" customHeight="1" x14ac:dyDescent="0.25">
      <c r="A1488" t="str">
        <f>"1770990731"</f>
        <v>1770990731</v>
      </c>
      <c r="B1488" t="str">
        <f>"03946792"</f>
        <v>03946792</v>
      </c>
      <c r="C1488" t="s">
        <v>6861</v>
      </c>
      <c r="D1488" t="s">
        <v>7156</v>
      </c>
      <c r="E1488" t="s">
        <v>7017</v>
      </c>
      <c r="G1488" t="s">
        <v>6330</v>
      </c>
      <c r="H1488" t="s">
        <v>6331</v>
      </c>
      <c r="J1488" t="s">
        <v>6332</v>
      </c>
      <c r="L1488" t="s">
        <v>138</v>
      </c>
      <c r="M1488" t="s">
        <v>108</v>
      </c>
      <c r="R1488" t="s">
        <v>6861</v>
      </c>
      <c r="W1488" t="s">
        <v>7017</v>
      </c>
      <c r="X1488" t="s">
        <v>4040</v>
      </c>
      <c r="Y1488" t="s">
        <v>966</v>
      </c>
      <c r="Z1488" t="s">
        <v>111</v>
      </c>
      <c r="AA1488" t="str">
        <f>"13850-3556"</f>
        <v>13850-3556</v>
      </c>
      <c r="AB1488" t="s">
        <v>123</v>
      </c>
      <c r="AC1488" t="s">
        <v>113</v>
      </c>
      <c r="AD1488" t="s">
        <v>108</v>
      </c>
      <c r="AE1488" t="s">
        <v>114</v>
      </c>
      <c r="AF1488" t="s">
        <v>115</v>
      </c>
      <c r="AG1488" t="s">
        <v>116</v>
      </c>
      <c r="AK1488" t="str">
        <f t="shared" si="154"/>
        <v>YARDE DAVINIA</v>
      </c>
      <c r="AL1488" t="s">
        <v>7156</v>
      </c>
      <c r="AM1488" t="s">
        <v>108</v>
      </c>
      <c r="AN1488" t="s">
        <v>108</v>
      </c>
      <c r="AO1488" t="s">
        <v>108</v>
      </c>
      <c r="AP1488" t="s">
        <v>108</v>
      </c>
      <c r="AQ1488" t="s">
        <v>108</v>
      </c>
      <c r="AR1488" t="s">
        <v>108</v>
      </c>
      <c r="AS1488" t="s">
        <v>108</v>
      </c>
      <c r="AT1488" t="s">
        <v>108</v>
      </c>
      <c r="AU1488" t="s">
        <v>108</v>
      </c>
      <c r="AV1488" t="s">
        <v>108</v>
      </c>
      <c r="AW1488" t="s">
        <v>108</v>
      </c>
      <c r="AX1488" s="24" t="str">
        <f t="shared" si="152"/>
        <v/>
      </c>
      <c r="AY1488" s="24">
        <f t="shared" si="152"/>
        <v>1</v>
      </c>
      <c r="AZ1488" s="24" t="str">
        <f t="shared" si="153"/>
        <v/>
      </c>
      <c r="BA1488" s="24" t="str">
        <f t="shared" si="153"/>
        <v/>
      </c>
      <c r="BB1488" s="24" t="str">
        <f t="shared" si="153"/>
        <v/>
      </c>
      <c r="BC1488" s="24" t="str">
        <f t="shared" si="153"/>
        <v/>
      </c>
      <c r="BD1488" s="24" t="str">
        <f t="shared" si="153"/>
        <v/>
      </c>
      <c r="BE1488" s="24" t="str">
        <f t="shared" si="153"/>
        <v/>
      </c>
      <c r="BF1488" s="24" t="str">
        <f t="shared" si="153"/>
        <v/>
      </c>
      <c r="BG1488" s="24" t="str">
        <f t="shared" si="153"/>
        <v/>
      </c>
      <c r="BH1488" s="24" t="str">
        <f t="shared" si="155"/>
        <v/>
      </c>
      <c r="BI1488" s="24">
        <f t="shared" si="153"/>
        <v>1</v>
      </c>
      <c r="BJ1488" s="24" t="str">
        <f t="shared" si="150"/>
        <v/>
      </c>
    </row>
    <row r="1489" spans="1:62" ht="15" customHeight="1" x14ac:dyDescent="0.25">
      <c r="A1489" t="str">
        <f>"1912103052"</f>
        <v>1912103052</v>
      </c>
      <c r="B1489" t="str">
        <f>"03121813"</f>
        <v>03121813</v>
      </c>
      <c r="C1489" t="s">
        <v>6785</v>
      </c>
      <c r="D1489" t="s">
        <v>7059</v>
      </c>
      <c r="E1489" t="s">
        <v>7060</v>
      </c>
      <c r="G1489" t="s">
        <v>6330</v>
      </c>
      <c r="H1489" t="s">
        <v>6331</v>
      </c>
      <c r="J1489" t="s">
        <v>6332</v>
      </c>
      <c r="L1489" t="s">
        <v>138</v>
      </c>
      <c r="M1489" t="s">
        <v>108</v>
      </c>
      <c r="R1489" t="s">
        <v>6785</v>
      </c>
      <c r="W1489" t="s">
        <v>6917</v>
      </c>
      <c r="X1489" t="s">
        <v>6918</v>
      </c>
      <c r="Y1489" t="s">
        <v>927</v>
      </c>
      <c r="Z1489" t="s">
        <v>111</v>
      </c>
      <c r="AA1489" t="str">
        <f>"14905-1646"</f>
        <v>14905-1646</v>
      </c>
      <c r="AB1489" t="s">
        <v>123</v>
      </c>
      <c r="AC1489" t="s">
        <v>113</v>
      </c>
      <c r="AD1489" t="s">
        <v>108</v>
      </c>
      <c r="AE1489" t="s">
        <v>114</v>
      </c>
      <c r="AF1489" t="s">
        <v>115</v>
      </c>
      <c r="AG1489" t="s">
        <v>116</v>
      </c>
      <c r="AK1489" t="str">
        <f t="shared" si="154"/>
        <v>YARKONI ALON DR.</v>
      </c>
      <c r="AL1489" t="s">
        <v>7059</v>
      </c>
      <c r="AM1489" t="s">
        <v>108</v>
      </c>
      <c r="AN1489" t="s">
        <v>108</v>
      </c>
      <c r="AO1489" t="s">
        <v>108</v>
      </c>
      <c r="AP1489" t="s">
        <v>108</v>
      </c>
      <c r="AQ1489" t="s">
        <v>108</v>
      </c>
      <c r="AR1489" t="s">
        <v>108</v>
      </c>
      <c r="AS1489" t="s">
        <v>108</v>
      </c>
      <c r="AT1489" t="s">
        <v>108</v>
      </c>
      <c r="AU1489" t="s">
        <v>108</v>
      </c>
      <c r="AV1489" t="s">
        <v>108</v>
      </c>
      <c r="AW1489" t="s">
        <v>108</v>
      </c>
      <c r="AX1489" s="24" t="str">
        <f t="shared" si="152"/>
        <v/>
      </c>
      <c r="AY1489" s="24">
        <f t="shared" si="152"/>
        <v>1</v>
      </c>
      <c r="AZ1489" s="24" t="str">
        <f t="shared" si="153"/>
        <v/>
      </c>
      <c r="BA1489" s="24" t="str">
        <f t="shared" si="153"/>
        <v/>
      </c>
      <c r="BB1489" s="24" t="str">
        <f t="shared" si="153"/>
        <v/>
      </c>
      <c r="BC1489" s="24" t="str">
        <f t="shared" si="153"/>
        <v/>
      </c>
      <c r="BD1489" s="24" t="str">
        <f t="shared" si="153"/>
        <v/>
      </c>
      <c r="BE1489" s="24" t="str">
        <f t="shared" si="153"/>
        <v/>
      </c>
      <c r="BF1489" s="24" t="str">
        <f t="shared" si="153"/>
        <v/>
      </c>
      <c r="BG1489" s="24" t="str">
        <f t="shared" si="153"/>
        <v/>
      </c>
      <c r="BH1489" s="24" t="str">
        <f t="shared" si="155"/>
        <v/>
      </c>
      <c r="BI1489" s="24">
        <f t="shared" si="153"/>
        <v>1</v>
      </c>
      <c r="BJ1489" s="24" t="str">
        <f t="shared" si="150"/>
        <v/>
      </c>
    </row>
    <row r="1490" spans="1:62" ht="15" customHeight="1" x14ac:dyDescent="0.25">
      <c r="A1490" t="str">
        <f>"1306179833"</f>
        <v>1306179833</v>
      </c>
      <c r="B1490" t="str">
        <f>"03472002"</f>
        <v>03472002</v>
      </c>
      <c r="C1490" t="s">
        <v>762</v>
      </c>
      <c r="D1490" t="s">
        <v>763</v>
      </c>
      <c r="E1490" t="s">
        <v>764</v>
      </c>
      <c r="G1490" t="s">
        <v>699</v>
      </c>
      <c r="H1490" t="s">
        <v>700</v>
      </c>
      <c r="J1490" t="s">
        <v>701</v>
      </c>
      <c r="L1490" t="s">
        <v>120</v>
      </c>
      <c r="M1490" t="s">
        <v>108</v>
      </c>
      <c r="R1490" t="s">
        <v>765</v>
      </c>
      <c r="W1490" t="s">
        <v>762</v>
      </c>
      <c r="X1490" t="s">
        <v>766</v>
      </c>
      <c r="Y1490" t="s">
        <v>281</v>
      </c>
      <c r="Z1490" t="s">
        <v>111</v>
      </c>
      <c r="AA1490" t="str">
        <f>"13827-0000"</f>
        <v>13827-0000</v>
      </c>
      <c r="AB1490" t="s">
        <v>123</v>
      </c>
      <c r="AC1490" t="s">
        <v>113</v>
      </c>
      <c r="AD1490" t="s">
        <v>108</v>
      </c>
      <c r="AE1490" t="s">
        <v>114</v>
      </c>
      <c r="AF1490" t="s">
        <v>115</v>
      </c>
      <c r="AG1490" t="s">
        <v>116</v>
      </c>
      <c r="AK1490" t="str">
        <f t="shared" si="154"/>
        <v/>
      </c>
      <c r="AL1490" t="s">
        <v>763</v>
      </c>
      <c r="AM1490">
        <v>0</v>
      </c>
      <c r="AN1490">
        <v>0</v>
      </c>
      <c r="AO1490">
        <v>0</v>
      </c>
      <c r="AP1490">
        <v>0</v>
      </c>
      <c r="AQ1490">
        <v>0</v>
      </c>
      <c r="AR1490">
        <v>0</v>
      </c>
      <c r="AS1490">
        <v>0</v>
      </c>
      <c r="AT1490">
        <v>0</v>
      </c>
      <c r="AU1490">
        <v>0</v>
      </c>
      <c r="AV1490">
        <v>0</v>
      </c>
      <c r="AW1490">
        <v>0</v>
      </c>
      <c r="AX1490" s="24">
        <f t="shared" si="152"/>
        <v>1</v>
      </c>
      <c r="AY1490" s="24" t="str">
        <f t="shared" si="152"/>
        <v/>
      </c>
      <c r="AZ1490" s="24" t="str">
        <f t="shared" si="153"/>
        <v/>
      </c>
      <c r="BA1490" s="24" t="str">
        <f t="shared" si="153"/>
        <v/>
      </c>
      <c r="BB1490" s="24" t="str">
        <f t="shared" si="153"/>
        <v/>
      </c>
      <c r="BC1490" s="24" t="str">
        <f t="shared" si="153"/>
        <v/>
      </c>
      <c r="BD1490" s="24" t="str">
        <f t="shared" si="153"/>
        <v/>
      </c>
      <c r="BE1490" s="24" t="str">
        <f t="shared" si="153"/>
        <v/>
      </c>
      <c r="BF1490" s="24" t="str">
        <f t="shared" si="153"/>
        <v/>
      </c>
      <c r="BG1490" s="24" t="str">
        <f t="shared" si="153"/>
        <v/>
      </c>
      <c r="BH1490" s="24" t="str">
        <f t="shared" si="155"/>
        <v/>
      </c>
      <c r="BI1490" s="24">
        <f t="shared" si="153"/>
        <v>1</v>
      </c>
      <c r="BJ1490" s="24" t="str">
        <f t="shared" ref="BJ1490:BJ1502" si="156">IF(ISERROR(FIND(BJ$1,$L1490,1)),"",1)</f>
        <v/>
      </c>
    </row>
    <row r="1491" spans="1:62" ht="15" customHeight="1" x14ac:dyDescent="0.25">
      <c r="C1491" t="s">
        <v>1481</v>
      </c>
      <c r="G1491" t="s">
        <v>1482</v>
      </c>
      <c r="H1491" t="s">
        <v>1483</v>
      </c>
      <c r="J1491" t="s">
        <v>1484</v>
      </c>
      <c r="K1491" t="s">
        <v>780</v>
      </c>
      <c r="L1491" t="s">
        <v>781</v>
      </c>
      <c r="M1491" t="s">
        <v>108</v>
      </c>
      <c r="N1491" t="s">
        <v>1485</v>
      </c>
      <c r="O1491" t="s">
        <v>1096</v>
      </c>
      <c r="P1491" t="s">
        <v>111</v>
      </c>
      <c r="Q1491" t="str">
        <f>"13901"</f>
        <v>13901</v>
      </c>
      <c r="AC1491" t="s">
        <v>113</v>
      </c>
      <c r="AD1491" t="s">
        <v>108</v>
      </c>
      <c r="AE1491" t="s">
        <v>784</v>
      </c>
      <c r="AF1491" t="s">
        <v>115</v>
      </c>
      <c r="AG1491" t="s">
        <v>116</v>
      </c>
      <c r="AK1491" t="str">
        <f t="shared" si="154"/>
        <v>YMCA of Broome County</v>
      </c>
      <c r="AM1491" t="s">
        <v>108</v>
      </c>
      <c r="AN1491" t="s">
        <v>108</v>
      </c>
      <c r="AO1491" t="s">
        <v>108</v>
      </c>
      <c r="AP1491" t="s">
        <v>108</v>
      </c>
      <c r="AQ1491" t="s">
        <v>108</v>
      </c>
      <c r="AR1491" t="s">
        <v>108</v>
      </c>
      <c r="AS1491" t="s">
        <v>108</v>
      </c>
      <c r="AT1491" t="s">
        <v>108</v>
      </c>
      <c r="AU1491" t="s">
        <v>108</v>
      </c>
      <c r="AV1491" t="s">
        <v>108</v>
      </c>
      <c r="AW1491" t="s">
        <v>108</v>
      </c>
      <c r="AX1491" s="24" t="str">
        <f t="shared" si="152"/>
        <v/>
      </c>
      <c r="AY1491" s="24" t="str">
        <f t="shared" si="152"/>
        <v/>
      </c>
      <c r="AZ1491" s="24" t="str">
        <f t="shared" si="153"/>
        <v/>
      </c>
      <c r="BA1491" s="24" t="str">
        <f t="shared" si="153"/>
        <v/>
      </c>
      <c r="BB1491" s="24" t="str">
        <f t="shared" si="153"/>
        <v/>
      </c>
      <c r="BC1491" s="24" t="str">
        <f t="shared" si="153"/>
        <v/>
      </c>
      <c r="BD1491" s="24" t="str">
        <f t="shared" si="153"/>
        <v/>
      </c>
      <c r="BE1491" s="24" t="str">
        <f t="shared" si="153"/>
        <v/>
      </c>
      <c r="BF1491" s="24" t="str">
        <f t="shared" si="153"/>
        <v/>
      </c>
      <c r="BG1491" s="24" t="str">
        <f t="shared" si="153"/>
        <v/>
      </c>
      <c r="BH1491" s="24">
        <f t="shared" si="155"/>
        <v>1</v>
      </c>
      <c r="BI1491" s="24" t="str">
        <f t="shared" si="153"/>
        <v/>
      </c>
      <c r="BJ1491" s="24" t="str">
        <f t="shared" si="156"/>
        <v/>
      </c>
    </row>
    <row r="1492" spans="1:62" ht="15" customHeight="1" x14ac:dyDescent="0.25">
      <c r="A1492" t="str">
        <f>"1114913506"</f>
        <v>1114913506</v>
      </c>
      <c r="B1492" t="str">
        <f>"01227774"</f>
        <v>01227774</v>
      </c>
      <c r="C1492" t="s">
        <v>2198</v>
      </c>
      <c r="D1492" t="s">
        <v>2199</v>
      </c>
      <c r="E1492" t="s">
        <v>2200</v>
      </c>
      <c r="G1492" t="s">
        <v>6330</v>
      </c>
      <c r="H1492" t="s">
        <v>6331</v>
      </c>
      <c r="J1492" t="s">
        <v>6332</v>
      </c>
      <c r="L1492" t="s">
        <v>120</v>
      </c>
      <c r="M1492" t="s">
        <v>108</v>
      </c>
      <c r="R1492" t="s">
        <v>2198</v>
      </c>
      <c r="W1492" t="s">
        <v>2200</v>
      </c>
      <c r="X1492" t="s">
        <v>2201</v>
      </c>
      <c r="Y1492" t="s">
        <v>877</v>
      </c>
      <c r="Z1492" t="s">
        <v>111</v>
      </c>
      <c r="AA1492" t="str">
        <f>"13865-4126"</f>
        <v>13865-4126</v>
      </c>
      <c r="AB1492" t="s">
        <v>123</v>
      </c>
      <c r="AC1492" t="s">
        <v>113</v>
      </c>
      <c r="AD1492" t="s">
        <v>108</v>
      </c>
      <c r="AE1492" t="s">
        <v>114</v>
      </c>
      <c r="AF1492" t="s">
        <v>115</v>
      </c>
      <c r="AG1492" t="s">
        <v>116</v>
      </c>
      <c r="AK1492" t="str">
        <f t="shared" si="154"/>
        <v/>
      </c>
      <c r="AL1492" t="s">
        <v>2199</v>
      </c>
      <c r="AM1492">
        <v>1</v>
      </c>
      <c r="AN1492">
        <v>1</v>
      </c>
      <c r="AO1492">
        <v>0</v>
      </c>
      <c r="AP1492">
        <v>1</v>
      </c>
      <c r="AQ1492">
        <v>1</v>
      </c>
      <c r="AR1492">
        <v>1</v>
      </c>
      <c r="AS1492">
        <v>0</v>
      </c>
      <c r="AT1492">
        <v>0</v>
      </c>
      <c r="AU1492">
        <v>0</v>
      </c>
      <c r="AV1492">
        <v>0</v>
      </c>
      <c r="AW1492">
        <v>0</v>
      </c>
      <c r="AX1492" s="24">
        <f t="shared" si="152"/>
        <v>1</v>
      </c>
      <c r="AY1492" s="24" t="str">
        <f t="shared" si="152"/>
        <v/>
      </c>
      <c r="AZ1492" s="24" t="str">
        <f t="shared" si="153"/>
        <v/>
      </c>
      <c r="BA1492" s="24" t="str">
        <f t="shared" si="153"/>
        <v/>
      </c>
      <c r="BB1492" s="24" t="str">
        <f t="shared" si="153"/>
        <v/>
      </c>
      <c r="BC1492" s="24" t="str">
        <f t="shared" si="153"/>
        <v/>
      </c>
      <c r="BD1492" s="24" t="str">
        <f t="shared" si="153"/>
        <v/>
      </c>
      <c r="BE1492" s="24" t="str">
        <f t="shared" si="153"/>
        <v/>
      </c>
      <c r="BF1492" s="24" t="str">
        <f t="shared" ref="AZ1492:BI1502" si="157">IF(ISERROR(FIND(BF$1,$L1492,1)),"",1)</f>
        <v/>
      </c>
      <c r="BG1492" s="24" t="str">
        <f t="shared" si="157"/>
        <v/>
      </c>
      <c r="BH1492" s="24" t="str">
        <f t="shared" si="155"/>
        <v/>
      </c>
      <c r="BI1492" s="24">
        <f t="shared" si="157"/>
        <v>1</v>
      </c>
      <c r="BJ1492" s="24" t="str">
        <f t="shared" si="156"/>
        <v/>
      </c>
    </row>
    <row r="1493" spans="1:62" ht="15" customHeight="1" x14ac:dyDescent="0.25">
      <c r="A1493" t="str">
        <f>"1548204696"</f>
        <v>1548204696</v>
      </c>
      <c r="B1493" t="str">
        <f>"00957442"</f>
        <v>00957442</v>
      </c>
      <c r="C1493" t="s">
        <v>2202</v>
      </c>
      <c r="D1493" t="s">
        <v>2203</v>
      </c>
      <c r="E1493" t="s">
        <v>2204</v>
      </c>
      <c r="L1493" t="s">
        <v>247</v>
      </c>
      <c r="M1493" t="s">
        <v>108</v>
      </c>
      <c r="R1493" t="s">
        <v>2202</v>
      </c>
      <c r="W1493" t="s">
        <v>2204</v>
      </c>
      <c r="X1493" t="s">
        <v>2076</v>
      </c>
      <c r="Y1493" t="s">
        <v>129</v>
      </c>
      <c r="Z1493" t="s">
        <v>111</v>
      </c>
      <c r="AA1493" t="str">
        <f>"13790-2101"</f>
        <v>13790-2101</v>
      </c>
      <c r="AB1493" t="s">
        <v>123</v>
      </c>
      <c r="AC1493" t="s">
        <v>113</v>
      </c>
      <c r="AD1493" t="s">
        <v>108</v>
      </c>
      <c r="AE1493" t="s">
        <v>114</v>
      </c>
      <c r="AF1493" t="s">
        <v>115</v>
      </c>
      <c r="AG1493" t="s">
        <v>116</v>
      </c>
      <c r="AK1493" t="str">
        <f t="shared" si="154"/>
        <v/>
      </c>
      <c r="AL1493" t="s">
        <v>2203</v>
      </c>
      <c r="AM1493">
        <v>1</v>
      </c>
      <c r="AN1493">
        <v>1</v>
      </c>
      <c r="AO1493">
        <v>0</v>
      </c>
      <c r="AP1493">
        <v>1</v>
      </c>
      <c r="AQ1493">
        <v>1</v>
      </c>
      <c r="AR1493">
        <v>0</v>
      </c>
      <c r="AS1493">
        <v>0</v>
      </c>
      <c r="AT1493">
        <v>0</v>
      </c>
      <c r="AU1493">
        <v>0</v>
      </c>
      <c r="AV1493">
        <v>0</v>
      </c>
      <c r="AW1493">
        <v>1</v>
      </c>
      <c r="AX1493" s="24" t="str">
        <f t="shared" si="152"/>
        <v/>
      </c>
      <c r="AY1493" s="24">
        <f t="shared" si="152"/>
        <v>1</v>
      </c>
      <c r="AZ1493" s="24" t="str">
        <f t="shared" si="157"/>
        <v/>
      </c>
      <c r="BA1493" s="24" t="str">
        <f t="shared" si="157"/>
        <v/>
      </c>
      <c r="BB1493" s="24" t="str">
        <f t="shared" si="157"/>
        <v/>
      </c>
      <c r="BC1493" s="24" t="str">
        <f t="shared" si="157"/>
        <v/>
      </c>
      <c r="BD1493" s="24" t="str">
        <f t="shared" si="157"/>
        <v/>
      </c>
      <c r="BE1493" s="24" t="str">
        <f t="shared" si="157"/>
        <v/>
      </c>
      <c r="BF1493" s="24" t="str">
        <f t="shared" si="157"/>
        <v/>
      </c>
      <c r="BG1493" s="24" t="str">
        <f t="shared" si="157"/>
        <v/>
      </c>
      <c r="BH1493" s="24" t="str">
        <f t="shared" si="155"/>
        <v/>
      </c>
      <c r="BI1493" s="24" t="str">
        <f t="shared" si="157"/>
        <v/>
      </c>
      <c r="BJ1493" s="24" t="str">
        <f t="shared" si="156"/>
        <v/>
      </c>
    </row>
    <row r="1494" spans="1:62" ht="15" customHeight="1" x14ac:dyDescent="0.25">
      <c r="A1494" t="str">
        <f>"1669543682"</f>
        <v>1669543682</v>
      </c>
      <c r="B1494" t="str">
        <f>"01982443"</f>
        <v>01982443</v>
      </c>
      <c r="C1494" t="s">
        <v>2205</v>
      </c>
      <c r="D1494" t="s">
        <v>2206</v>
      </c>
      <c r="E1494" t="s">
        <v>2207</v>
      </c>
      <c r="G1494" t="s">
        <v>815</v>
      </c>
      <c r="H1494" t="s">
        <v>2208</v>
      </c>
      <c r="J1494" t="s">
        <v>817</v>
      </c>
      <c r="L1494" t="s">
        <v>120</v>
      </c>
      <c r="M1494" t="s">
        <v>108</v>
      </c>
      <c r="R1494" t="s">
        <v>2205</v>
      </c>
      <c r="W1494" t="s">
        <v>2207</v>
      </c>
      <c r="Y1494" t="s">
        <v>110</v>
      </c>
      <c r="Z1494" t="s">
        <v>111</v>
      </c>
      <c r="AA1494" t="str">
        <f>"13905-4176"</f>
        <v>13905-4176</v>
      </c>
      <c r="AB1494" t="s">
        <v>123</v>
      </c>
      <c r="AC1494" t="s">
        <v>113</v>
      </c>
      <c r="AD1494" t="s">
        <v>108</v>
      </c>
      <c r="AE1494" t="s">
        <v>114</v>
      </c>
      <c r="AF1494" t="s">
        <v>115</v>
      </c>
      <c r="AG1494" t="s">
        <v>116</v>
      </c>
      <c r="AK1494" t="str">
        <f t="shared" si="154"/>
        <v/>
      </c>
      <c r="AL1494" t="s">
        <v>2206</v>
      </c>
      <c r="AM1494">
        <v>1</v>
      </c>
      <c r="AN1494">
        <v>1</v>
      </c>
      <c r="AO1494">
        <v>0</v>
      </c>
      <c r="AP1494">
        <v>1</v>
      </c>
      <c r="AQ1494">
        <v>1</v>
      </c>
      <c r="AR1494">
        <v>0</v>
      </c>
      <c r="AS1494">
        <v>0</v>
      </c>
      <c r="AT1494">
        <v>1</v>
      </c>
      <c r="AU1494">
        <v>0</v>
      </c>
      <c r="AV1494">
        <v>0</v>
      </c>
      <c r="AW1494">
        <v>1</v>
      </c>
      <c r="AX1494" s="24">
        <f t="shared" si="152"/>
        <v>1</v>
      </c>
      <c r="AY1494" s="24" t="str">
        <f t="shared" si="152"/>
        <v/>
      </c>
      <c r="AZ1494" s="24" t="str">
        <f t="shared" si="157"/>
        <v/>
      </c>
      <c r="BA1494" s="24" t="str">
        <f t="shared" si="157"/>
        <v/>
      </c>
      <c r="BB1494" s="24" t="str">
        <f t="shared" si="157"/>
        <v/>
      </c>
      <c r="BC1494" s="24" t="str">
        <f t="shared" si="157"/>
        <v/>
      </c>
      <c r="BD1494" s="24" t="str">
        <f t="shared" si="157"/>
        <v/>
      </c>
      <c r="BE1494" s="24" t="str">
        <f t="shared" si="157"/>
        <v/>
      </c>
      <c r="BF1494" s="24" t="str">
        <f t="shared" si="157"/>
        <v/>
      </c>
      <c r="BG1494" s="24" t="str">
        <f t="shared" si="157"/>
        <v/>
      </c>
      <c r="BH1494" s="24" t="str">
        <f t="shared" si="155"/>
        <v/>
      </c>
      <c r="BI1494" s="24">
        <f t="shared" si="157"/>
        <v>1</v>
      </c>
      <c r="BJ1494" s="24" t="str">
        <f t="shared" si="156"/>
        <v/>
      </c>
    </row>
    <row r="1495" spans="1:62" ht="15" customHeight="1" x14ac:dyDescent="0.25">
      <c r="A1495" t="str">
        <f>"1316202450"</f>
        <v>1316202450</v>
      </c>
      <c r="B1495" t="str">
        <f>"04239850"</f>
        <v>04239850</v>
      </c>
      <c r="C1495" t="s">
        <v>6526</v>
      </c>
      <c r="D1495" t="s">
        <v>6527</v>
      </c>
      <c r="E1495" t="s">
        <v>6528</v>
      </c>
      <c r="G1495" t="s">
        <v>1352</v>
      </c>
      <c r="H1495" t="s">
        <v>1683</v>
      </c>
      <c r="J1495" t="s">
        <v>1354</v>
      </c>
      <c r="L1495" t="s">
        <v>442</v>
      </c>
      <c r="M1495" t="s">
        <v>108</v>
      </c>
      <c r="R1495" t="s">
        <v>6529</v>
      </c>
      <c r="W1495" t="s">
        <v>6528</v>
      </c>
      <c r="X1495" t="s">
        <v>3753</v>
      </c>
      <c r="Y1495" t="s">
        <v>239</v>
      </c>
      <c r="Z1495" t="s">
        <v>111</v>
      </c>
      <c r="AA1495" t="str">
        <f>"13045-1637"</f>
        <v>13045-1637</v>
      </c>
      <c r="AB1495" t="s">
        <v>123</v>
      </c>
      <c r="AC1495" t="s">
        <v>113</v>
      </c>
      <c r="AD1495" t="s">
        <v>108</v>
      </c>
      <c r="AE1495" t="s">
        <v>114</v>
      </c>
      <c r="AF1495" t="s">
        <v>142</v>
      </c>
      <c r="AG1495" t="s">
        <v>116</v>
      </c>
      <c r="AK1495" t="str">
        <f t="shared" si="154"/>
        <v>Yun Joanna</v>
      </c>
      <c r="AL1495" t="s">
        <v>6527</v>
      </c>
      <c r="AM1495" t="s">
        <v>108</v>
      </c>
      <c r="AN1495" t="s">
        <v>108</v>
      </c>
      <c r="AO1495" t="s">
        <v>108</v>
      </c>
      <c r="AP1495" t="s">
        <v>108</v>
      </c>
      <c r="AQ1495" t="s">
        <v>108</v>
      </c>
      <c r="AR1495" t="s">
        <v>108</v>
      </c>
      <c r="AS1495" t="s">
        <v>108</v>
      </c>
      <c r="AT1495" t="s">
        <v>108</v>
      </c>
      <c r="AU1495" t="s">
        <v>108</v>
      </c>
      <c r="AV1495" t="s">
        <v>108</v>
      </c>
      <c r="AW1495" t="s">
        <v>108</v>
      </c>
      <c r="AX1495" s="24">
        <f t="shared" si="152"/>
        <v>1</v>
      </c>
      <c r="AY1495" s="24" t="str">
        <f t="shared" si="152"/>
        <v/>
      </c>
      <c r="AZ1495" s="24" t="str">
        <f t="shared" si="157"/>
        <v/>
      </c>
      <c r="BA1495" s="24" t="str">
        <f t="shared" si="157"/>
        <v/>
      </c>
      <c r="BB1495" s="24" t="str">
        <f t="shared" si="157"/>
        <v/>
      </c>
      <c r="BC1495" s="24" t="str">
        <f t="shared" si="157"/>
        <v/>
      </c>
      <c r="BD1495" s="24" t="str">
        <f t="shared" si="157"/>
        <v/>
      </c>
      <c r="BE1495" s="24" t="str">
        <f t="shared" si="157"/>
        <v/>
      </c>
      <c r="BF1495" s="24" t="str">
        <f t="shared" si="157"/>
        <v/>
      </c>
      <c r="BG1495" s="24" t="str">
        <f t="shared" si="157"/>
        <v/>
      </c>
      <c r="BH1495" s="24" t="str">
        <f t="shared" si="155"/>
        <v/>
      </c>
      <c r="BI1495" s="24" t="str">
        <f t="shared" si="157"/>
        <v/>
      </c>
      <c r="BJ1495" s="24" t="str">
        <f t="shared" si="156"/>
        <v/>
      </c>
    </row>
    <row r="1496" spans="1:62" ht="15" customHeight="1" x14ac:dyDescent="0.25">
      <c r="A1496" t="str">
        <f>"1023177664"</f>
        <v>1023177664</v>
      </c>
      <c r="B1496" t="str">
        <f>"02670157"</f>
        <v>02670157</v>
      </c>
      <c r="C1496" t="s">
        <v>3146</v>
      </c>
      <c r="D1496" t="s">
        <v>3147</v>
      </c>
      <c r="E1496" t="s">
        <v>3148</v>
      </c>
      <c r="G1496" t="s">
        <v>229</v>
      </c>
      <c r="H1496" t="s">
        <v>230</v>
      </c>
      <c r="J1496" t="s">
        <v>231</v>
      </c>
      <c r="L1496" t="s">
        <v>138</v>
      </c>
      <c r="M1496" t="s">
        <v>108</v>
      </c>
      <c r="R1496" t="s">
        <v>3149</v>
      </c>
      <c r="W1496" t="s">
        <v>3148</v>
      </c>
      <c r="X1496" t="s">
        <v>3150</v>
      </c>
      <c r="Y1496" t="s">
        <v>592</v>
      </c>
      <c r="Z1496" t="s">
        <v>111</v>
      </c>
      <c r="AA1496" t="str">
        <f>"10461-1138"</f>
        <v>10461-1138</v>
      </c>
      <c r="AB1496" t="s">
        <v>123</v>
      </c>
      <c r="AC1496" t="s">
        <v>113</v>
      </c>
      <c r="AD1496" t="s">
        <v>108</v>
      </c>
      <c r="AE1496" t="s">
        <v>114</v>
      </c>
      <c r="AF1496" t="s">
        <v>115</v>
      </c>
      <c r="AG1496" t="s">
        <v>116</v>
      </c>
      <c r="AK1496" t="str">
        <f t="shared" si="154"/>
        <v/>
      </c>
      <c r="AL1496" t="s">
        <v>3147</v>
      </c>
      <c r="AM1496">
        <v>0</v>
      </c>
      <c r="AN1496">
        <v>0</v>
      </c>
      <c r="AO1496">
        <v>0</v>
      </c>
      <c r="AP1496">
        <v>0</v>
      </c>
      <c r="AQ1496">
        <v>0</v>
      </c>
      <c r="AR1496">
        <v>0</v>
      </c>
      <c r="AS1496">
        <v>0</v>
      </c>
      <c r="AT1496">
        <v>0</v>
      </c>
      <c r="AU1496">
        <v>0</v>
      </c>
      <c r="AV1496">
        <v>0</v>
      </c>
      <c r="AW1496">
        <v>0</v>
      </c>
      <c r="AX1496" s="24" t="str">
        <f t="shared" si="152"/>
        <v/>
      </c>
      <c r="AY1496" s="24">
        <f t="shared" si="152"/>
        <v>1</v>
      </c>
      <c r="AZ1496" s="24" t="str">
        <f t="shared" si="157"/>
        <v/>
      </c>
      <c r="BA1496" s="24" t="str">
        <f t="shared" si="157"/>
        <v/>
      </c>
      <c r="BB1496" s="24" t="str">
        <f t="shared" si="157"/>
        <v/>
      </c>
      <c r="BC1496" s="24" t="str">
        <f t="shared" si="157"/>
        <v/>
      </c>
      <c r="BD1496" s="24" t="str">
        <f t="shared" si="157"/>
        <v/>
      </c>
      <c r="BE1496" s="24" t="str">
        <f t="shared" si="157"/>
        <v/>
      </c>
      <c r="BF1496" s="24" t="str">
        <f t="shared" si="157"/>
        <v/>
      </c>
      <c r="BG1496" s="24" t="str">
        <f t="shared" si="157"/>
        <v/>
      </c>
      <c r="BH1496" s="24" t="str">
        <f t="shared" si="155"/>
        <v/>
      </c>
      <c r="BI1496" s="24">
        <f t="shared" si="157"/>
        <v>1</v>
      </c>
      <c r="BJ1496" s="24" t="str">
        <f t="shared" si="156"/>
        <v/>
      </c>
    </row>
    <row r="1497" spans="1:62" ht="15" customHeight="1" x14ac:dyDescent="0.25">
      <c r="C1497" t="s">
        <v>5810</v>
      </c>
      <c r="G1497" t="s">
        <v>5811</v>
      </c>
      <c r="J1497" t="s">
        <v>5812</v>
      </c>
      <c r="K1497" t="s">
        <v>1101</v>
      </c>
      <c r="L1497" t="s">
        <v>781</v>
      </c>
      <c r="M1497" t="s">
        <v>108</v>
      </c>
      <c r="N1497" t="s">
        <v>5813</v>
      </c>
      <c r="O1497" t="s">
        <v>1096</v>
      </c>
      <c r="P1497" t="s">
        <v>111</v>
      </c>
      <c r="Q1497" t="str">
        <f>"13901"</f>
        <v>13901</v>
      </c>
      <c r="AC1497" t="s">
        <v>113</v>
      </c>
      <c r="AD1497" t="s">
        <v>108</v>
      </c>
      <c r="AE1497" t="s">
        <v>784</v>
      </c>
      <c r="AF1497" t="s">
        <v>115</v>
      </c>
      <c r="AG1497" t="s">
        <v>116</v>
      </c>
      <c r="AK1497" t="str">
        <f t="shared" si="154"/>
        <v/>
      </c>
      <c r="AL1497" t="s">
        <v>5810</v>
      </c>
      <c r="AM1497">
        <v>1</v>
      </c>
      <c r="AN1497">
        <v>1</v>
      </c>
      <c r="AP1497">
        <v>1</v>
      </c>
      <c r="AQ1497">
        <v>1</v>
      </c>
      <c r="AV1497">
        <v>1</v>
      </c>
      <c r="AW1497" t="s">
        <v>108</v>
      </c>
      <c r="AX1497" s="24" t="str">
        <f t="shared" si="152"/>
        <v/>
      </c>
      <c r="AY1497" s="24" t="str">
        <f t="shared" si="152"/>
        <v/>
      </c>
      <c r="AZ1497" s="24" t="str">
        <f t="shared" si="157"/>
        <v/>
      </c>
      <c r="BA1497" s="24" t="str">
        <f t="shared" si="157"/>
        <v/>
      </c>
      <c r="BB1497" s="24" t="str">
        <f t="shared" si="157"/>
        <v/>
      </c>
      <c r="BC1497" s="24" t="str">
        <f t="shared" si="157"/>
        <v/>
      </c>
      <c r="BD1497" s="24" t="str">
        <f t="shared" si="157"/>
        <v/>
      </c>
      <c r="BE1497" s="24" t="str">
        <f t="shared" si="157"/>
        <v/>
      </c>
      <c r="BF1497" s="24" t="str">
        <f t="shared" si="157"/>
        <v/>
      </c>
      <c r="BG1497" s="24" t="str">
        <f t="shared" si="157"/>
        <v/>
      </c>
      <c r="BH1497" s="24">
        <f t="shared" si="155"/>
        <v>1</v>
      </c>
      <c r="BI1497" s="24" t="str">
        <f t="shared" si="157"/>
        <v/>
      </c>
      <c r="BJ1497" s="24" t="str">
        <f t="shared" si="156"/>
        <v/>
      </c>
    </row>
    <row r="1498" spans="1:62" ht="15" customHeight="1" x14ac:dyDescent="0.25">
      <c r="A1498" t="str">
        <f>"1710954193"</f>
        <v>1710954193</v>
      </c>
      <c r="B1498" t="str">
        <f>"00504169"</f>
        <v>00504169</v>
      </c>
      <c r="C1498" t="s">
        <v>1838</v>
      </c>
      <c r="D1498" t="s">
        <v>1839</v>
      </c>
      <c r="E1498" t="s">
        <v>1840</v>
      </c>
      <c r="G1498" t="s">
        <v>815</v>
      </c>
      <c r="H1498" t="s">
        <v>816</v>
      </c>
      <c r="J1498" t="s">
        <v>817</v>
      </c>
      <c r="L1498" t="s">
        <v>120</v>
      </c>
      <c r="M1498" t="s">
        <v>108</v>
      </c>
      <c r="R1498" t="s">
        <v>1838</v>
      </c>
      <c r="W1498" t="s">
        <v>1840</v>
      </c>
      <c r="X1498" t="s">
        <v>1841</v>
      </c>
      <c r="Y1498" t="s">
        <v>110</v>
      </c>
      <c r="Z1498" t="s">
        <v>111</v>
      </c>
      <c r="AA1498" t="str">
        <f>"13903-1674"</f>
        <v>13903-1674</v>
      </c>
      <c r="AB1498" t="s">
        <v>123</v>
      </c>
      <c r="AC1498" t="s">
        <v>113</v>
      </c>
      <c r="AD1498" t="s">
        <v>108</v>
      </c>
      <c r="AE1498" t="s">
        <v>114</v>
      </c>
      <c r="AF1498" t="s">
        <v>115</v>
      </c>
      <c r="AG1498" t="s">
        <v>116</v>
      </c>
      <c r="AK1498" t="str">
        <f t="shared" si="154"/>
        <v/>
      </c>
      <c r="AL1498" t="s">
        <v>1839</v>
      </c>
      <c r="AM1498">
        <v>1</v>
      </c>
      <c r="AN1498">
        <v>1</v>
      </c>
      <c r="AO1498">
        <v>0</v>
      </c>
      <c r="AP1498">
        <v>1</v>
      </c>
      <c r="AQ1498">
        <v>1</v>
      </c>
      <c r="AR1498">
        <v>0</v>
      </c>
      <c r="AS1498">
        <v>0</v>
      </c>
      <c r="AT1498">
        <v>1</v>
      </c>
      <c r="AU1498">
        <v>0</v>
      </c>
      <c r="AV1498">
        <v>0</v>
      </c>
      <c r="AW1498">
        <v>1</v>
      </c>
      <c r="AX1498" s="24">
        <f t="shared" si="152"/>
        <v>1</v>
      </c>
      <c r="AY1498" s="24" t="str">
        <f t="shared" si="152"/>
        <v/>
      </c>
      <c r="AZ1498" s="24" t="str">
        <f t="shared" si="157"/>
        <v/>
      </c>
      <c r="BA1498" s="24" t="str">
        <f t="shared" si="157"/>
        <v/>
      </c>
      <c r="BB1498" s="24" t="str">
        <f t="shared" si="157"/>
        <v/>
      </c>
      <c r="BC1498" s="24" t="str">
        <f t="shared" si="157"/>
        <v/>
      </c>
      <c r="BD1498" s="24" t="str">
        <f t="shared" si="157"/>
        <v/>
      </c>
      <c r="BE1498" s="24" t="str">
        <f t="shared" si="157"/>
        <v/>
      </c>
      <c r="BF1498" s="24" t="str">
        <f t="shared" si="157"/>
        <v/>
      </c>
      <c r="BG1498" s="24" t="str">
        <f t="shared" si="157"/>
        <v/>
      </c>
      <c r="BH1498" s="24" t="str">
        <f t="shared" si="155"/>
        <v/>
      </c>
      <c r="BI1498" s="24">
        <f t="shared" si="157"/>
        <v>1</v>
      </c>
      <c r="BJ1498" s="24" t="str">
        <f t="shared" si="156"/>
        <v/>
      </c>
    </row>
    <row r="1499" spans="1:62" ht="15" customHeight="1" x14ac:dyDescent="0.25">
      <c r="A1499" t="str">
        <f>"1144596271"</f>
        <v>1144596271</v>
      </c>
      <c r="B1499" t="str">
        <f>"03500043"</f>
        <v>03500043</v>
      </c>
      <c r="C1499" t="s">
        <v>767</v>
      </c>
      <c r="D1499" t="s">
        <v>768</v>
      </c>
      <c r="E1499" t="s">
        <v>767</v>
      </c>
      <c r="G1499" t="s">
        <v>699</v>
      </c>
      <c r="H1499" t="s">
        <v>700</v>
      </c>
      <c r="J1499" t="s">
        <v>701</v>
      </c>
      <c r="L1499" t="s">
        <v>120</v>
      </c>
      <c r="M1499" t="s">
        <v>108</v>
      </c>
      <c r="R1499" t="s">
        <v>767</v>
      </c>
      <c r="W1499" t="s">
        <v>767</v>
      </c>
      <c r="X1499" t="s">
        <v>196</v>
      </c>
      <c r="Y1499" t="s">
        <v>181</v>
      </c>
      <c r="Z1499" t="s">
        <v>182</v>
      </c>
      <c r="AA1499" t="str">
        <f>"18840-1625"</f>
        <v>18840-1625</v>
      </c>
      <c r="AB1499" t="s">
        <v>123</v>
      </c>
      <c r="AC1499" t="s">
        <v>113</v>
      </c>
      <c r="AD1499" t="s">
        <v>108</v>
      </c>
      <c r="AE1499" t="s">
        <v>114</v>
      </c>
      <c r="AF1499" t="s">
        <v>115</v>
      </c>
      <c r="AG1499" t="s">
        <v>116</v>
      </c>
      <c r="AK1499" t="str">
        <f t="shared" si="154"/>
        <v/>
      </c>
      <c r="AL1499" t="s">
        <v>768</v>
      </c>
      <c r="AM1499">
        <v>1</v>
      </c>
      <c r="AN1499">
        <v>1</v>
      </c>
      <c r="AO1499">
        <v>0</v>
      </c>
      <c r="AP1499">
        <v>0</v>
      </c>
      <c r="AQ1499">
        <v>0</v>
      </c>
      <c r="AR1499">
        <v>0</v>
      </c>
      <c r="AS1499">
        <v>0</v>
      </c>
      <c r="AT1499">
        <v>1</v>
      </c>
      <c r="AU1499">
        <v>1</v>
      </c>
      <c r="AV1499">
        <v>1</v>
      </c>
      <c r="AW1499">
        <v>0</v>
      </c>
      <c r="AX1499" s="24">
        <f t="shared" si="152"/>
        <v>1</v>
      </c>
      <c r="AY1499" s="24" t="str">
        <f t="shared" si="152"/>
        <v/>
      </c>
      <c r="AZ1499" s="24" t="str">
        <f t="shared" si="157"/>
        <v/>
      </c>
      <c r="BA1499" s="24" t="str">
        <f t="shared" si="157"/>
        <v/>
      </c>
      <c r="BB1499" s="24" t="str">
        <f t="shared" si="157"/>
        <v/>
      </c>
      <c r="BC1499" s="24" t="str">
        <f t="shared" si="157"/>
        <v/>
      </c>
      <c r="BD1499" s="24" t="str">
        <f t="shared" si="157"/>
        <v/>
      </c>
      <c r="BE1499" s="24" t="str">
        <f t="shared" si="157"/>
        <v/>
      </c>
      <c r="BF1499" s="24" t="str">
        <f t="shared" si="157"/>
        <v/>
      </c>
      <c r="BG1499" s="24" t="str">
        <f t="shared" si="157"/>
        <v/>
      </c>
      <c r="BH1499" s="24" t="str">
        <f t="shared" si="155"/>
        <v/>
      </c>
      <c r="BI1499" s="24">
        <f t="shared" si="157"/>
        <v>1</v>
      </c>
      <c r="BJ1499" s="24" t="str">
        <f t="shared" si="156"/>
        <v/>
      </c>
    </row>
    <row r="1500" spans="1:62" ht="15" customHeight="1" x14ac:dyDescent="0.25">
      <c r="A1500" t="str">
        <f>"1033119136"</f>
        <v>1033119136</v>
      </c>
      <c r="B1500" t="str">
        <f>"01609943"</f>
        <v>01609943</v>
      </c>
      <c r="C1500" t="s">
        <v>2209</v>
      </c>
      <c r="D1500" t="s">
        <v>2210</v>
      </c>
      <c r="E1500" t="s">
        <v>2211</v>
      </c>
      <c r="G1500" t="s">
        <v>6330</v>
      </c>
      <c r="H1500" t="s">
        <v>6331</v>
      </c>
      <c r="J1500" t="s">
        <v>6332</v>
      </c>
      <c r="L1500" t="s">
        <v>120</v>
      </c>
      <c r="M1500" t="s">
        <v>108</v>
      </c>
      <c r="R1500" t="s">
        <v>2209</v>
      </c>
      <c r="W1500" t="s">
        <v>2211</v>
      </c>
      <c r="X1500" t="s">
        <v>2212</v>
      </c>
      <c r="Y1500" t="s">
        <v>129</v>
      </c>
      <c r="Z1500" t="s">
        <v>111</v>
      </c>
      <c r="AA1500" t="str">
        <f>"13790-2597"</f>
        <v>13790-2597</v>
      </c>
      <c r="AB1500" t="s">
        <v>123</v>
      </c>
      <c r="AC1500" t="s">
        <v>113</v>
      </c>
      <c r="AD1500" t="s">
        <v>108</v>
      </c>
      <c r="AE1500" t="s">
        <v>114</v>
      </c>
      <c r="AF1500" t="s">
        <v>115</v>
      </c>
      <c r="AG1500" t="s">
        <v>116</v>
      </c>
      <c r="AK1500" t="str">
        <f t="shared" si="154"/>
        <v/>
      </c>
      <c r="AL1500" t="s">
        <v>2210</v>
      </c>
      <c r="AM1500">
        <v>1</v>
      </c>
      <c r="AN1500">
        <v>1</v>
      </c>
      <c r="AO1500">
        <v>0</v>
      </c>
      <c r="AP1500">
        <v>1</v>
      </c>
      <c r="AQ1500">
        <v>1</v>
      </c>
      <c r="AR1500">
        <v>0</v>
      </c>
      <c r="AS1500">
        <v>0</v>
      </c>
      <c r="AT1500">
        <v>0</v>
      </c>
      <c r="AU1500">
        <v>0</v>
      </c>
      <c r="AV1500">
        <v>0</v>
      </c>
      <c r="AW1500">
        <v>0</v>
      </c>
      <c r="AX1500" s="24">
        <f t="shared" si="152"/>
        <v>1</v>
      </c>
      <c r="AY1500" s="24" t="str">
        <f t="shared" si="152"/>
        <v/>
      </c>
      <c r="AZ1500" s="24" t="str">
        <f t="shared" si="157"/>
        <v/>
      </c>
      <c r="BA1500" s="24" t="str">
        <f t="shared" si="157"/>
        <v/>
      </c>
      <c r="BB1500" s="24" t="str">
        <f t="shared" si="157"/>
        <v/>
      </c>
      <c r="BC1500" s="24" t="str">
        <f t="shared" si="157"/>
        <v/>
      </c>
      <c r="BD1500" s="24" t="str">
        <f t="shared" si="157"/>
        <v/>
      </c>
      <c r="BE1500" s="24" t="str">
        <f t="shared" si="157"/>
        <v/>
      </c>
      <c r="BF1500" s="24" t="str">
        <f t="shared" si="157"/>
        <v/>
      </c>
      <c r="BG1500" s="24" t="str">
        <f t="shared" si="157"/>
        <v/>
      </c>
      <c r="BH1500" s="24" t="str">
        <f t="shared" si="155"/>
        <v/>
      </c>
      <c r="BI1500" s="24">
        <f t="shared" si="157"/>
        <v>1</v>
      </c>
      <c r="BJ1500" s="24" t="str">
        <f t="shared" si="156"/>
        <v/>
      </c>
    </row>
    <row r="1501" spans="1:62" ht="15" customHeight="1" x14ac:dyDescent="0.25">
      <c r="A1501" t="str">
        <f>"1407909286"</f>
        <v>1407909286</v>
      </c>
      <c r="B1501" t="str">
        <f>"02922521"</f>
        <v>02922521</v>
      </c>
      <c r="C1501" t="s">
        <v>2417</v>
      </c>
      <c r="D1501" t="s">
        <v>2418</v>
      </c>
      <c r="E1501" t="s">
        <v>2419</v>
      </c>
      <c r="G1501" t="s">
        <v>2420</v>
      </c>
      <c r="H1501" t="s">
        <v>2421</v>
      </c>
      <c r="J1501" t="s">
        <v>2422</v>
      </c>
      <c r="L1501" t="s">
        <v>138</v>
      </c>
      <c r="M1501" t="s">
        <v>139</v>
      </c>
      <c r="R1501" t="s">
        <v>2423</v>
      </c>
      <c r="W1501" t="s">
        <v>2424</v>
      </c>
      <c r="X1501" t="s">
        <v>2425</v>
      </c>
      <c r="Y1501" t="s">
        <v>141</v>
      </c>
      <c r="Z1501" t="s">
        <v>111</v>
      </c>
      <c r="AA1501" t="str">
        <f>"13203"</f>
        <v>13203</v>
      </c>
      <c r="AB1501" t="s">
        <v>123</v>
      </c>
      <c r="AC1501" t="s">
        <v>113</v>
      </c>
      <c r="AD1501" t="s">
        <v>108</v>
      </c>
      <c r="AE1501" t="s">
        <v>114</v>
      </c>
      <c r="AF1501" t="s">
        <v>142</v>
      </c>
      <c r="AG1501" t="s">
        <v>116</v>
      </c>
      <c r="AK1501" t="str">
        <f t="shared" si="154"/>
        <v/>
      </c>
      <c r="AL1501" t="s">
        <v>2418</v>
      </c>
      <c r="AM1501">
        <v>0</v>
      </c>
      <c r="AN1501">
        <v>0</v>
      </c>
      <c r="AO1501">
        <v>0</v>
      </c>
      <c r="AP1501">
        <v>0</v>
      </c>
      <c r="AQ1501">
        <v>0</v>
      </c>
      <c r="AR1501">
        <v>0</v>
      </c>
      <c r="AS1501">
        <v>0</v>
      </c>
      <c r="AT1501">
        <v>0</v>
      </c>
      <c r="AU1501">
        <v>0</v>
      </c>
      <c r="AV1501">
        <v>0</v>
      </c>
      <c r="AW1501">
        <v>0</v>
      </c>
      <c r="AX1501" s="24" t="str">
        <f t="shared" si="152"/>
        <v/>
      </c>
      <c r="AY1501" s="24">
        <f t="shared" si="152"/>
        <v>1</v>
      </c>
      <c r="AZ1501" s="24" t="str">
        <f t="shared" si="157"/>
        <v/>
      </c>
      <c r="BA1501" s="24" t="str">
        <f t="shared" si="157"/>
        <v/>
      </c>
      <c r="BB1501" s="24" t="str">
        <f t="shared" si="157"/>
        <v/>
      </c>
      <c r="BC1501" s="24" t="str">
        <f t="shared" si="157"/>
        <v/>
      </c>
      <c r="BD1501" s="24" t="str">
        <f t="shared" si="157"/>
        <v/>
      </c>
      <c r="BE1501" s="24" t="str">
        <f t="shared" si="157"/>
        <v/>
      </c>
      <c r="BF1501" s="24" t="str">
        <f t="shared" si="157"/>
        <v/>
      </c>
      <c r="BG1501" s="24" t="str">
        <f t="shared" si="157"/>
        <v/>
      </c>
      <c r="BH1501" s="24" t="str">
        <f t="shared" si="155"/>
        <v/>
      </c>
      <c r="BI1501" s="24">
        <f t="shared" si="157"/>
        <v>1</v>
      </c>
      <c r="BJ1501" s="24" t="str">
        <f t="shared" si="156"/>
        <v/>
      </c>
    </row>
    <row r="1502" spans="1:62" ht="15" customHeight="1" x14ac:dyDescent="0.25">
      <c r="A1502" t="str">
        <f>"1740696616"</f>
        <v>1740696616</v>
      </c>
      <c r="B1502" t="str">
        <f>"03922263"</f>
        <v>03922263</v>
      </c>
      <c r="C1502" t="s">
        <v>6633</v>
      </c>
      <c r="D1502" t="s">
        <v>6634</v>
      </c>
      <c r="E1502" t="s">
        <v>6635</v>
      </c>
      <c r="G1502" t="s">
        <v>6279</v>
      </c>
      <c r="H1502" t="s">
        <v>5843</v>
      </c>
      <c r="J1502" t="s">
        <v>6280</v>
      </c>
      <c r="L1502" t="s">
        <v>6867</v>
      </c>
      <c r="M1502" t="s">
        <v>108</v>
      </c>
      <c r="R1502" t="s">
        <v>6636</v>
      </c>
      <c r="W1502" t="s">
        <v>6635</v>
      </c>
      <c r="X1502" t="s">
        <v>2759</v>
      </c>
      <c r="Y1502" t="s">
        <v>293</v>
      </c>
      <c r="Z1502" t="s">
        <v>111</v>
      </c>
      <c r="AA1502" t="str">
        <f>"14850-1863"</f>
        <v>14850-1863</v>
      </c>
      <c r="AB1502" t="s">
        <v>123</v>
      </c>
      <c r="AC1502" t="s">
        <v>113</v>
      </c>
      <c r="AD1502" t="s">
        <v>108</v>
      </c>
      <c r="AE1502" t="s">
        <v>114</v>
      </c>
      <c r="AF1502" t="s">
        <v>142</v>
      </c>
      <c r="AG1502" t="s">
        <v>116</v>
      </c>
      <c r="AJ1502" t="s">
        <v>7250</v>
      </c>
      <c r="AK1502" t="str">
        <f>IF(AM1502="No",C1502,"")</f>
        <v>Zinn Ralph</v>
      </c>
      <c r="AL1502" t="s">
        <v>6634</v>
      </c>
      <c r="AM1502" t="s">
        <v>108</v>
      </c>
      <c r="AN1502" t="s">
        <v>108</v>
      </c>
      <c r="AO1502" t="s">
        <v>108</v>
      </c>
      <c r="AP1502" t="s">
        <v>108</v>
      </c>
      <c r="AQ1502" t="s">
        <v>108</v>
      </c>
      <c r="AR1502" t="s">
        <v>108</v>
      </c>
      <c r="AS1502" t="s">
        <v>108</v>
      </c>
      <c r="AT1502" t="s">
        <v>108</v>
      </c>
      <c r="AU1502" t="s">
        <v>108</v>
      </c>
      <c r="AV1502" t="s">
        <v>108</v>
      </c>
      <c r="AW1502" t="s">
        <v>108</v>
      </c>
      <c r="AX1502" s="24">
        <f t="shared" si="152"/>
        <v>1</v>
      </c>
      <c r="AY1502" s="24">
        <f t="shared" si="152"/>
        <v>1</v>
      </c>
      <c r="AZ1502" s="24" t="str">
        <f t="shared" si="157"/>
        <v/>
      </c>
      <c r="BA1502" s="24" t="str">
        <f t="shared" si="157"/>
        <v/>
      </c>
      <c r="BB1502" s="24" t="str">
        <f t="shared" si="157"/>
        <v/>
      </c>
      <c r="BC1502" s="24" t="str">
        <f t="shared" si="157"/>
        <v/>
      </c>
      <c r="BD1502" s="24" t="str">
        <f t="shared" si="157"/>
        <v/>
      </c>
      <c r="BE1502" s="24" t="str">
        <f t="shared" si="157"/>
        <v/>
      </c>
      <c r="BF1502" s="24" t="str">
        <f t="shared" si="157"/>
        <v/>
      </c>
      <c r="BG1502" s="24" t="str">
        <f t="shared" si="157"/>
        <v/>
      </c>
      <c r="BH1502" s="24" t="str">
        <f t="shared" si="155"/>
        <v/>
      </c>
      <c r="BI1502" s="24">
        <f t="shared" si="157"/>
        <v>1</v>
      </c>
      <c r="BJ1502" s="24" t="str">
        <f t="shared" si="156"/>
        <v/>
      </c>
    </row>
  </sheetData>
  <autoFilter ref="A1:BJ1502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AEA901D12950418752C5FA976F6C74" ma:contentTypeVersion="2" ma:contentTypeDescription="Create a new document." ma:contentTypeScope="" ma:versionID="1bfdca340e82a6f0a690a2835144b2b3">
  <xsd:schema xmlns:xsd="http://www.w3.org/2001/XMLSchema" xmlns:xs="http://www.w3.org/2001/XMLSchema" xmlns:p="http://schemas.microsoft.com/office/2006/metadata/properties" xmlns:ns2="362caa75-196a-4e38-861a-5b8d77e98c80" targetNamespace="http://schemas.microsoft.com/office/2006/metadata/properties" ma:root="true" ma:fieldsID="17a901d25fbeb3610fbdc217430872d0" ns2:_="">
    <xsd:import namespace="362caa75-196a-4e38-861a-5b8d77e98c8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2caa75-196a-4e38-861a-5b8d77e98c8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C39BE4-9DE2-4E43-96F2-26B1D3A07D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2caa75-196a-4e38-861a-5b8d77e98c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3AB49F2-77CD-4D37-8F9E-CF3B7A228395}">
  <ds:schemaRefs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362caa75-196a-4e38-861a-5b8d77e98c80"/>
  </ds:schemaRefs>
</ds:datastoreItem>
</file>

<file path=customXml/itemProps3.xml><?xml version="1.0" encoding="utf-8"?>
<ds:datastoreItem xmlns:ds="http://schemas.openxmlformats.org/officeDocument/2006/customXml" ds:itemID="{4140E79D-CEF5-4BD3-9732-20384584FF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Funds Flow Summary</vt:lpstr>
      <vt:lpstr>Funds Flow - Partner Detail</vt:lpstr>
      <vt:lpstr>2nd Tier Funds Flow</vt:lpstr>
      <vt:lpstr>Partner Engagement</vt:lpstr>
      <vt:lpstr>Sheet1</vt:lpstr>
      <vt:lpstr>CareCompass Perf Network 032017</vt:lpstr>
      <vt:lpstr>'2nd Tier Funds Flow'!Print_Area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Weber III, Joseph</dc:creator>
  <cp:keywords/>
  <dc:description/>
  <cp:lastModifiedBy>Kim Fraim</cp:lastModifiedBy>
  <cp:revision/>
  <dcterms:created xsi:type="dcterms:W3CDTF">2017-03-24T14:24:06Z</dcterms:created>
  <dcterms:modified xsi:type="dcterms:W3CDTF">2017-10-30T17:45:34Z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0x010100AEAEA901D12950418752C5FA976F6C74</vt:lpwstr>
  </property>
</Properties>
</file>